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0丰台区方庄南路9号院租金\"/>
    </mc:Choice>
  </mc:AlternateContent>
  <xr:revisionPtr revIDLastSave="0" documentId="13_ncr:1_{8E5832FC-D166-4229-9812-3F540B89262E}" xr6:coauthVersionLast="47" xr6:coauthVersionMax="47" xr10:uidLastSave="{00000000-0000-0000-0000-000000000000}"/>
  <bookViews>
    <workbookView xWindow="-120" yWindow="-120" windowWidth="29040" windowHeight="158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办公" sheetId="34" r:id="rId28"/>
    <sheet name="比较法-商业" sheetId="33" state="hidden" r:id="rId29"/>
    <sheet name="典型户型修正" sheetId="31" state="hidden" r:id="rId30"/>
    <sheet name="面积位置" sheetId="84" r:id="rId31"/>
    <sheet name="租约" sheetId="85" r:id="rId32"/>
    <sheet name="案例" sheetId="8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52" i="34" l="1"/>
  <c r="E52" i="34"/>
  <c r="C37" i="34"/>
  <c r="M20" i="1"/>
  <c r="O20" i="1" s="1"/>
  <c r="N22" i="1"/>
  <c r="F19" i="6"/>
  <c r="B14" i="74" s="1"/>
  <c r="W26" i="31"/>
  <c r="V26" i="31"/>
  <c r="K60" i="85"/>
  <c r="K38" i="85"/>
  <c r="K14" i="85"/>
  <c r="D15" i="77"/>
  <c r="I75" i="77"/>
  <c r="I74" i="77"/>
  <c r="I76" i="77" s="1"/>
  <c r="A77" i="77"/>
  <c r="A73" i="77"/>
  <c r="I57" i="77"/>
  <c r="I58" i="77"/>
  <c r="A60" i="77"/>
  <c r="A56" i="77"/>
  <c r="E68" i="77"/>
  <c r="A63" i="77" l="1"/>
  <c r="A80" i="77"/>
  <c r="C34" i="34"/>
  <c r="I59"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C61" i="78" l="1"/>
  <c r="B60" i="78"/>
  <c r="E60" i="78" s="1"/>
  <c r="L57" i="78"/>
  <c r="I57" i="78"/>
  <c r="I63" i="78" s="1"/>
  <c r="E56" i="78"/>
  <c r="C56" i="78"/>
  <c r="B63" i="78"/>
  <c r="B59" i="78"/>
  <c r="E59" i="78" s="1"/>
  <c r="J57" i="78" l="1"/>
  <c r="J58" i="78" s="1"/>
  <c r="E62" i="78"/>
  <c r="K58" i="78"/>
  <c r="K63" i="78" s="1"/>
  <c r="L58" i="78"/>
  <c r="L63" i="78" s="1"/>
  <c r="O58" i="78" l="1"/>
  <c r="J63" i="78"/>
  <c r="M57" i="78"/>
  <c r="M58" i="78" s="1"/>
  <c r="C62" i="78"/>
  <c r="C63" i="78" s="1"/>
  <c r="E63" i="78"/>
  <c r="F62" i="78" s="1"/>
  <c r="G15" i="73"/>
  <c r="F15" i="73"/>
  <c r="E15" i="73"/>
  <c r="J64" i="78" l="1"/>
  <c r="D63" i="78"/>
  <c r="F61" i="78"/>
  <c r="I64" i="78"/>
  <c r="F56" i="78"/>
  <c r="F59" i="78"/>
  <c r="F60"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5" i="79"/>
  <c r="AD43" i="79"/>
  <c r="AD44" i="79"/>
  <c r="AR48" i="79"/>
  <c r="AR49" i="79" s="1"/>
  <c r="AR50" i="79" s="1"/>
  <c r="AR51" i="79" s="1"/>
  <c r="AR52" i="79" s="1"/>
  <c r="AR53" i="79" s="1"/>
  <c r="AR54" i="79" s="1"/>
  <c r="AR55" i="79" s="1"/>
  <c r="AR56" i="79" s="1"/>
  <c r="AR57" i="79" s="1"/>
  <c r="AR58" i="79" s="1"/>
  <c r="AR59" i="79" s="1"/>
  <c r="AR60" i="79" s="1"/>
  <c r="Z3" i="79"/>
  <c r="AA35" i="79"/>
  <c r="AD35" i="79" s="1"/>
  <c r="T38" i="79"/>
  <c r="T39" i="79"/>
  <c r="T42" i="79"/>
  <c r="T40" i="79"/>
  <c r="T37" i="79"/>
  <c r="T43" i="79"/>
  <c r="T41" i="79"/>
  <c r="S40" i="79"/>
  <c r="AG40" i="79" s="1"/>
  <c r="S38" i="79"/>
  <c r="AG38" i="79" s="1"/>
  <c r="S39" i="79"/>
  <c r="AG39" i="79" s="1"/>
  <c r="S42" i="79"/>
  <c r="AG42" i="79" s="1"/>
  <c r="S37" i="79"/>
  <c r="AG37" i="79" s="1"/>
  <c r="S41" i="79"/>
  <c r="AG41" i="79" s="1"/>
  <c r="S43" i="79"/>
  <c r="AG43" i="79" s="1"/>
  <c r="T48" i="79"/>
  <c r="AH48" i="79" s="1"/>
  <c r="U54" i="79"/>
  <c r="AI54" i="79" s="1"/>
  <c r="AD55" i="79"/>
  <c r="S56" i="79"/>
  <c r="AG56" i="79" s="1"/>
  <c r="U58" i="79"/>
  <c r="AI58" i="79" s="1"/>
  <c r="AD59" i="79"/>
  <c r="N35" i="79"/>
  <c r="U41" i="79"/>
  <c r="AI41" i="79" s="1"/>
  <c r="U38" i="79"/>
  <c r="AI38" i="79" s="1"/>
  <c r="U37" i="79"/>
  <c r="AI37" i="79" s="1"/>
  <c r="U40" i="79"/>
  <c r="AI40" i="79" s="1"/>
  <c r="U39" i="79"/>
  <c r="AI39"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0" i="79" l="1"/>
  <c r="AK40" i="79" s="1"/>
  <c r="AH40" i="79"/>
  <c r="AH41" i="79"/>
  <c r="W41" i="79"/>
  <c r="AK41" i="79" s="1"/>
  <c r="W42" i="79"/>
  <c r="AK42" i="79" s="1"/>
  <c r="AH42" i="79"/>
  <c r="W47" i="79"/>
  <c r="AK47" i="79" s="1"/>
  <c r="W43" i="79"/>
  <c r="AK43" i="79" s="1"/>
  <c r="AH43" i="79"/>
  <c r="AH39" i="79"/>
  <c r="W39" i="79"/>
  <c r="AK39" i="79" s="1"/>
  <c r="C18" i="78"/>
  <c r="W37" i="79"/>
  <c r="AK37" i="79" s="1"/>
  <c r="AH37"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5" i="77" l="1"/>
  <c r="E59" i="77"/>
  <c r="E58" i="77"/>
  <c r="E76" i="77"/>
  <c r="E72" i="77"/>
  <c r="E55" i="77"/>
  <c r="E61" i="77"/>
  <c r="E62" i="77"/>
  <c r="E79"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s="1"/>
  <c r="E56" i="77"/>
  <c r="E54" i="77" s="1"/>
  <c r="E73" i="77"/>
  <c r="E67"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O38" i="71"/>
  <c r="N38" i="71"/>
  <c r="X38" i="71" s="1"/>
  <c r="Q37" i="71"/>
  <c r="AB37" i="71" s="1"/>
  <c r="P37" i="71"/>
  <c r="O37" i="71"/>
  <c r="N37" i="71"/>
  <c r="B38" i="71" s="1"/>
  <c r="D37" i="71"/>
  <c r="Q36" i="71"/>
  <c r="P36" i="71"/>
  <c r="O36" i="71"/>
  <c r="N36" i="71"/>
  <c r="Q35" i="71"/>
  <c r="AB35" i="71" s="1"/>
  <c r="P35" i="71"/>
  <c r="O35" i="71"/>
  <c r="N35" i="71"/>
  <c r="Q34" i="71"/>
  <c r="AB34" i="71" s="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X31" i="71" s="1"/>
  <c r="Q30" i="71"/>
  <c r="P30" i="71"/>
  <c r="O30" i="71"/>
  <c r="Y30" i="71" s="1"/>
  <c r="Z30" i="71" s="1"/>
  <c r="N30" i="71"/>
  <c r="Q29" i="71"/>
  <c r="F30" i="71" s="1"/>
  <c r="P29" i="71"/>
  <c r="E30" i="71" s="1"/>
  <c r="E31" i="71" s="1"/>
  <c r="E32" i="71" s="1"/>
  <c r="U32" i="71" s="1"/>
  <c r="O29" i="71"/>
  <c r="C30" i="71" s="1"/>
  <c r="N29" i="71"/>
  <c r="D29" i="71"/>
  <c r="O28" i="71"/>
  <c r="C28" i="71" s="1"/>
  <c r="N28" i="71"/>
  <c r="B28" i="71" s="1"/>
  <c r="B30" i="71"/>
  <c r="B31" i="71" s="1"/>
  <c r="B32" i="71" s="1"/>
  <c r="S32" i="71" s="1"/>
  <c r="B39" i="71"/>
  <c r="B40" i="71" s="1"/>
  <c r="S40" i="71" s="1"/>
  <c r="E38" i="71"/>
  <c r="E39" i="71" s="1"/>
  <c r="E40" i="71" s="1"/>
  <c r="U40" i="71" s="1"/>
  <c r="X34" i="71"/>
  <c r="C38" i="71"/>
  <c r="D38" i="71" s="1"/>
  <c r="P28" i="71"/>
  <c r="E28" i="71" s="1"/>
  <c r="U68" i="71"/>
  <c r="E67" i="71"/>
  <c r="Q28" i="71"/>
  <c r="C59" i="71"/>
  <c r="C60" i="71" s="1"/>
  <c r="D58" i="71"/>
  <c r="D62" i="71"/>
  <c r="T68" i="71"/>
  <c r="D68" i="71"/>
  <c r="Q68" i="71"/>
  <c r="E71" i="71"/>
  <c r="E70" i="71" s="1"/>
  <c r="D72" i="71"/>
  <c r="D76" i="71"/>
  <c r="E79" i="71"/>
  <c r="E78" i="71" s="1"/>
  <c r="D80"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H18" i="35"/>
  <c r="AB18" i="35" s="1"/>
  <c r="J18" i="35"/>
  <c r="AC18" i="35" s="1"/>
  <c r="H21" i="37"/>
  <c r="AB21" i="37" s="1"/>
  <c r="F21" i="37"/>
  <c r="AA21" i="37" s="1"/>
  <c r="F84" i="34"/>
  <c r="H21" i="34"/>
  <c r="H21" i="33"/>
  <c r="U21" i="33" s="1"/>
  <c r="F21" i="33"/>
  <c r="AA21" i="33" s="1"/>
  <c r="H1" i="69"/>
  <c r="AC27" i="40"/>
  <c r="W27" i="40"/>
  <c r="S21" i="37"/>
  <c r="AB21" i="33"/>
  <c r="S21" i="33"/>
  <c r="J21" i="37"/>
  <c r="W21" i="37" s="1"/>
  <c r="G84" i="34"/>
  <c r="J21" i="34"/>
  <c r="W21" i="34" s="1"/>
  <c r="J21" i="33"/>
  <c r="W21" i="33" s="1"/>
  <c r="H21" i="21"/>
  <c r="U21" i="21" s="1"/>
  <c r="F38" i="69"/>
  <c r="E37" i="69"/>
  <c r="F36" i="69"/>
  <c r="F35" i="69"/>
  <c r="F21" i="69"/>
  <c r="F40" i="69" s="1"/>
  <c r="F20" i="69"/>
  <c r="F39" i="69" s="1"/>
  <c r="E10" i="69"/>
  <c r="E9" i="69"/>
  <c r="AC21" i="37"/>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0" i="31"/>
  <c r="S310" i="31"/>
  <c r="S286" i="31"/>
  <c r="S278" i="31"/>
  <c r="S270" i="31"/>
  <c r="S262" i="31"/>
  <c r="S254" i="31"/>
  <c r="S250" i="31"/>
  <c r="S246" i="31"/>
  <c r="S242" i="31"/>
  <c r="S238" i="31"/>
  <c r="S234" i="31"/>
  <c r="S230" i="31"/>
  <c r="S226" i="31"/>
  <c r="S187" i="31"/>
  <c r="S175" i="31"/>
  <c r="S163" i="31"/>
  <c r="S155" i="31"/>
  <c r="S143" i="31"/>
  <c r="S131" i="31"/>
  <c r="S487" i="31"/>
  <c r="S486" i="31"/>
  <c r="S474" i="31"/>
  <c r="S431" i="31"/>
  <c r="S54" i="31"/>
  <c r="S50" i="31"/>
  <c r="S46" i="31"/>
  <c r="S42" i="31"/>
  <c r="S38" i="31"/>
  <c r="S34" i="31"/>
  <c r="S30"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s="1"/>
  <c r="D86" i="40"/>
  <c r="E86" i="40" s="1"/>
  <c r="F86" i="40" s="1"/>
  <c r="G86" i="40" s="1"/>
  <c r="B83" i="40"/>
  <c r="J16" i="40" s="1"/>
  <c r="W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F11" i="40"/>
  <c r="J10" i="40"/>
  <c r="H10" i="40"/>
  <c r="AB10" i="40" s="1"/>
  <c r="F10" i="40"/>
  <c r="AA10" i="40" s="1"/>
  <c r="J40" i="39"/>
  <c r="W40" i="39" s="1"/>
  <c r="H40" i="39"/>
  <c r="AB40" i="39" s="1"/>
  <c r="F40" i="39"/>
  <c r="AA40" i="39" s="1"/>
  <c r="D125" i="39"/>
  <c r="E125" i="39" s="1"/>
  <c r="D121" i="39"/>
  <c r="E121" i="39" s="1"/>
  <c r="F121" i="39" s="1"/>
  <c r="G121" i="39" s="1"/>
  <c r="H121" i="39" s="1"/>
  <c r="I121" i="39" s="1"/>
  <c r="J121" i="39" s="1"/>
  <c r="K121" i="39" s="1"/>
  <c r="L121" i="39" s="1"/>
  <c r="M121" i="39" s="1"/>
  <c r="B115" i="39"/>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c r="Q26" i="36"/>
  <c r="Z26" i="36" s="1"/>
  <c r="H26" i="36"/>
  <c r="AB26" i="36" s="1"/>
  <c r="Q25" i="36"/>
  <c r="Z25" i="36" s="1"/>
  <c r="Q24" i="36"/>
  <c r="Z24" i="36"/>
  <c r="Q23" i="36"/>
  <c r="Z23" i="36" s="1"/>
  <c r="J23" i="36"/>
  <c r="AC23" i="36" s="1"/>
  <c r="F23" i="36"/>
  <c r="AA23" i="36" s="1"/>
  <c r="Q22" i="36"/>
  <c r="Z22" i="36" s="1"/>
  <c r="J22" i="36"/>
  <c r="AC22" i="36"/>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F35" i="35" s="1"/>
  <c r="B97" i="35"/>
  <c r="B77" i="35"/>
  <c r="B75" i="35"/>
  <c r="J24" i="35" s="1"/>
  <c r="AC24" i="35"/>
  <c r="B73" i="35"/>
  <c r="J23" i="35" s="1"/>
  <c r="AC23" i="35" s="1"/>
  <c r="B57" i="35"/>
  <c r="B61" i="35"/>
  <c r="B59" i="35"/>
  <c r="F12" i="35" s="1"/>
  <c r="B131" i="34"/>
  <c r="B129" i="34"/>
  <c r="H46" i="34" s="1"/>
  <c r="B127" i="34"/>
  <c r="F45" i="34" s="1"/>
  <c r="B99" i="34"/>
  <c r="H32" i="34" s="1"/>
  <c r="B97" i="34"/>
  <c r="B95" i="34"/>
  <c r="B93" i="34"/>
  <c r="J29" i="34" s="1"/>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s="1"/>
  <c r="F10" i="34"/>
  <c r="AA10" i="34" s="1"/>
  <c r="Q9" i="34"/>
  <c r="Z9" i="34" s="1"/>
  <c r="J9" i="34"/>
  <c r="AC9" i="34" s="1"/>
  <c r="H9" i="34"/>
  <c r="U9" i="34" s="1"/>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Q38" i="33"/>
  <c r="Z38" i="33"/>
  <c r="J38" i="33"/>
  <c r="AC38" i="33" s="1"/>
  <c r="H38" i="33"/>
  <c r="AB38" i="33"/>
  <c r="F38" i="33"/>
  <c r="Q37" i="33"/>
  <c r="Z37" i="33"/>
  <c r="Q36" i="33"/>
  <c r="Z36" i="33" s="1"/>
  <c r="Q35" i="33"/>
  <c r="Z35" i="33" s="1"/>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F47" i="39"/>
  <c r="S47" i="39" s="1"/>
  <c r="J47" i="39"/>
  <c r="W47" i="39" s="1"/>
  <c r="F38" i="39"/>
  <c r="S38" i="39" s="1"/>
  <c r="H38" i="39"/>
  <c r="AB38" i="39" s="1"/>
  <c r="J37" i="39"/>
  <c r="AC37" i="39" s="1"/>
  <c r="F37" i="39"/>
  <c r="AA37" i="39" s="1"/>
  <c r="J38" i="39"/>
  <c r="AC38" i="39" s="1"/>
  <c r="U11" i="39"/>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S36" i="34" s="1"/>
  <c r="J35" i="34"/>
  <c r="AC35" i="34" s="1"/>
  <c r="H39" i="33"/>
  <c r="AB39" i="33" s="1"/>
  <c r="F26" i="33"/>
  <c r="S26" i="33" s="1"/>
  <c r="AA26" i="33"/>
  <c r="S40" i="33"/>
  <c r="S27" i="35"/>
  <c r="F13" i="40"/>
  <c r="AA13" i="40" s="1"/>
  <c r="H13" i="40"/>
  <c r="AB13" i="40" s="1"/>
  <c r="S36" i="40"/>
  <c r="U40" i="40"/>
  <c r="W33" i="40"/>
  <c r="U36" i="40"/>
  <c r="S40" i="40"/>
  <c r="F44" i="39"/>
  <c r="AA44" i="39" s="1"/>
  <c r="F43" i="39"/>
  <c r="S43" i="39" s="1"/>
  <c r="H42" i="39"/>
  <c r="AB42"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H13" i="39"/>
  <c r="S42" i="39"/>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W34" i="40"/>
  <c r="S46" i="39"/>
  <c r="J34" i="36"/>
  <c r="W34" i="36" s="1"/>
  <c r="U30" i="36"/>
  <c r="J30" i="35"/>
  <c r="W30" i="35" s="1"/>
  <c r="H30" i="35"/>
  <c r="AB30" i="35" s="1"/>
  <c r="F22" i="35"/>
  <c r="AA22" i="35" s="1"/>
  <c r="H10" i="35"/>
  <c r="U10" i="35" s="1"/>
  <c r="F33" i="36"/>
  <c r="AA33" i="36" s="1"/>
  <c r="W30" i="36"/>
  <c r="H16" i="36"/>
  <c r="AB16" i="36"/>
  <c r="E85" i="36"/>
  <c r="F85" i="36"/>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5" i="34"/>
  <c r="S25" i="34" s="1"/>
  <c r="H17" i="34"/>
  <c r="U17" i="34" s="1"/>
  <c r="F41" i="33"/>
  <c r="AA41" i="33"/>
  <c r="E113" i="33"/>
  <c r="F113" i="33" s="1"/>
  <c r="G113" i="33" s="1"/>
  <c r="H113" i="33" s="1"/>
  <c r="I113" i="33" s="1"/>
  <c r="J113" i="33" s="1"/>
  <c r="K113" i="33" s="1"/>
  <c r="L113" i="33" s="1"/>
  <c r="M113" i="33" s="1"/>
  <c r="F32" i="33"/>
  <c r="AA32" i="33" s="1"/>
  <c r="J19" i="33"/>
  <c r="AC19" i="33"/>
  <c r="J15" i="33"/>
  <c r="AC15" i="33" s="1"/>
  <c r="F11" i="33"/>
  <c r="AA11" i="33" s="1"/>
  <c r="W40" i="33"/>
  <c r="F39" i="40"/>
  <c r="AA39" i="40" s="1"/>
  <c r="F38" i="40"/>
  <c r="AA38" i="40" s="1"/>
  <c r="H30" i="40"/>
  <c r="U30" i="40" s="1"/>
  <c r="F25" i="40"/>
  <c r="AA25" i="40" s="1"/>
  <c r="F19" i="40"/>
  <c r="AA19" i="40" s="1"/>
  <c r="J19" i="40"/>
  <c r="W19" i="40" s="1"/>
  <c r="F17" i="40"/>
  <c r="S17" i="40" s="1"/>
  <c r="H17" i="40"/>
  <c r="AB17" i="40" s="1"/>
  <c r="S12" i="36"/>
  <c r="AA12" i="36"/>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S17" i="34" s="1"/>
  <c r="J17" i="34"/>
  <c r="W17" i="34" s="1"/>
  <c r="S41" i="33"/>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c r="H42" i="21"/>
  <c r="U42" i="21" s="1"/>
  <c r="J44" i="34"/>
  <c r="W44" i="34" s="1"/>
  <c r="F44" i="34"/>
  <c r="J10" i="35"/>
  <c r="AC10" i="35" s="1"/>
  <c r="H30" i="21"/>
  <c r="U30" i="21" s="1"/>
  <c r="F44" i="21"/>
  <c r="AA44" i="21" s="1"/>
  <c r="H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F45" i="21"/>
  <c r="AA45" i="21" s="1"/>
  <c r="J13" i="33"/>
  <c r="AC13" i="33" s="1"/>
  <c r="H13" i="33"/>
  <c r="U13" i="33" s="1"/>
  <c r="F13" i="33"/>
  <c r="S13" i="33" s="1"/>
  <c r="J29" i="33"/>
  <c r="H29" i="33"/>
  <c r="U29" i="33" s="1"/>
  <c r="F29" i="33"/>
  <c r="S29" i="33" s="1"/>
  <c r="J31" i="33"/>
  <c r="H31" i="33"/>
  <c r="F31" i="33"/>
  <c r="H45" i="33"/>
  <c r="J45" i="33"/>
  <c r="W45" i="33" s="1"/>
  <c r="F45" i="33"/>
  <c r="J14" i="34"/>
  <c r="W14" i="34" s="1"/>
  <c r="F14" i="34"/>
  <c r="AA14" i="34" s="1"/>
  <c r="H14" i="34"/>
  <c r="U14" i="34" s="1"/>
  <c r="H30" i="34"/>
  <c r="AB30" i="34" s="1"/>
  <c r="F30" i="34"/>
  <c r="S30" i="34" s="1"/>
  <c r="J30" i="34"/>
  <c r="J32" i="34"/>
  <c r="W32" i="34" s="1"/>
  <c r="J46" i="34"/>
  <c r="W46" i="34" s="1"/>
  <c r="H11" i="35"/>
  <c r="AB11" i="35" s="1"/>
  <c r="J11" i="35"/>
  <c r="F11" i="35"/>
  <c r="S11" i="35" s="1"/>
  <c r="J26" i="36"/>
  <c r="W26" i="36" s="1"/>
  <c r="H28" i="36"/>
  <c r="U28"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H13" i="34"/>
  <c r="U13" i="34" s="1"/>
  <c r="F13" i="34"/>
  <c r="AA13" i="34" s="1"/>
  <c r="H29" i="34"/>
  <c r="AB29" i="34" s="1"/>
  <c r="J31" i="34"/>
  <c r="AC31" i="34" s="1"/>
  <c r="H31" i="34"/>
  <c r="F31" i="34"/>
  <c r="S31" i="34" s="1"/>
  <c r="J45" i="34"/>
  <c r="W45" i="34" s="1"/>
  <c r="H47" i="34"/>
  <c r="U47" i="34" s="1"/>
  <c r="F47" i="34"/>
  <c r="S47" i="34" s="1"/>
  <c r="J47" i="34"/>
  <c r="AC47" i="34" s="1"/>
  <c r="F13" i="35"/>
  <c r="J13" i="35"/>
  <c r="AC13" i="35" s="1"/>
  <c r="H13" i="35"/>
  <c r="U13" i="35" s="1"/>
  <c r="J25" i="35"/>
  <c r="W25" i="35"/>
  <c r="F25" i="35"/>
  <c r="S25" i="35" s="1"/>
  <c r="H25" i="35"/>
  <c r="AB25" i="35" s="1"/>
  <c r="J35" i="35"/>
  <c r="AC35" i="35" s="1"/>
  <c r="AA35" i="35"/>
  <c r="H35" i="35"/>
  <c r="J25" i="36"/>
  <c r="W25" i="36" s="1"/>
  <c r="H25" i="36"/>
  <c r="AB25" i="36"/>
  <c r="H13" i="37"/>
  <c r="AB13" i="37" s="1"/>
  <c r="S13" i="37"/>
  <c r="J13" i="37"/>
  <c r="W13" i="37" s="1"/>
  <c r="F28" i="37"/>
  <c r="AA28" i="37" s="1"/>
  <c r="J28" i="37"/>
  <c r="AC28" i="37"/>
  <c r="H28" i="37"/>
  <c r="H38" i="37"/>
  <c r="AB38" i="37" s="1"/>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AA14" i="37" s="1"/>
  <c r="S14" i="37"/>
  <c r="F27" i="37"/>
  <c r="AA27" i="37" s="1"/>
  <c r="J15" i="39"/>
  <c r="W15" i="39" s="1"/>
  <c r="H15" i="39"/>
  <c r="H16" i="40"/>
  <c r="U16" i="40" s="1"/>
  <c r="F16" i="40"/>
  <c r="J14" i="37"/>
  <c r="J27" i="37"/>
  <c r="AC27" i="37" s="1"/>
  <c r="AA14" i="33"/>
  <c r="J36" i="37"/>
  <c r="AC36" i="37" s="1"/>
  <c r="J10" i="36"/>
  <c r="AC10" i="36" s="1"/>
  <c r="S11" i="36"/>
  <c r="F17" i="21"/>
  <c r="AA17" i="21" s="1"/>
  <c r="H17" i="21"/>
  <c r="AB17" i="21" s="1"/>
  <c r="F15" i="21"/>
  <c r="S15" i="21" s="1"/>
  <c r="U38" i="39"/>
  <c r="S37" i="39"/>
  <c r="G544" i="3"/>
  <c r="G540" i="3"/>
  <c r="G536" i="3"/>
  <c r="G535" i="3"/>
  <c r="G531" i="3"/>
  <c r="G528" i="3"/>
  <c r="G527" i="3"/>
  <c r="G518" i="3"/>
  <c r="G514" i="3"/>
  <c r="G508" i="3"/>
  <c r="G504" i="3"/>
  <c r="G500" i="3"/>
  <c r="G584" i="3"/>
  <c r="G580" i="3"/>
  <c r="G576" i="3"/>
  <c r="G572" i="3"/>
  <c r="G568" i="3"/>
  <c r="G564" i="3"/>
  <c r="G560" i="3"/>
  <c r="G554" i="3"/>
  <c r="BL584" i="3"/>
  <c r="AZ584" i="3" s="1"/>
  <c r="BL580" i="3"/>
  <c r="BL576" i="3"/>
  <c r="BL568" i="3"/>
  <c r="BL564" i="3"/>
  <c r="BL560" i="3"/>
  <c r="BL530" i="3"/>
  <c r="BL512" i="3"/>
  <c r="BL494" i="3"/>
  <c r="BL582" i="3"/>
  <c r="BL578" i="3"/>
  <c r="BL574" i="3"/>
  <c r="BL570" i="3"/>
  <c r="BL562" i="3"/>
  <c r="BL556" i="3"/>
  <c r="G533" i="3"/>
  <c r="G529" i="3"/>
  <c r="G525" i="3"/>
  <c r="BL510" i="3"/>
  <c r="G493" i="3"/>
  <c r="BA584" i="3"/>
  <c r="BA582" i="3"/>
  <c r="AZ582" i="3" s="1"/>
  <c r="BA580" i="3"/>
  <c r="AZ580" i="3" s="1"/>
  <c r="BA578" i="3"/>
  <c r="BA574" i="3"/>
  <c r="BA572" i="3"/>
  <c r="BA570" i="3"/>
  <c r="BA566" i="3"/>
  <c r="BA564" i="3"/>
  <c r="AZ564" i="3" s="1"/>
  <c r="BA562" i="3"/>
  <c r="BA558" i="3"/>
  <c r="BA556" i="3"/>
  <c r="AZ556" i="3" s="1"/>
  <c r="BA544" i="3"/>
  <c r="BA524" i="3"/>
  <c r="BA516" i="3"/>
  <c r="BA504" i="3"/>
  <c r="BA498" i="3"/>
  <c r="BA587" i="3"/>
  <c r="BA583" i="3"/>
  <c r="BA581" i="3"/>
  <c r="BA579" i="3"/>
  <c r="BA577" i="3"/>
  <c r="BA573" i="3"/>
  <c r="BA571" i="3"/>
  <c r="AZ571" i="3" s="1"/>
  <c r="BA569" i="3"/>
  <c r="BA565" i="3"/>
  <c r="AZ565" i="3" s="1"/>
  <c r="BA563" i="3"/>
  <c r="BA561" i="3"/>
  <c r="BA553" i="3"/>
  <c r="BA543" i="3"/>
  <c r="BA527" i="3"/>
  <c r="BA507" i="3"/>
  <c r="BA499" i="3"/>
  <c r="G583" i="3"/>
  <c r="G581" i="3"/>
  <c r="G579" i="3"/>
  <c r="G577" i="3"/>
  <c r="G573" i="3"/>
  <c r="G571" i="3"/>
  <c r="G569" i="3"/>
  <c r="G565" i="3"/>
  <c r="G563" i="3"/>
  <c r="G561" i="3"/>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Q565" i="3"/>
  <c r="BL565" i="3" s="1"/>
  <c r="BQ563" i="3"/>
  <c r="BQ561" i="3"/>
  <c r="BL561" i="3" s="1"/>
  <c r="AZ561" i="3" s="1"/>
  <c r="BQ559" i="3"/>
  <c r="BL559" i="3" s="1"/>
  <c r="G559" i="3"/>
  <c r="G555" i="3"/>
  <c r="G553" i="3"/>
  <c r="G545" i="3"/>
  <c r="G543" i="3"/>
  <c r="G537" i="3"/>
  <c r="BQ555" i="3"/>
  <c r="BQ553" i="3"/>
  <c r="BQ551" i="3"/>
  <c r="BQ549" i="3"/>
  <c r="BQ547" i="3"/>
  <c r="BL547" i="3" s="1"/>
  <c r="BQ545" i="3"/>
  <c r="BQ543" i="3"/>
  <c r="BQ541" i="3"/>
  <c r="BQ539" i="3"/>
  <c r="BQ537" i="3"/>
  <c r="BQ535" i="3"/>
  <c r="BQ533" i="3"/>
  <c r="BL533" i="3" s="1"/>
  <c r="BQ531" i="3"/>
  <c r="BQ529" i="3"/>
  <c r="BQ527" i="3"/>
  <c r="BL527" i="3" s="1"/>
  <c r="BQ525" i="3"/>
  <c r="BQ523" i="3"/>
  <c r="AC521" i="3"/>
  <c r="G521" i="3"/>
  <c r="BQ521" i="3"/>
  <c r="G515" i="3"/>
  <c r="G513" i="3"/>
  <c r="G511" i="3"/>
  <c r="BQ519" i="3"/>
  <c r="BQ517" i="3"/>
  <c r="BQ515" i="3"/>
  <c r="BL515" i="3" s="1"/>
  <c r="BQ513" i="3"/>
  <c r="BQ511" i="3"/>
  <c r="BA509" i="3"/>
  <c r="AC509" i="3"/>
  <c r="BQ509" i="3"/>
  <c r="BL508" i="3"/>
  <c r="G507" i="3"/>
  <c r="G503" i="3"/>
  <c r="G501" i="3"/>
  <c r="G499" i="3"/>
  <c r="G495" i="3"/>
  <c r="BQ507" i="3"/>
  <c r="BQ505" i="3"/>
  <c r="BQ503" i="3"/>
  <c r="BL503" i="3" s="1"/>
  <c r="BQ501" i="3"/>
  <c r="BQ499" i="3"/>
  <c r="BQ497" i="3"/>
  <c r="BQ495" i="3"/>
  <c r="BQ493" i="3"/>
  <c r="S499" i="31"/>
  <c r="O27" i="31"/>
  <c r="O28" i="31"/>
  <c r="O26" i="31"/>
  <c r="M27" i="31"/>
  <c r="M28" i="31"/>
  <c r="M26" i="31"/>
  <c r="I26" i="31"/>
  <c r="I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AA39"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S36" i="37" s="1"/>
  <c r="F37" i="37"/>
  <c r="AA37" i="37" s="1"/>
  <c r="F33" i="40"/>
  <c r="AA33" i="40"/>
  <c r="H33" i="40"/>
  <c r="U33" i="40" s="1"/>
  <c r="F34" i="40"/>
  <c r="S34" i="40"/>
  <c r="H34" i="40"/>
  <c r="AB34" i="40" s="1"/>
  <c r="J38" i="40"/>
  <c r="W38" i="40" s="1"/>
  <c r="H19" i="37"/>
  <c r="AB19" i="37" s="1"/>
  <c r="H42" i="33"/>
  <c r="AB42" i="33" s="1"/>
  <c r="J43" i="33"/>
  <c r="AC43" i="33" s="1"/>
  <c r="S26" i="31"/>
  <c r="W23" i="35"/>
  <c r="U26" i="37"/>
  <c r="AA13" i="33"/>
  <c r="AC45" i="33"/>
  <c r="W44"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H31" i="37"/>
  <c r="U31" i="37"/>
  <c r="J15" i="37"/>
  <c r="W15" i="37" s="1"/>
  <c r="H21" i="40"/>
  <c r="U21" i="40" s="1"/>
  <c r="F90" i="40"/>
  <c r="G90" i="40" s="1"/>
  <c r="F21" i="40"/>
  <c r="S21" i="40" s="1"/>
  <c r="AC15" i="40"/>
  <c r="AB35" i="40"/>
  <c r="W25" i="39"/>
  <c r="U47" i="39"/>
  <c r="AB47"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AZ366" i="3" s="1"/>
  <c r="G367" i="3"/>
  <c r="BA369" i="3"/>
  <c r="BL370" i="3"/>
  <c r="G371" i="3"/>
  <c r="BA373" i="3"/>
  <c r="AZ373" i="3" s="1"/>
  <c r="BL374" i="3"/>
  <c r="G375" i="3"/>
  <c r="BA377" i="3"/>
  <c r="AZ377" i="3" s="1"/>
  <c r="BA379" i="3"/>
  <c r="AZ379" i="3" s="1"/>
  <c r="BL380" i="3"/>
  <c r="G381" i="3"/>
  <c r="BA383" i="3"/>
  <c r="BL384" i="3"/>
  <c r="G385" i="3"/>
  <c r="BA387" i="3"/>
  <c r="BL388" i="3"/>
  <c r="G389" i="3"/>
  <c r="BA391" i="3"/>
  <c r="BL392" i="3"/>
  <c r="G393" i="3"/>
  <c r="BO5" i="3"/>
  <c r="BH5" i="3"/>
  <c r="BF5" i="3"/>
  <c r="AZ325" i="3"/>
  <c r="AC5" i="3"/>
  <c r="G548" i="3"/>
  <c r="G538" i="3"/>
  <c r="G520" i="3"/>
  <c r="BS5" i="3"/>
  <c r="BP5" i="3"/>
  <c r="BG5" i="3"/>
  <c r="G17" i="3"/>
  <c r="BA17" i="3"/>
  <c r="BT5" i="3"/>
  <c r="BA15" i="3"/>
  <c r="AZ380" i="3"/>
  <c r="AZ392" i="3"/>
  <c r="G509" i="3"/>
  <c r="BL493" i="3"/>
  <c r="U38" i="40"/>
  <c r="F83" i="43"/>
  <c r="H85" i="43" s="1"/>
  <c r="F50" i="43"/>
  <c r="H54" i="43" s="1"/>
  <c r="F72" i="43"/>
  <c r="H75" i="43" s="1"/>
  <c r="U19" i="39"/>
  <c r="S14" i="35"/>
  <c r="U43" i="21"/>
  <c r="U35" i="21"/>
  <c r="AC35" i="21"/>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S20" i="35" s="1"/>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S32" i="37" s="1"/>
  <c r="F20" i="36"/>
  <c r="AA20" i="36" s="1"/>
  <c r="J33" i="34"/>
  <c r="AC33" i="34" s="1"/>
  <c r="H25" i="39"/>
  <c r="U25" i="39" s="1"/>
  <c r="M52" i="9"/>
  <c r="K9" i="1"/>
  <c r="M9" i="1" s="1"/>
  <c r="K6" i="1"/>
  <c r="AC26" i="33"/>
  <c r="W26" i="33"/>
  <c r="AB34" i="36"/>
  <c r="U34" i="36"/>
  <c r="AB33" i="36"/>
  <c r="U33" i="36"/>
  <c r="AC14" i="39"/>
  <c r="W14" i="39"/>
  <c r="BL14" i="3"/>
  <c r="U30" i="33"/>
  <c r="W28" i="37"/>
  <c r="S21" i="39"/>
  <c r="H14" i="39"/>
  <c r="AB14" i="39" s="1"/>
  <c r="F41" i="40"/>
  <c r="AA41" i="40" s="1"/>
  <c r="BA1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AA38" i="37"/>
  <c r="W38" i="37"/>
  <c r="AC35"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U39" i="34"/>
  <c r="AA25"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S43" i="33"/>
  <c r="F87" i="33"/>
  <c r="H25" i="33"/>
  <c r="U25" i="33" s="1"/>
  <c r="F25" i="33"/>
  <c r="AA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F34" i="67"/>
  <c r="F62" i="67" s="1"/>
  <c r="M20" i="67"/>
  <c r="F19" i="15"/>
  <c r="F69" i="15" s="1"/>
  <c r="G13" i="3"/>
  <c r="BL17" i="3"/>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AB13" i="39"/>
  <c r="U13" i="39"/>
  <c r="W19" i="39"/>
  <c r="AC19" i="39"/>
  <c r="AA47" i="39"/>
  <c r="W36" i="39"/>
  <c r="U40" i="39"/>
  <c r="S10" i="39"/>
  <c r="S20" i="36"/>
  <c r="AC25"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C46" i="34"/>
  <c r="U30" i="34"/>
  <c r="S37" i="34"/>
  <c r="U38" i="34"/>
  <c r="AC40" i="34"/>
  <c r="AA36" i="34"/>
  <c r="AB9" i="34"/>
  <c r="AB28"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U40" i="21"/>
  <c r="AC15" i="21"/>
  <c r="U13" i="21"/>
  <c r="AB13" i="21"/>
  <c r="S35" i="21"/>
  <c r="J37" i="21"/>
  <c r="W37" i="21" s="1"/>
  <c r="H15" i="21"/>
  <c r="U15" i="21" s="1"/>
  <c r="J17" i="21"/>
  <c r="AC17" i="21" s="1"/>
  <c r="AC19" i="21"/>
  <c r="W39" i="21"/>
  <c r="H45" i="21"/>
  <c r="U45" i="21" s="1"/>
  <c r="F29" i="21"/>
  <c r="AA29" i="21" s="1"/>
  <c r="F13" i="21"/>
  <c r="AA13" i="21" s="1"/>
  <c r="AC38" i="21"/>
  <c r="H32" i="21"/>
  <c r="U32" i="21" s="1"/>
  <c r="H9" i="21"/>
  <c r="AB9" i="21" s="1"/>
  <c r="J9" i="21"/>
  <c r="AC9" i="21" s="1"/>
  <c r="J32" i="21"/>
  <c r="W32" i="21" s="1"/>
  <c r="F32" i="21"/>
  <c r="S32" i="21" s="1"/>
  <c r="AA31" i="21"/>
  <c r="U17" i="21"/>
  <c r="W29" i="21"/>
  <c r="S19" i="21"/>
  <c r="S9" i="21"/>
  <c r="AA9" i="21"/>
  <c r="K141" i="21"/>
  <c r="K144" i="21"/>
  <c r="K143" i="21"/>
  <c r="U27" i="21"/>
  <c r="AB25" i="21"/>
  <c r="W13" i="21"/>
  <c r="W42" i="21"/>
  <c r="AC45" i="21"/>
  <c r="F10" i="21"/>
  <c r="AA10" i="21" s="1"/>
  <c r="K145" i="21"/>
  <c r="W17" i="21"/>
  <c r="W25" i="21"/>
  <c r="S27" i="21"/>
  <c r="S17" i="21"/>
  <c r="AA15" i="21"/>
  <c r="AC27" i="21"/>
  <c r="AC26" i="21"/>
  <c r="AB29"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B34" i="39" s="1"/>
  <c r="AC17" i="37"/>
  <c r="S17" i="37"/>
  <c r="J19" i="37"/>
  <c r="W19" i="37" s="1"/>
  <c r="AA23" i="37"/>
  <c r="J23" i="37"/>
  <c r="AC23" i="37" s="1"/>
  <c r="J10" i="37"/>
  <c r="W10" i="37" s="1"/>
  <c r="G63" i="37"/>
  <c r="H63" i="37" s="1"/>
  <c r="I63" i="37" s="1"/>
  <c r="J63" i="37" s="1"/>
  <c r="K63" i="37" s="1"/>
  <c r="L63" i="37" s="1"/>
  <c r="M63" i="37" s="1"/>
  <c r="H11" i="37"/>
  <c r="AB11" i="37" s="1"/>
  <c r="H11" i="34"/>
  <c r="U11" i="34" s="1"/>
  <c r="J10" i="34"/>
  <c r="AC10" i="34" s="1"/>
  <c r="W35" i="33"/>
  <c r="AC35" i="33"/>
  <c r="W32" i="33"/>
  <c r="J27" i="33"/>
  <c r="W27" i="33" s="1"/>
  <c r="S25" i="33"/>
  <c r="G87" i="33"/>
  <c r="H87" i="33"/>
  <c r="I87" i="33"/>
  <c r="J87" i="33" s="1"/>
  <c r="K87" i="33" s="1"/>
  <c r="L87" i="33" s="1"/>
  <c r="M87" i="33" s="1"/>
  <c r="J25" i="33"/>
  <c r="F23" i="33"/>
  <c r="G85" i="33"/>
  <c r="AA19" i="33"/>
  <c r="H19" i="33"/>
  <c r="H17" i="33"/>
  <c r="U17" i="33" s="1"/>
  <c r="F17" i="33"/>
  <c r="S17" i="33" s="1"/>
  <c r="S37" i="21"/>
  <c r="AA23" i="21"/>
  <c r="J23" i="21"/>
  <c r="AC23" i="21" s="1"/>
  <c r="H23" i="21"/>
  <c r="U23" i="21" s="1"/>
  <c r="AP7" i="1"/>
  <c r="AA32" i="21"/>
  <c r="W9" i="21"/>
  <c r="AB32" i="21"/>
  <c r="W34" i="39"/>
  <c r="J11" i="37"/>
  <c r="AC11" i="37" s="1"/>
  <c r="J11" i="34"/>
  <c r="W11" i="34" s="1"/>
  <c r="W25" i="33"/>
  <c r="AC25" i="33"/>
  <c r="AB19" i="33"/>
  <c r="U19" i="33"/>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E11" i="76"/>
  <c r="B10" i="76"/>
  <c r="B7" i="76"/>
  <c r="E7" i="76"/>
  <c r="B13" i="76"/>
  <c r="F20" i="31"/>
  <c r="F7" i="73"/>
  <c r="F6" i="73"/>
  <c r="E9" i="76"/>
  <c r="E13" i="76"/>
  <c r="F16" i="67"/>
  <c r="M23" i="67"/>
  <c r="F38" i="67"/>
  <c r="B8" i="76"/>
  <c r="E10" i="76"/>
  <c r="B12" i="76"/>
  <c r="F26" i="67"/>
  <c r="J15" i="67"/>
  <c r="D34" i="9"/>
  <c r="C83" i="15"/>
  <c r="M8" i="67"/>
  <c r="M9" i="67"/>
  <c r="F4" i="73"/>
  <c r="F34" i="15"/>
  <c r="AO13" i="1"/>
  <c r="F7" i="67"/>
  <c r="M28" i="67"/>
  <c r="D35" i="9"/>
  <c r="F43" i="67"/>
  <c r="F9" i="67"/>
  <c r="F25" i="15"/>
  <c r="M22" i="67"/>
  <c r="F3" i="73"/>
  <c r="F13" i="67"/>
  <c r="F5" i="73"/>
  <c r="E8" i="76"/>
  <c r="F9" i="15"/>
  <c r="F37" i="67"/>
  <c r="M24" i="67"/>
  <c r="B9" i="76"/>
  <c r="M26" i="67"/>
  <c r="C76" i="67"/>
  <c r="B11" i="76"/>
  <c r="F22" i="15"/>
  <c r="F42" i="67"/>
  <c r="E12" i="76"/>
  <c r="F6" i="67"/>
  <c r="M22" i="15"/>
  <c r="U46" i="34" l="1"/>
  <c r="AB46" i="34"/>
  <c r="F46" i="34"/>
  <c r="AB47" i="34"/>
  <c r="AA47" i="34"/>
  <c r="AC32" i="34"/>
  <c r="W31" i="34"/>
  <c r="H28" i="34"/>
  <c r="AB28" i="34" s="1"/>
  <c r="J28" i="34"/>
  <c r="AC28" i="34" s="1"/>
  <c r="AB28" i="21"/>
  <c r="U28" i="21"/>
  <c r="AA32" i="37"/>
  <c r="AZ390" i="3"/>
  <c r="AZ351" i="3"/>
  <c r="AZ327" i="3"/>
  <c r="AA36" i="37"/>
  <c r="U34" i="21"/>
  <c r="J33" i="39"/>
  <c r="F33" i="39"/>
  <c r="H41" i="39"/>
  <c r="U41" i="39" s="1"/>
  <c r="AB34" i="34"/>
  <c r="U34" i="34"/>
  <c r="E82" i="34"/>
  <c r="F82" i="34" s="1"/>
  <c r="G82" i="34" s="1"/>
  <c r="F19" i="34"/>
  <c r="BA567" i="3"/>
  <c r="BL563" i="3"/>
  <c r="AZ563" i="3" s="1"/>
  <c r="BA559" i="3"/>
  <c r="AZ559" i="3" s="1"/>
  <c r="BL555" i="3"/>
  <c r="BL552" i="3"/>
  <c r="BA552" i="3"/>
  <c r="BL549" i="3"/>
  <c r="G549" i="3"/>
  <c r="BL546" i="3"/>
  <c r="BL545" i="3"/>
  <c r="G541" i="3"/>
  <c r="BA540" i="3"/>
  <c r="AA17" i="33"/>
  <c r="W23" i="37"/>
  <c r="AB15" i="21"/>
  <c r="S13" i="21"/>
  <c r="U26" i="33"/>
  <c r="AB26" i="33"/>
  <c r="H31" i="21"/>
  <c r="J31" i="21"/>
  <c r="H46" i="21"/>
  <c r="J46" i="21"/>
  <c r="AB40" i="33"/>
  <c r="U40" i="33"/>
  <c r="F86" i="34"/>
  <c r="G86" i="34" s="1"/>
  <c r="J23" i="34"/>
  <c r="AC23" i="34" s="1"/>
  <c r="J45" i="39"/>
  <c r="H45" i="39"/>
  <c r="S11" i="40"/>
  <c r="AA11" i="40"/>
  <c r="BA576" i="3"/>
  <c r="BA575" i="3"/>
  <c r="BL572" i="3"/>
  <c r="AZ572" i="3" s="1"/>
  <c r="BA568" i="3"/>
  <c r="BL567" i="3"/>
  <c r="BL566" i="3"/>
  <c r="AZ566" i="3" s="1"/>
  <c r="BA560" i="3"/>
  <c r="AZ560" i="3" s="1"/>
  <c r="BL558" i="3"/>
  <c r="AZ558" i="3" s="1"/>
  <c r="BA517" i="3"/>
  <c r="BA510" i="3"/>
  <c r="AZ510" i="3" s="1"/>
  <c r="AZ369" i="3"/>
  <c r="AZ389" i="3"/>
  <c r="AZ306" i="3"/>
  <c r="AZ570" i="3"/>
  <c r="F46" i="21"/>
  <c r="J44" i="21"/>
  <c r="H44" i="21"/>
  <c r="F32" i="36"/>
  <c r="H32" i="36"/>
  <c r="H46" i="39"/>
  <c r="J46" i="39"/>
  <c r="AA36" i="39"/>
  <c r="S36" i="39"/>
  <c r="F125" i="39"/>
  <c r="G125" i="39" s="1"/>
  <c r="H125" i="39" s="1"/>
  <c r="I125" i="39" s="1"/>
  <c r="J125" i="39" s="1"/>
  <c r="K125" i="39" s="1"/>
  <c r="L125" i="39" s="1"/>
  <c r="M125" i="39" s="1"/>
  <c r="J43" i="39"/>
  <c r="W43" i="39" s="1"/>
  <c r="AB11" i="40"/>
  <c r="U11" i="40"/>
  <c r="U9" i="21"/>
  <c r="AB23" i="21"/>
  <c r="AC17" i="33"/>
  <c r="AC37" i="33"/>
  <c r="AB20" i="35"/>
  <c r="S25" i="39"/>
  <c r="AC34" i="33"/>
  <c r="AZ357" i="3"/>
  <c r="AZ372" i="3"/>
  <c r="AZ356" i="3"/>
  <c r="U11" i="33"/>
  <c r="W47" i="34"/>
  <c r="AB46" i="33"/>
  <c r="W11" i="35"/>
  <c r="AC11" i="35"/>
  <c r="AA45" i="33"/>
  <c r="S45" i="33"/>
  <c r="AC13" i="40"/>
  <c r="H23" i="34"/>
  <c r="U23" i="34" s="1"/>
  <c r="F34" i="36"/>
  <c r="E124" i="34"/>
  <c r="F124" i="34" s="1"/>
  <c r="G124" i="34" s="1"/>
  <c r="H124" i="34" s="1"/>
  <c r="I124" i="34" s="1"/>
  <c r="J124" i="34" s="1"/>
  <c r="K124" i="34" s="1"/>
  <c r="L124" i="34" s="1"/>
  <c r="M124" i="34" s="1"/>
  <c r="H43" i="34"/>
  <c r="AB34" i="35"/>
  <c r="U34" i="35"/>
  <c r="BL537" i="3"/>
  <c r="BA535" i="3"/>
  <c r="G532" i="3"/>
  <c r="BL529" i="3"/>
  <c r="G524" i="3"/>
  <c r="G510" i="3"/>
  <c r="G505" i="3"/>
  <c r="BL501" i="3"/>
  <c r="G497" i="3"/>
  <c r="G496" i="3"/>
  <c r="BA495" i="3"/>
  <c r="BA493" i="3"/>
  <c r="G582" i="3"/>
  <c r="BL523" i="3"/>
  <c r="BL577" i="3"/>
  <c r="AZ577" i="3" s="1"/>
  <c r="G585" i="3"/>
  <c r="F35" i="34"/>
  <c r="AA35" i="34" s="1"/>
  <c r="H23" i="35"/>
  <c r="J25" i="37"/>
  <c r="A15" i="62"/>
  <c r="B61" i="72" s="1"/>
  <c r="BL406" i="3"/>
  <c r="G409" i="3"/>
  <c r="BA410" i="3"/>
  <c r="BL414" i="3"/>
  <c r="BL415" i="3"/>
  <c r="BL419" i="3"/>
  <c r="G424" i="3"/>
  <c r="BA431" i="3"/>
  <c r="G435" i="3"/>
  <c r="BL437" i="3"/>
  <c r="AZ437" i="3" s="1"/>
  <c r="BA444" i="3"/>
  <c r="BA446" i="3"/>
  <c r="BA452" i="3"/>
  <c r="BA458" i="3"/>
  <c r="AZ458" i="3" s="1"/>
  <c r="BA462" i="3"/>
  <c r="AZ462" i="3" s="1"/>
  <c r="BL465" i="3"/>
  <c r="G471" i="3"/>
  <c r="BA471" i="3"/>
  <c r="BA476" i="3"/>
  <c r="BA485" i="3"/>
  <c r="G351" i="3"/>
  <c r="BL383" i="3"/>
  <c r="AZ383" i="3" s="1"/>
  <c r="BL211" i="3"/>
  <c r="G212" i="3"/>
  <c r="BA214" i="3"/>
  <c r="BL224" i="3"/>
  <c r="G227" i="3"/>
  <c r="G229" i="3"/>
  <c r="BA233" i="3"/>
  <c r="BL233" i="3"/>
  <c r="G235" i="3"/>
  <c r="BA249" i="3"/>
  <c r="AZ249" i="3" s="1"/>
  <c r="BL249" i="3"/>
  <c r="BA253" i="3"/>
  <c r="J27" i="34"/>
  <c r="W27" i="34" s="1"/>
  <c r="BI5" i="3"/>
  <c r="BA13" i="3"/>
  <c r="BL398" i="3"/>
  <c r="BL402" i="3"/>
  <c r="BL403" i="3"/>
  <c r="G406" i="3"/>
  <c r="G413" i="3"/>
  <c r="BA419" i="3"/>
  <c r="AZ419" i="3" s="1"/>
  <c r="BL423" i="3"/>
  <c r="G428" i="3"/>
  <c r="BA428" i="3"/>
  <c r="BA429" i="3"/>
  <c r="BA430" i="3"/>
  <c r="AZ430" i="3" s="1"/>
  <c r="G434" i="3"/>
  <c r="BA435" i="3"/>
  <c r="BL443" i="3"/>
  <c r="BA451" i="3"/>
  <c r="AZ451" i="3" s="1"/>
  <c r="G457" i="3"/>
  <c r="BL457" i="3"/>
  <c r="BL460" i="3"/>
  <c r="BL461" i="3"/>
  <c r="BA463" i="3"/>
  <c r="BL463" i="3"/>
  <c r="BA470" i="3"/>
  <c r="G474" i="3"/>
  <c r="BA489" i="3"/>
  <c r="BA303" i="3"/>
  <c r="AZ303" i="3" s="1"/>
  <c r="BL340" i="3"/>
  <c r="AZ340" i="3" s="1"/>
  <c r="BA354" i="3"/>
  <c r="BL381" i="3"/>
  <c r="AZ381" i="3" s="1"/>
  <c r="BA385" i="3"/>
  <c r="BA212" i="3"/>
  <c r="BL216" i="3"/>
  <c r="BL222" i="3"/>
  <c r="BL223" i="3"/>
  <c r="BA229" i="3"/>
  <c r="AZ229" i="3" s="1"/>
  <c r="BL229" i="3"/>
  <c r="BA231" i="3"/>
  <c r="BL231" i="3"/>
  <c r="BA248" i="3"/>
  <c r="BL252" i="3"/>
  <c r="BA260" i="3"/>
  <c r="BL260" i="3"/>
  <c r="BL269" i="3"/>
  <c r="BL23" i="3"/>
  <c r="BL35" i="3"/>
  <c r="D60" i="71"/>
  <c r="T60" i="71"/>
  <c r="N67" i="71"/>
  <c r="B66" i="71"/>
  <c r="F66" i="71"/>
  <c r="Q67" i="71"/>
  <c r="BL399" i="3"/>
  <c r="G401" i="3"/>
  <c r="G402" i="3"/>
  <c r="BA408" i="3"/>
  <c r="BA409" i="3"/>
  <c r="AZ409" i="3" s="1"/>
  <c r="BL412" i="3"/>
  <c r="G417" i="3"/>
  <c r="BA417" i="3"/>
  <c r="G421" i="3"/>
  <c r="BL421" i="3"/>
  <c r="BL422" i="3"/>
  <c r="BL427" i="3"/>
  <c r="BL433" i="3"/>
  <c r="G436" i="3"/>
  <c r="BL440" i="3"/>
  <c r="G442" i="3"/>
  <c r="G443" i="3"/>
  <c r="BA448" i="3"/>
  <c r="BA450" i="3"/>
  <c r="BA456" i="3"/>
  <c r="G459" i="3"/>
  <c r="G463" i="3"/>
  <c r="BA469" i="3"/>
  <c r="AZ469" i="3" s="1"/>
  <c r="G472" i="3"/>
  <c r="BA473" i="3"/>
  <c r="BL484" i="3"/>
  <c r="BL488" i="3"/>
  <c r="BL490" i="3"/>
  <c r="G491" i="3"/>
  <c r="G318" i="3"/>
  <c r="BA332" i="3"/>
  <c r="BL332" i="3"/>
  <c r="G339" i="3"/>
  <c r="G343" i="3"/>
  <c r="G347" i="3"/>
  <c r="BA350" i="3"/>
  <c r="AZ350" i="3" s="1"/>
  <c r="BL367" i="3"/>
  <c r="BL375" i="3"/>
  <c r="AZ375" i="3" s="1"/>
  <c r="BL386" i="3"/>
  <c r="G392" i="3"/>
  <c r="BL395" i="3"/>
  <c r="G396" i="3"/>
  <c r="BA397" i="3"/>
  <c r="BL397" i="3"/>
  <c r="BL214" i="3"/>
  <c r="G216" i="3"/>
  <c r="BL221" i="3"/>
  <c r="G222" i="3"/>
  <c r="BA225" i="3"/>
  <c r="BA228" i="3"/>
  <c r="BL230" i="3"/>
  <c r="G231" i="3"/>
  <c r="BL237" i="3"/>
  <c r="BL238" i="3"/>
  <c r="G239" i="3"/>
  <c r="G246" i="3"/>
  <c r="BA247" i="3"/>
  <c r="AZ247" i="3" s="1"/>
  <c r="BL247" i="3"/>
  <c r="BA251" i="3"/>
  <c r="BL251" i="3"/>
  <c r="BL259" i="3"/>
  <c r="BA272" i="3"/>
  <c r="AZ272" i="3" s="1"/>
  <c r="BL34" i="3"/>
  <c r="C31" i="71"/>
  <c r="D30" i="71"/>
  <c r="G260" i="3"/>
  <c r="BA270" i="3"/>
  <c r="BL270" i="3"/>
  <c r="G274" i="3"/>
  <c r="BL278" i="3"/>
  <c r="G280" i="3"/>
  <c r="BL287" i="3"/>
  <c r="BL289" i="3"/>
  <c r="G290" i="3"/>
  <c r="G291" i="3"/>
  <c r="BA293" i="3"/>
  <c r="G295" i="3"/>
  <c r="BA296" i="3"/>
  <c r="BA301" i="3"/>
  <c r="BA120" i="3"/>
  <c r="AZ120" i="3" s="1"/>
  <c r="G123" i="3"/>
  <c r="BA124" i="3"/>
  <c r="AZ124" i="3" s="1"/>
  <c r="BL127" i="3"/>
  <c r="AZ127" i="3" s="1"/>
  <c r="BA132" i="3"/>
  <c r="AZ132" i="3" s="1"/>
  <c r="BA134" i="3"/>
  <c r="BL135" i="3"/>
  <c r="AZ135" i="3" s="1"/>
  <c r="G158" i="3"/>
  <c r="G167" i="3"/>
  <c r="BL171" i="3"/>
  <c r="AZ171" i="3" s="1"/>
  <c r="BA178" i="3"/>
  <c r="BL189" i="3"/>
  <c r="BL190" i="3"/>
  <c r="G191" i="3"/>
  <c r="BA192" i="3"/>
  <c r="AZ192" i="3" s="1"/>
  <c r="G195" i="3"/>
  <c r="BL198" i="3"/>
  <c r="BL199" i="3"/>
  <c r="AZ199" i="3" s="1"/>
  <c r="BA200" i="3"/>
  <c r="AZ200" i="3" s="1"/>
  <c r="BL207" i="3"/>
  <c r="BL18" i="3"/>
  <c r="G19" i="3"/>
  <c r="BL19" i="3"/>
  <c r="BA20" i="3"/>
  <c r="BA32" i="3"/>
  <c r="G35" i="3"/>
  <c r="G36" i="3"/>
  <c r="G40" i="3"/>
  <c r="BA43" i="3"/>
  <c r="G48" i="3"/>
  <c r="BL48" i="3"/>
  <c r="BA55" i="3"/>
  <c r="BL55" i="3"/>
  <c r="G57" i="3"/>
  <c r="BA59" i="3"/>
  <c r="G61" i="3"/>
  <c r="BL61" i="3"/>
  <c r="G68" i="3"/>
  <c r="BL68" i="3"/>
  <c r="BA69" i="3"/>
  <c r="G74" i="3"/>
  <c r="BA77" i="3"/>
  <c r="G79" i="3"/>
  <c r="G80" i="3"/>
  <c r="BA80" i="3"/>
  <c r="G84" i="3"/>
  <c r="BL84" i="3"/>
  <c r="BL100" i="3"/>
  <c r="G106" i="3"/>
  <c r="BA106" i="3"/>
  <c r="BL108" i="3"/>
  <c r="AA3" i="71"/>
  <c r="AB28" i="71"/>
  <c r="AA37" i="71"/>
  <c r="X25" i="71"/>
  <c r="AC21" i="21"/>
  <c r="U21" i="37"/>
  <c r="P27" i="6"/>
  <c r="D59" i="71"/>
  <c r="F28" i="71"/>
  <c r="F27" i="71" s="1"/>
  <c r="F26" i="71" s="1"/>
  <c r="Y27" i="71"/>
  <c r="Z27" i="71" s="1"/>
  <c r="Y35" i="71"/>
  <c r="Z35" i="71" s="1"/>
  <c r="X35" i="71"/>
  <c r="AA27" i="71"/>
  <c r="X26" i="71"/>
  <c r="G258" i="3"/>
  <c r="BL262" i="3"/>
  <c r="BL263" i="3"/>
  <c r="G264" i="3"/>
  <c r="BA275" i="3"/>
  <c r="AZ275" i="3" s="1"/>
  <c r="BL275" i="3"/>
  <c r="G277" i="3"/>
  <c r="G284" i="3"/>
  <c r="BL285" i="3"/>
  <c r="G297" i="3"/>
  <c r="G126" i="3"/>
  <c r="BA126" i="3"/>
  <c r="G144" i="3"/>
  <c r="BA144" i="3"/>
  <c r="AZ144" i="3" s="1"/>
  <c r="G147" i="3"/>
  <c r="BA149" i="3"/>
  <c r="BA156" i="3"/>
  <c r="AZ156" i="3" s="1"/>
  <c r="BA162" i="3"/>
  <c r="G170" i="3"/>
  <c r="BL175" i="3"/>
  <c r="AZ175" i="3" s="1"/>
  <c r="BA176" i="3"/>
  <c r="AZ176" i="3" s="1"/>
  <c r="G179" i="3"/>
  <c r="G184" i="3"/>
  <c r="BA184" i="3"/>
  <c r="AZ184" i="3" s="1"/>
  <c r="BL187" i="3"/>
  <c r="AZ187" i="3" s="1"/>
  <c r="G202" i="3"/>
  <c r="BA202" i="3"/>
  <c r="BA30" i="3"/>
  <c r="BA40" i="3"/>
  <c r="BA41" i="3"/>
  <c r="BA42" i="3"/>
  <c r="G72" i="3"/>
  <c r="BA78" i="3"/>
  <c r="G86" i="3"/>
  <c r="BA89" i="3"/>
  <c r="BA94" i="3"/>
  <c r="BA98" i="3"/>
  <c r="BL103" i="3"/>
  <c r="BA104" i="3"/>
  <c r="BL110" i="3"/>
  <c r="BL111" i="3"/>
  <c r="C87" i="71"/>
  <c r="C86" i="71" s="1"/>
  <c r="D86" i="71" s="1"/>
  <c r="N68" i="71"/>
  <c r="AA34" i="71"/>
  <c r="C63" i="71"/>
  <c r="BA122" i="3"/>
  <c r="AZ122" i="3" s="1"/>
  <c r="BA125" i="3"/>
  <c r="BA148" i="3"/>
  <c r="AZ148" i="3" s="1"/>
  <c r="BL155" i="3"/>
  <c r="AZ155" i="3" s="1"/>
  <c r="BL158" i="3"/>
  <c r="BA164" i="3"/>
  <c r="AZ164" i="3" s="1"/>
  <c r="BA166" i="3"/>
  <c r="AZ166" i="3" s="1"/>
  <c r="BL173" i="3"/>
  <c r="BL181" i="3"/>
  <c r="G182" i="3"/>
  <c r="BA188" i="3"/>
  <c r="AZ188" i="3" s="1"/>
  <c r="BA194" i="3"/>
  <c r="BL195" i="3"/>
  <c r="AZ195" i="3" s="1"/>
  <c r="G196" i="3"/>
  <c r="BA201" i="3"/>
  <c r="G204" i="3"/>
  <c r="BA22" i="3"/>
  <c r="BL25" i="3"/>
  <c r="BL27" i="3"/>
  <c r="BA28" i="3"/>
  <c r="G31" i="3"/>
  <c r="BA33" i="3"/>
  <c r="G38" i="3"/>
  <c r="BA38" i="3"/>
  <c r="G50" i="3"/>
  <c r="BA50" i="3"/>
  <c r="G59" i="3"/>
  <c r="G63" i="3"/>
  <c r="G64" i="3"/>
  <c r="BA64" i="3"/>
  <c r="BL69" i="3"/>
  <c r="G75" i="3"/>
  <c r="BL86" i="3"/>
  <c r="BA92" i="3"/>
  <c r="BL93" i="3"/>
  <c r="BL96" i="3"/>
  <c r="G103" i="3"/>
  <c r="BA103" i="3"/>
  <c r="BA109" i="3"/>
  <c r="AA35" i="71"/>
  <c r="Y37" i="71"/>
  <c r="Z37" i="71" s="1"/>
  <c r="F75" i="71"/>
  <c r="F74" i="71" s="1"/>
  <c r="AC44" i="34"/>
  <c r="S13" i="34"/>
  <c r="AC14" i="34"/>
  <c r="S43" i="34"/>
  <c r="U28" i="34"/>
  <c r="U27" i="34"/>
  <c r="S45" i="34"/>
  <c r="AA45" i="34"/>
  <c r="AC45" i="34"/>
  <c r="H45" i="34"/>
  <c r="AB14" i="34"/>
  <c r="AC42" i="34"/>
  <c r="AC36" i="34"/>
  <c r="AB36" i="34"/>
  <c r="W13" i="34"/>
  <c r="AC13" i="34"/>
  <c r="AC12" i="34"/>
  <c r="H12" i="34"/>
  <c r="U12" i="34" s="1"/>
  <c r="H15" i="34"/>
  <c r="AB15" i="34" s="1"/>
  <c r="J15" i="34"/>
  <c r="F15" i="34"/>
  <c r="AA15" i="34" s="1"/>
  <c r="AC43" i="34"/>
  <c r="W29" i="34"/>
  <c r="AC29" i="34"/>
  <c r="U25" i="34"/>
  <c r="F29" i="34"/>
  <c r="U29" i="34"/>
  <c r="AB32" i="34"/>
  <c r="U32" i="34"/>
  <c r="F32" i="34"/>
  <c r="AB41" i="34"/>
  <c r="W41" i="34"/>
  <c r="AA40" i="34"/>
  <c r="S35" i="34"/>
  <c r="W35" i="34"/>
  <c r="AB35" i="34"/>
  <c r="AA33" i="34"/>
  <c r="W33" i="34"/>
  <c r="AB33" i="34"/>
  <c r="S23" i="34"/>
  <c r="AB23" i="34"/>
  <c r="W23" i="34"/>
  <c r="S21" i="34"/>
  <c r="W19" i="34"/>
  <c r="U19" i="34"/>
  <c r="AA17" i="34"/>
  <c r="AC17" i="34"/>
  <c r="AB17" i="34"/>
  <c r="S28" i="34"/>
  <c r="S14" i="34"/>
  <c r="AB8" i="34"/>
  <c r="W8" i="34"/>
  <c r="AA8" i="34"/>
  <c r="W9" i="34"/>
  <c r="H27" i="33"/>
  <c r="U27" i="33" s="1"/>
  <c r="S27" i="33"/>
  <c r="AC27" i="33"/>
  <c r="F12" i="33"/>
  <c r="S12" i="33" s="1"/>
  <c r="J12" i="33"/>
  <c r="H36" i="33"/>
  <c r="U36" i="33" s="1"/>
  <c r="F36" i="33"/>
  <c r="G111" i="33"/>
  <c r="H111" i="33" s="1"/>
  <c r="I111" i="33" s="1"/>
  <c r="J111" i="33" s="1"/>
  <c r="K111" i="33" s="1"/>
  <c r="L111" i="33" s="1"/>
  <c r="M111" i="33" s="1"/>
  <c r="J36" i="33"/>
  <c r="W36" i="33" s="1"/>
  <c r="AB36" i="33"/>
  <c r="W33" i="33"/>
  <c r="B88" i="43"/>
  <c r="B57" i="43"/>
  <c r="B77" i="43"/>
  <c r="B68" i="43"/>
  <c r="J1" i="73"/>
  <c r="AA24" i="36"/>
  <c r="S24" i="36"/>
  <c r="U23" i="33"/>
  <c r="AB25" i="33"/>
  <c r="AA19" i="37"/>
  <c r="U32" i="37"/>
  <c r="AZ527" i="3"/>
  <c r="W31" i="33"/>
  <c r="AC31" i="33"/>
  <c r="BA586" i="3"/>
  <c r="BA585" i="3"/>
  <c r="F14" i="21"/>
  <c r="H14" i="21"/>
  <c r="J14" i="21"/>
  <c r="F28" i="21"/>
  <c r="J28" i="21"/>
  <c r="F30" i="21"/>
  <c r="J30" i="21"/>
  <c r="C21" i="71"/>
  <c r="D21" i="71" s="1"/>
  <c r="W23" i="21"/>
  <c r="U34" i="39"/>
  <c r="U41" i="33"/>
  <c r="S34" i="39"/>
  <c r="AA12" i="33"/>
  <c r="S39" i="33"/>
  <c r="AC39" i="34"/>
  <c r="AB17" i="37"/>
  <c r="U14" i="39"/>
  <c r="AA14" i="39"/>
  <c r="AZ347" i="3"/>
  <c r="AZ344" i="3"/>
  <c r="AB30" i="21"/>
  <c r="AA16" i="40"/>
  <c r="S16" i="40"/>
  <c r="U45" i="33"/>
  <c r="AB45" i="33"/>
  <c r="AA38" i="33"/>
  <c r="S38" i="33"/>
  <c r="AB45" i="21"/>
  <c r="AZ17" i="3"/>
  <c r="AA34" i="33"/>
  <c r="AZ371" i="3"/>
  <c r="AA15" i="37"/>
  <c r="S15" i="37"/>
  <c r="W12" i="37"/>
  <c r="AC12" i="37"/>
  <c r="AZ579" i="3"/>
  <c r="AA44" i="34"/>
  <c r="S44" i="34"/>
  <c r="S29" i="35"/>
  <c r="AA29" i="35"/>
  <c r="B101" i="43"/>
  <c r="B79" i="43"/>
  <c r="C27" i="39"/>
  <c r="S25" i="21"/>
  <c r="AA25" i="21"/>
  <c r="AZ552" i="3"/>
  <c r="AC28" i="36"/>
  <c r="W28" i="36"/>
  <c r="J24" i="36"/>
  <c r="H24" i="36"/>
  <c r="J39" i="39"/>
  <c r="F39" i="39"/>
  <c r="AC10" i="40"/>
  <c r="W10" i="40"/>
  <c r="AC41" i="33"/>
  <c r="W41" i="33"/>
  <c r="BA555" i="3"/>
  <c r="BL554" i="3"/>
  <c r="BA554" i="3"/>
  <c r="BL551" i="3"/>
  <c r="BA551" i="3"/>
  <c r="AZ551" i="3" s="1"/>
  <c r="BA550" i="3"/>
  <c r="BA549" i="3"/>
  <c r="AZ549" i="3" s="1"/>
  <c r="BL548" i="3"/>
  <c r="BA548" i="3"/>
  <c r="AZ548" i="3" s="1"/>
  <c r="BA547" i="3"/>
  <c r="AZ547" i="3" s="1"/>
  <c r="BA546" i="3"/>
  <c r="AZ546" i="3" s="1"/>
  <c r="BA545" i="3"/>
  <c r="BL544" i="3"/>
  <c r="AZ544" i="3" s="1"/>
  <c r="BL542" i="3"/>
  <c r="BA542" i="3"/>
  <c r="AZ542" i="3" s="1"/>
  <c r="BL541" i="3"/>
  <c r="BA541" i="3"/>
  <c r="BL540" i="3"/>
  <c r="AZ540" i="3" s="1"/>
  <c r="BA539" i="3"/>
  <c r="BL538" i="3"/>
  <c r="BA538" i="3"/>
  <c r="AZ538" i="3" s="1"/>
  <c r="BA537" i="3"/>
  <c r="AZ537" i="3" s="1"/>
  <c r="BL536" i="3"/>
  <c r="BA536" i="3"/>
  <c r="AZ536" i="3" s="1"/>
  <c r="BL534" i="3"/>
  <c r="BA534" i="3"/>
  <c r="BA533" i="3"/>
  <c r="AZ533" i="3" s="1"/>
  <c r="BL532" i="3"/>
  <c r="BA532" i="3"/>
  <c r="AZ532" i="3" s="1"/>
  <c r="BA531" i="3"/>
  <c r="BA530" i="3"/>
  <c r="AZ530" i="3" s="1"/>
  <c r="BA529" i="3"/>
  <c r="AZ529" i="3" s="1"/>
  <c r="BL528" i="3"/>
  <c r="BA528" i="3"/>
  <c r="BL526" i="3"/>
  <c r="BA526" i="3"/>
  <c r="AZ526" i="3" s="1"/>
  <c r="BL525" i="3"/>
  <c r="BA525" i="3"/>
  <c r="BL524" i="3"/>
  <c r="AZ524" i="3" s="1"/>
  <c r="BA523" i="3"/>
  <c r="AZ523" i="3" s="1"/>
  <c r="BL522" i="3"/>
  <c r="BA522" i="3"/>
  <c r="BL521" i="3"/>
  <c r="BA521" i="3"/>
  <c r="BL520" i="3"/>
  <c r="BA520" i="3"/>
  <c r="BA519" i="3"/>
  <c r="BL518" i="3"/>
  <c r="BA518" i="3"/>
  <c r="AZ518" i="3" s="1"/>
  <c r="BL517" i="3"/>
  <c r="BL516" i="3"/>
  <c r="AZ516" i="3" s="1"/>
  <c r="BA515" i="3"/>
  <c r="AZ515" i="3" s="1"/>
  <c r="BL514" i="3"/>
  <c r="BA514" i="3"/>
  <c r="BL513" i="3"/>
  <c r="BA513" i="3"/>
  <c r="AZ513" i="3" s="1"/>
  <c r="BA512" i="3"/>
  <c r="AZ512" i="3" s="1"/>
  <c r="BA511" i="3"/>
  <c r="BL509" i="3"/>
  <c r="AZ509" i="3" s="1"/>
  <c r="BA508" i="3"/>
  <c r="AZ508" i="3" s="1"/>
  <c r="BL506" i="3"/>
  <c r="BA506" i="3"/>
  <c r="BL505" i="3"/>
  <c r="BA505" i="3"/>
  <c r="BL504" i="3"/>
  <c r="AZ504" i="3" s="1"/>
  <c r="BA503" i="3"/>
  <c r="AZ503" i="3" s="1"/>
  <c r="BL502" i="3"/>
  <c r="BA502" i="3"/>
  <c r="BA501" i="3"/>
  <c r="AZ501" i="3" s="1"/>
  <c r="BL500" i="3"/>
  <c r="BA500" i="3"/>
  <c r="BL499" i="3"/>
  <c r="AZ499" i="3" s="1"/>
  <c r="BL498" i="3"/>
  <c r="AZ498" i="3" s="1"/>
  <c r="BJ5" i="3"/>
  <c r="BB5" i="3"/>
  <c r="BL497" i="3"/>
  <c r="BA497" i="3"/>
  <c r="AZ497" i="3" s="1"/>
  <c r="BN5" i="3"/>
  <c r="G29" i="6" s="1"/>
  <c r="BL496" i="3"/>
  <c r="BE5" i="3"/>
  <c r="BA496" i="3"/>
  <c r="BR5" i="3"/>
  <c r="BL495" i="3"/>
  <c r="BM5" i="3"/>
  <c r="BD5" i="3"/>
  <c r="BK5" i="3"/>
  <c r="AZ493" i="3"/>
  <c r="AZ305" i="3"/>
  <c r="AZ360" i="3"/>
  <c r="BL511" i="3"/>
  <c r="AZ511" i="3" s="1"/>
  <c r="BL539" i="3"/>
  <c r="AZ539" i="3" s="1"/>
  <c r="BL543" i="3"/>
  <c r="AZ543" i="3" s="1"/>
  <c r="BL553" i="3"/>
  <c r="AZ553" i="3" s="1"/>
  <c r="BA494" i="3"/>
  <c r="AZ494" i="3" s="1"/>
  <c r="BL587" i="3"/>
  <c r="AZ587" i="3" s="1"/>
  <c r="BL586" i="3"/>
  <c r="AB33" i="33"/>
  <c r="U33" i="33"/>
  <c r="H9" i="33"/>
  <c r="F9" i="33"/>
  <c r="AA9" i="33" s="1"/>
  <c r="J12" i="36"/>
  <c r="H12" i="36"/>
  <c r="J39" i="37"/>
  <c r="H39" i="37"/>
  <c r="J41" i="40"/>
  <c r="H41" i="40"/>
  <c r="S41" i="21"/>
  <c r="AA41" i="21"/>
  <c r="AZ387" i="3"/>
  <c r="AZ338" i="3"/>
  <c r="AZ311" i="3"/>
  <c r="AZ364" i="3"/>
  <c r="AZ329" i="3"/>
  <c r="AZ304" i="3"/>
  <c r="BL535" i="3"/>
  <c r="AZ535" i="3" s="1"/>
  <c r="AZ557" i="3"/>
  <c r="AZ575" i="3"/>
  <c r="AZ574" i="3"/>
  <c r="B97" i="43"/>
  <c r="B75" i="43"/>
  <c r="AB35" i="33"/>
  <c r="U35" i="33"/>
  <c r="AC39" i="33"/>
  <c r="W39" i="33"/>
  <c r="H36" i="35"/>
  <c r="J36" i="35"/>
  <c r="AC36" i="35" s="1"/>
  <c r="W31" i="35"/>
  <c r="AC31" i="35"/>
  <c r="G566" i="3"/>
  <c r="AZ480" i="3"/>
  <c r="AZ391" i="3"/>
  <c r="AZ313" i="3"/>
  <c r="AZ394" i="3"/>
  <c r="BL519" i="3"/>
  <c r="AZ519" i="3" s="1"/>
  <c r="BL531" i="3"/>
  <c r="AZ531" i="3" s="1"/>
  <c r="AZ573" i="3"/>
  <c r="AZ583" i="3"/>
  <c r="AZ568" i="3"/>
  <c r="AZ576" i="3"/>
  <c r="AA44" i="33"/>
  <c r="AZ476" i="3"/>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BA483" i="3"/>
  <c r="BL483" i="3"/>
  <c r="AZ483" i="3" s="1"/>
  <c r="BA486" i="3"/>
  <c r="BL489" i="3"/>
  <c r="BA348" i="3"/>
  <c r="BL359" i="3"/>
  <c r="AZ359" i="3" s="1"/>
  <c r="W22" i="35"/>
  <c r="G587" i="3"/>
  <c r="J12" i="35"/>
  <c r="G551" i="3"/>
  <c r="BL550" i="3"/>
  <c r="G542" i="3"/>
  <c r="BA401" i="3"/>
  <c r="BA403" i="3"/>
  <c r="AZ403" i="3" s="1"/>
  <c r="BA404" i="3"/>
  <c r="AZ404" i="3" s="1"/>
  <c r="BA405" i="3"/>
  <c r="AZ405" i="3" s="1"/>
  <c r="BL410" i="3"/>
  <c r="G419" i="3"/>
  <c r="BA422" i="3"/>
  <c r="AZ422" i="3" s="1"/>
  <c r="G430" i="3"/>
  <c r="BL431" i="3"/>
  <c r="BL434" i="3"/>
  <c r="G437" i="3"/>
  <c r="BL438" i="3"/>
  <c r="BL439" i="3"/>
  <c r="BA441" i="3"/>
  <c r="BL445" i="3"/>
  <c r="BL446" i="3"/>
  <c r="BL449" i="3"/>
  <c r="BL450" i="3"/>
  <c r="BL452" i="3"/>
  <c r="G455" i="3"/>
  <c r="BL456" i="3"/>
  <c r="BA464" i="3"/>
  <c r="BL467" i="3"/>
  <c r="BL468" i="3"/>
  <c r="BL470" i="3"/>
  <c r="BL473" i="3"/>
  <c r="AZ473" i="3" s="1"/>
  <c r="BL474" i="3"/>
  <c r="BA482" i="3"/>
  <c r="BA484" i="3"/>
  <c r="AZ484" i="3" s="1"/>
  <c r="BA491" i="3"/>
  <c r="BL324" i="3"/>
  <c r="AZ324" i="3" s="1"/>
  <c r="BL328" i="3"/>
  <c r="AZ328" i="3" s="1"/>
  <c r="BA335" i="3"/>
  <c r="AZ335" i="3" s="1"/>
  <c r="BA339" i="3"/>
  <c r="AZ339" i="3" s="1"/>
  <c r="BL585" i="3"/>
  <c r="G574" i="3"/>
  <c r="BL16" i="3"/>
  <c r="AZ16" i="3" s="1"/>
  <c r="G398" i="3"/>
  <c r="G399" i="3"/>
  <c r="BL400" i="3"/>
  <c r="BL408" i="3"/>
  <c r="AZ408" i="3" s="1"/>
  <c r="BL411" i="3"/>
  <c r="AZ411" i="3" s="1"/>
  <c r="BL413" i="3"/>
  <c r="AZ413" i="3" s="1"/>
  <c r="G415" i="3"/>
  <c r="G416" i="3"/>
  <c r="BL417" i="3"/>
  <c r="AZ417" i="3" s="1"/>
  <c r="BL418" i="3"/>
  <c r="BL420" i="3"/>
  <c r="G422" i="3"/>
  <c r="G423" i="3"/>
  <c r="BL424" i="3"/>
  <c r="G426" i="3"/>
  <c r="G427" i="3"/>
  <c r="BL428" i="3"/>
  <c r="AZ428" i="3" s="1"/>
  <c r="BL429" i="3"/>
  <c r="BL432" i="3"/>
  <c r="BL435" i="3"/>
  <c r="AZ435" i="3" s="1"/>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L316" i="3"/>
  <c r="AZ400" i="3"/>
  <c r="AZ402" i="3"/>
  <c r="AZ406" i="3"/>
  <c r="AZ429" i="3"/>
  <c r="AZ432" i="3"/>
  <c r="BA434" i="3"/>
  <c r="BA436" i="3"/>
  <c r="BA438" i="3"/>
  <c r="AZ443" i="3"/>
  <c r="AZ487" i="3"/>
  <c r="BA307" i="3"/>
  <c r="AZ307" i="3" s="1"/>
  <c r="G311" i="3"/>
  <c r="BL314" i="3"/>
  <c r="AZ314" i="3" s="1"/>
  <c r="G315" i="3"/>
  <c r="G323" i="3"/>
  <c r="BL225" i="3"/>
  <c r="BL226" i="3"/>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0" i="3"/>
  <c r="BL298" i="3"/>
  <c r="BL299" i="3"/>
  <c r="BL125" i="3"/>
  <c r="BL126" i="3"/>
  <c r="BL139" i="3"/>
  <c r="AZ13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116" i="3"/>
  <c r="AZ116" i="3" s="1"/>
  <c r="BA121" i="3"/>
  <c r="BL121" i="3"/>
  <c r="BA129" i="3"/>
  <c r="BA133" i="3"/>
  <c r="AZ133" i="3" s="1"/>
  <c r="BL146" i="3"/>
  <c r="BL154" i="3"/>
  <c r="BL163" i="3"/>
  <c r="AZ163" i="3" s="1"/>
  <c r="BA189" i="3"/>
  <c r="AZ189" i="3" s="1"/>
  <c r="BA207" i="3"/>
  <c r="G364" i="3"/>
  <c r="BA367" i="3"/>
  <c r="AZ367" i="3" s="1"/>
  <c r="BA370" i="3"/>
  <c r="AZ370" i="3" s="1"/>
  <c r="BA386" i="3"/>
  <c r="AZ386" i="3" s="1"/>
  <c r="G397" i="3"/>
  <c r="G210" i="3"/>
  <c r="BA216" i="3"/>
  <c r="AZ216" i="3" s="1"/>
  <c r="BA218" i="3"/>
  <c r="BL218" i="3"/>
  <c r="BL220" i="3"/>
  <c r="AZ125" i="3"/>
  <c r="AZ126" i="3"/>
  <c r="AZ64" i="3"/>
  <c r="B13" i="1"/>
  <c r="E13" i="1" s="1"/>
  <c r="K13" i="1"/>
  <c r="M13" i="1" s="1"/>
  <c r="O13" i="1" s="1"/>
  <c r="P13" i="1" s="1"/>
  <c r="AC18" i="36"/>
  <c r="W18" i="36"/>
  <c r="B27" i="71"/>
  <c r="B26" i="71" s="1"/>
  <c r="S28" i="71"/>
  <c r="C51" i="71"/>
  <c r="D50" i="7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5" i="3"/>
  <c r="BL206" i="3"/>
  <c r="G22" i="3"/>
  <c r="G24" i="3"/>
  <c r="G25" i="3"/>
  <c r="G27" i="3"/>
  <c r="BA27" i="3"/>
  <c r="AZ27" i="3" s="1"/>
  <c r="G30" i="3"/>
  <c r="BL30" i="3"/>
  <c r="BL31" i="3"/>
  <c r="AZ31" i="3" s="1"/>
  <c r="G37" i="3"/>
  <c r="BL40" i="3"/>
  <c r="BL41" i="3"/>
  <c r="AZ41" i="3" s="1"/>
  <c r="BL45" i="3"/>
  <c r="BA48" i="3"/>
  <c r="BA49" i="3"/>
  <c r="AZ49" i="3" s="1"/>
  <c r="BA51" i="3"/>
  <c r="G55" i="3"/>
  <c r="BL56" i="3"/>
  <c r="BA58" i="3"/>
  <c r="BL59" i="3"/>
  <c r="AZ59" i="3" s="1"/>
  <c r="BL60" i="3"/>
  <c r="BA61" i="3"/>
  <c r="AZ61" i="3" s="1"/>
  <c r="BA68" i="3"/>
  <c r="AZ68" i="3" s="1"/>
  <c r="BA73" i="3"/>
  <c r="C32" i="71"/>
  <c r="D31" i="71"/>
  <c r="T28" i="71"/>
  <c r="D28" i="71"/>
  <c r="U28" i="71" s="1"/>
  <c r="C27" i="71"/>
  <c r="D34" i="71"/>
  <c r="C35" i="71"/>
  <c r="C55" i="71"/>
  <c r="D54" i="7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AZ45" i="3" s="1"/>
  <c r="BA46" i="3"/>
  <c r="BL49" i="3"/>
  <c r="BL50" i="3"/>
  <c r="AZ50" i="3" s="1"/>
  <c r="BL51" i="3"/>
  <c r="G53" i="3"/>
  <c r="BL53" i="3"/>
  <c r="BA56" i="3"/>
  <c r="BA57" i="3"/>
  <c r="AZ57" i="3" s="1"/>
  <c r="BL58" i="3"/>
  <c r="G60" i="3"/>
  <c r="BA60" i="3"/>
  <c r="BA63" i="3"/>
  <c r="BA66" i="3"/>
  <c r="BA71" i="3"/>
  <c r="BL74" i="3"/>
  <c r="BL75" i="3"/>
  <c r="AZ103" i="3"/>
  <c r="AB21" i="34"/>
  <c r="U21" i="34"/>
  <c r="C64" i="71"/>
  <c r="D63" i="7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95" i="3"/>
  <c r="W18" i="35"/>
  <c r="C44" i="71"/>
  <c r="D43" i="71"/>
  <c r="V24" i="71"/>
  <c r="E23" i="71"/>
  <c r="E22" i="71" s="1"/>
  <c r="E21" i="71" s="1"/>
  <c r="E20" i="71" s="1"/>
  <c r="E19" i="71" s="1"/>
  <c r="E18" i="71" s="1"/>
  <c r="E17" i="71" s="1"/>
  <c r="E16" i="71" s="1"/>
  <c r="G76" i="3"/>
  <c r="BL77" i="3"/>
  <c r="AZ77" i="3" s="1"/>
  <c r="BA79" i="3"/>
  <c r="AZ79" i="3" s="1"/>
  <c r="BA84" i="3"/>
  <c r="AZ84" i="3" s="1"/>
  <c r="BL88" i="3"/>
  <c r="AZ88" i="3" s="1"/>
  <c r="BL90" i="3"/>
  <c r="BL92" i="3"/>
  <c r="G101" i="3"/>
  <c r="BA101" i="3"/>
  <c r="G109" i="3"/>
  <c r="BL112" i="3"/>
  <c r="D87" i="71"/>
  <c r="C67" i="71"/>
  <c r="C47" i="71"/>
  <c r="D47" i="71" s="1"/>
  <c r="Y26" i="71"/>
  <c r="Z26" i="71" s="1"/>
  <c r="AA38"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BL81" i="3"/>
  <c r="BA82" i="3"/>
  <c r="AZ82" i="3" s="1"/>
  <c r="BL83" i="3"/>
  <c r="G88" i="3"/>
  <c r="BA90" i="3"/>
  <c r="BL94" i="3"/>
  <c r="AZ94" i="3" s="1"/>
  <c r="BA100" i="3"/>
  <c r="AZ100" i="3" s="1"/>
  <c r="BA102" i="3"/>
  <c r="AZ102" i="3" s="1"/>
  <c r="BL105" i="3"/>
  <c r="AZ105" i="3" s="1"/>
  <c r="BL107" i="3"/>
  <c r="BA111" i="3"/>
  <c r="AZ111" i="3" s="1"/>
  <c r="S18" i="36"/>
  <c r="AA28" i="71"/>
  <c r="AB27" i="71"/>
  <c r="E75" i="71"/>
  <c r="E74" i="71" s="1"/>
  <c r="AB25" i="71"/>
  <c r="Y25" i="71"/>
  <c r="Z25" i="71" s="1"/>
  <c r="Y29" i="71"/>
  <c r="Z29" i="71" s="1"/>
  <c r="AB32" i="71"/>
  <c r="X33"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P66" i="71"/>
  <c r="AB26" i="71"/>
  <c r="C83" i="71"/>
  <c r="C79" i="71"/>
  <c r="C75" i="71"/>
  <c r="C71" i="71"/>
  <c r="C39" i="71"/>
  <c r="Y28" i="71"/>
  <c r="Z28" i="71" s="1"/>
  <c r="X28" i="71"/>
  <c r="X32" i="71"/>
  <c r="F38" i="71"/>
  <c r="F39" i="71" s="1"/>
  <c r="F40" i="71" s="1"/>
  <c r="V40" i="71" s="1"/>
  <c r="B79" i="71"/>
  <c r="B78" i="71" s="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E7" i="34" s="1"/>
  <c r="G7" i="34" s="1"/>
  <c r="I7"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I1" i="73"/>
  <c r="B40" i="1" s="1"/>
  <c r="F65" i="67"/>
  <c r="F66" i="67"/>
  <c r="Q71" i="67"/>
  <c r="C27" i="67"/>
  <c r="F71" i="67"/>
  <c r="F72" i="15"/>
  <c r="B13" i="70"/>
  <c r="M7" i="67"/>
  <c r="F50" i="67"/>
  <c r="F75" i="15"/>
  <c r="D9" i="69"/>
  <c r="D15" i="80"/>
  <c r="D21" i="12"/>
  <c r="D15" i="68"/>
  <c r="F8" i="67"/>
  <c r="F36" i="67"/>
  <c r="F6" i="81"/>
  <c r="F8" i="15"/>
  <c r="M6" i="67"/>
  <c r="M23" i="81"/>
  <c r="D3" i="73"/>
  <c r="M27" i="81"/>
  <c r="D7" i="73"/>
  <c r="M9" i="81"/>
  <c r="C18" i="15"/>
  <c r="F9" i="81"/>
  <c r="M25" i="15"/>
  <c r="F7" i="15"/>
  <c r="L48" i="67"/>
  <c r="M21" i="15"/>
  <c r="M29" i="67"/>
  <c r="M32" i="15"/>
  <c r="L47" i="67"/>
  <c r="F40" i="67"/>
  <c r="F27" i="15"/>
  <c r="M21" i="81"/>
  <c r="M32" i="81"/>
  <c r="M28" i="15"/>
  <c r="M22" i="81"/>
  <c r="F21" i="15"/>
  <c r="C18" i="81"/>
  <c r="L52" i="15"/>
  <c r="D6" i="73"/>
  <c r="M23" i="15"/>
  <c r="F7" i="81"/>
  <c r="L53" i="81"/>
  <c r="F48" i="15"/>
  <c r="F22" i="81"/>
  <c r="F23" i="15"/>
  <c r="M8" i="81"/>
  <c r="F8" i="81"/>
  <c r="M6" i="81"/>
  <c r="F25" i="81"/>
  <c r="M25" i="81"/>
  <c r="F29" i="15"/>
  <c r="C34" i="15"/>
  <c r="M6" i="15"/>
  <c r="M9" i="15"/>
  <c r="F44" i="81"/>
  <c r="D4" i="73"/>
  <c r="L52" i="81"/>
  <c r="D5" i="73"/>
  <c r="M27" i="15"/>
  <c r="F6" i="15"/>
  <c r="C16" i="67"/>
  <c r="F44" i="15"/>
  <c r="F23" i="81"/>
  <c r="L53" i="15"/>
  <c r="M28" i="81"/>
  <c r="F21" i="81"/>
  <c r="F29" i="81"/>
  <c r="M8" i="15"/>
  <c r="F48" i="81"/>
  <c r="F34" i="81"/>
  <c r="C83" i="81"/>
  <c r="F27" i="81"/>
  <c r="S46" i="34" l="1"/>
  <c r="AA46" i="34"/>
  <c r="W28" i="34"/>
  <c r="AC27" i="34"/>
  <c r="F68" i="67"/>
  <c r="M59" i="67"/>
  <c r="N59" i="67"/>
  <c r="L59" i="67"/>
  <c r="Q61" i="67" s="1"/>
  <c r="F56" i="15"/>
  <c r="F64" i="67"/>
  <c r="F51" i="67"/>
  <c r="C49" i="67" s="1"/>
  <c r="C6" i="67"/>
  <c r="J6" i="67"/>
  <c r="AZ277" i="3"/>
  <c r="AZ244" i="3"/>
  <c r="AZ239" i="3"/>
  <c r="AZ441" i="3"/>
  <c r="AB27" i="33"/>
  <c r="AZ69" i="3"/>
  <c r="AZ55" i="3"/>
  <c r="AZ270" i="3"/>
  <c r="AZ251" i="3"/>
  <c r="AZ397" i="3"/>
  <c r="AZ332" i="3"/>
  <c r="U23" i="35"/>
  <c r="AB23" i="35"/>
  <c r="AB43" i="34"/>
  <c r="U43" i="34"/>
  <c r="S32" i="36"/>
  <c r="AA32" i="36"/>
  <c r="U46" i="21"/>
  <c r="AB46" i="21"/>
  <c r="W33" i="39"/>
  <c r="AC33" i="39"/>
  <c r="AZ51" i="3"/>
  <c r="AZ130" i="3"/>
  <c r="AZ368" i="3"/>
  <c r="AZ353" i="3"/>
  <c r="N65" i="71"/>
  <c r="N66" i="71"/>
  <c r="AZ233" i="3"/>
  <c r="AZ214" i="3"/>
  <c r="W46" i="39"/>
  <c r="AC46" i="39"/>
  <c r="AB44" i="21"/>
  <c r="U44" i="21"/>
  <c r="U45" i="39"/>
  <c r="AB45" i="39"/>
  <c r="AC31" i="21"/>
  <c r="W31" i="21"/>
  <c r="AZ218" i="3"/>
  <c r="AZ121" i="3"/>
  <c r="AZ506" i="3"/>
  <c r="AZ514" i="3"/>
  <c r="AZ520" i="3"/>
  <c r="AZ522" i="3"/>
  <c r="AZ528" i="3"/>
  <c r="AZ534" i="3"/>
  <c r="S34" i="36"/>
  <c r="AA34" i="36"/>
  <c r="AB46" i="39"/>
  <c r="U46" i="39"/>
  <c r="AC44" i="21"/>
  <c r="W44" i="21"/>
  <c r="AC45" i="39"/>
  <c r="W45" i="39"/>
  <c r="AB31" i="21"/>
  <c r="U31" i="21"/>
  <c r="S19" i="34"/>
  <c r="AA19" i="34"/>
  <c r="AC25" i="37"/>
  <c r="W25" i="37"/>
  <c r="AB32" i="36"/>
  <c r="U32" i="36"/>
  <c r="AA46" i="21"/>
  <c r="S46" i="21"/>
  <c r="AA33" i="39"/>
  <c r="S33" i="39"/>
  <c r="U15" i="34"/>
  <c r="U45" i="34"/>
  <c r="AB45" i="34"/>
  <c r="AB12" i="34"/>
  <c r="W15" i="34"/>
  <c r="AC15" i="34"/>
  <c r="S29" i="34"/>
  <c r="AA29" i="34"/>
  <c r="S32" i="34"/>
  <c r="AA32" i="34"/>
  <c r="Q16" i="1"/>
  <c r="F27" i="69" s="1"/>
  <c r="F45" i="69" s="1"/>
  <c r="H16" i="1"/>
  <c r="F30" i="6"/>
  <c r="C58" i="33"/>
  <c r="D58" i="33" s="1"/>
  <c r="E58" i="33" s="1"/>
  <c r="F58" i="33" s="1"/>
  <c r="G58" i="33" s="1"/>
  <c r="H58" i="33" s="1"/>
  <c r="I58" i="33" s="1"/>
  <c r="J58" i="33" s="1"/>
  <c r="K58" i="33" s="1"/>
  <c r="L58" i="33" s="1"/>
  <c r="M58" i="33" s="1"/>
  <c r="N58" i="33" s="1"/>
  <c r="O58" i="33" s="1"/>
  <c r="E7" i="33"/>
  <c r="G7" i="33" s="1"/>
  <c r="I7" i="33" s="1"/>
  <c r="J7" i="36"/>
  <c r="W12" i="33"/>
  <c r="AC12" i="33"/>
  <c r="AA36" i="33"/>
  <c r="S36" i="33"/>
  <c r="F79" i="15"/>
  <c r="F71" i="15"/>
  <c r="C45" i="15"/>
  <c r="F14" i="15"/>
  <c r="C7" i="15"/>
  <c r="C9" i="15" s="1"/>
  <c r="C6" i="15" s="1"/>
  <c r="F73" i="15"/>
  <c r="M7" i="15"/>
  <c r="M14" i="15" s="1"/>
  <c r="F55" i="15"/>
  <c r="F64" i="15" s="1"/>
  <c r="L64" i="15"/>
  <c r="Q66" i="15" s="1"/>
  <c r="N64" i="15"/>
  <c r="M64" i="15"/>
  <c r="E29" i="6"/>
  <c r="K15" i="1" s="1"/>
  <c r="G30" i="6"/>
  <c r="G31" i="6" s="1"/>
  <c r="D71" i="71"/>
  <c r="C70" i="71"/>
  <c r="D70" i="71" s="1"/>
  <c r="D67" i="71"/>
  <c r="C66" i="71"/>
  <c r="O67" i="71"/>
  <c r="AZ101" i="3"/>
  <c r="T44" i="71"/>
  <c r="D44" i="71"/>
  <c r="AZ29" i="3"/>
  <c r="AZ71" i="3"/>
  <c r="C56" i="71"/>
  <c r="D55" i="71"/>
  <c r="C52" i="71"/>
  <c r="D51" i="71"/>
  <c r="AZ284" i="3"/>
  <c r="AZ418" i="3"/>
  <c r="AB39" i="37"/>
  <c r="U39" i="37"/>
  <c r="AZ550" i="3"/>
  <c r="AB24" i="36"/>
  <c r="U24" i="36"/>
  <c r="AC30" i="21"/>
  <c r="W30" i="21"/>
  <c r="AC14" i="21"/>
  <c r="W14" i="21"/>
  <c r="AZ586" i="3"/>
  <c r="D75" i="71"/>
  <c r="C74" i="71"/>
  <c r="D74" i="71" s="1"/>
  <c r="AZ66" i="3"/>
  <c r="C36" i="71"/>
  <c r="D35" i="71"/>
  <c r="AZ58" i="3"/>
  <c r="AZ271" i="3"/>
  <c r="AZ454" i="3"/>
  <c r="AC39" i="37"/>
  <c r="W39" i="37"/>
  <c r="AB9" i="33"/>
  <c r="U9" i="33"/>
  <c r="AZ496" i="3"/>
  <c r="AZ525" i="3"/>
  <c r="AC24" i="36"/>
  <c r="W24" i="36"/>
  <c r="S30" i="21"/>
  <c r="AA30" i="21"/>
  <c r="U14" i="21"/>
  <c r="AB14" i="21"/>
  <c r="G5" i="3"/>
  <c r="B3" i="3" s="1"/>
  <c r="AT6" i="3" s="1"/>
  <c r="C78" i="71"/>
  <c r="D78" i="71" s="1"/>
  <c r="D79" i="71"/>
  <c r="AZ63" i="3"/>
  <c r="AZ137" i="3"/>
  <c r="AZ297" i="3"/>
  <c r="AZ282" i="3"/>
  <c r="AZ241" i="3"/>
  <c r="AZ491" i="3"/>
  <c r="AZ464" i="3"/>
  <c r="U41" i="40"/>
  <c r="AB41" i="40"/>
  <c r="U12" i="36"/>
  <c r="AB12" i="36"/>
  <c r="AZ541" i="3"/>
  <c r="AA39" i="39"/>
  <c r="S39" i="39"/>
  <c r="W28" i="21"/>
  <c r="AC28" i="21"/>
  <c r="S14" i="21"/>
  <c r="AA14" i="21"/>
  <c r="C40" i="71"/>
  <c r="D39" i="71"/>
  <c r="C82" i="71"/>
  <c r="D82" i="71" s="1"/>
  <c r="D83" i="71"/>
  <c r="AZ150" i="3"/>
  <c r="C26" i="71"/>
  <c r="D26" i="71" s="1"/>
  <c r="D27" i="71"/>
  <c r="T32" i="71"/>
  <c r="D32" i="71"/>
  <c r="AZ302" i="3"/>
  <c r="AZ274" i="3"/>
  <c r="AZ256" i="3"/>
  <c r="AZ401" i="3"/>
  <c r="W12" i="35"/>
  <c r="AC12" i="35"/>
  <c r="AZ459" i="3"/>
  <c r="AB36" i="35"/>
  <c r="U36" i="35"/>
  <c r="AC41" i="40"/>
  <c r="W41" i="40"/>
  <c r="AC12" i="36"/>
  <c r="W12" i="36"/>
  <c r="AZ500" i="3"/>
  <c r="AZ502" i="3"/>
  <c r="AZ505" i="3"/>
  <c r="AZ521" i="3"/>
  <c r="AZ554" i="3"/>
  <c r="AC39" i="39"/>
  <c r="W39" i="39"/>
  <c r="AA28" i="21"/>
  <c r="S28" i="21"/>
  <c r="AZ585"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J5" i="67" s="1"/>
  <c r="F11" i="15"/>
  <c r="M11" i="15"/>
  <c r="F11" i="67"/>
  <c r="AE11" i="1"/>
  <c r="AE12" i="1"/>
  <c r="AE10" i="1"/>
  <c r="AE9" i="1"/>
  <c r="AE8" i="1"/>
  <c r="F33" i="12"/>
  <c r="C18" i="12"/>
  <c r="F27" i="68"/>
  <c r="G1" i="73"/>
  <c r="C34" i="81"/>
  <c r="Q74" i="67" l="1"/>
  <c r="AB7" i="36"/>
  <c r="T36" i="36" s="1"/>
  <c r="G36" i="36" s="1"/>
  <c r="T49" i="34"/>
  <c r="G49" i="34" s="1"/>
  <c r="C29" i="69"/>
  <c r="D27" i="69" s="1"/>
  <c r="C47" i="69"/>
  <c r="D45" i="69" s="1"/>
  <c r="F1" i="15"/>
  <c r="Q79" i="15"/>
  <c r="Q57" i="15"/>
  <c r="J7" i="15"/>
  <c r="J9" i="15" s="1"/>
  <c r="J6" i="15" s="1"/>
  <c r="C55" i="15"/>
  <c r="C57" i="15" s="1"/>
  <c r="C54" i="15" s="1"/>
  <c r="D56" i="71"/>
  <c r="T56" i="71"/>
  <c r="D36" i="71"/>
  <c r="T36" i="71"/>
  <c r="T52" i="71"/>
  <c r="D52" i="71"/>
  <c r="T40" i="71"/>
  <c r="D40" i="71"/>
  <c r="O65" i="71"/>
  <c r="O66" i="71"/>
  <c r="D66"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26" i="15"/>
  <c r="F26" i="81"/>
  <c r="M26" i="15"/>
  <c r="F41" i="67"/>
  <c r="M26" i="81"/>
  <c r="AA12" i="40" l="1"/>
  <c r="R50" i="34"/>
  <c r="C50" i="34" s="1"/>
  <c r="G54" i="34"/>
  <c r="H54" i="34" s="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C16" i="12"/>
  <c r="C17" i="12" s="1"/>
  <c r="D16" i="68"/>
  <c r="C68" i="81"/>
  <c r="C35" i="15"/>
  <c r="C14" i="67"/>
  <c r="C35" i="81"/>
  <c r="C68" i="15"/>
  <c r="C17" i="67"/>
  <c r="C32" i="81"/>
  <c r="C49" i="34" l="1"/>
  <c r="E10" i="74" s="1"/>
  <c r="B10" i="74" s="1"/>
  <c r="B51" i="34"/>
  <c r="B52" i="34"/>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R24" i="31" s="1"/>
  <c r="T25" i="31" s="1"/>
  <c r="C49" i="33"/>
  <c r="D2" i="33" s="1"/>
  <c r="B2" i="33" s="1"/>
  <c r="H58" i="21"/>
  <c r="E47" i="37"/>
  <c r="F47" i="37" s="1"/>
  <c r="E46" i="37"/>
  <c r="F46" i="37" s="1"/>
  <c r="I47" i="37"/>
  <c r="J47" i="37" s="1"/>
  <c r="E53" i="33"/>
  <c r="F53" i="33" s="1"/>
  <c r="E52" i="33"/>
  <c r="F52" i="33" s="1"/>
  <c r="C33" i="67"/>
  <c r="J19" i="67"/>
  <c r="F16" i="12"/>
  <c r="F10" i="68"/>
  <c r="C12" i="68" s="1"/>
  <c r="E6" i="76"/>
  <c r="B6" i="76"/>
  <c r="C32" i="15"/>
  <c r="D31" i="6" l="1"/>
  <c r="S24" i="31"/>
  <c r="R25" i="31"/>
  <c r="S25" i="31" s="1"/>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S22" i="31" l="1"/>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R22" i="31" l="1"/>
  <c r="B20" i="31"/>
  <c r="B21" i="31" s="1"/>
  <c r="C56" i="80"/>
  <c r="C57" i="80" s="1"/>
  <c r="C31" i="80" s="1"/>
  <c r="C49" i="12"/>
  <c r="C9" i="68"/>
  <c r="C21" i="68" s="1"/>
  <c r="C25" i="68" s="1"/>
  <c r="C23" i="68" s="1"/>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35" i="67"/>
  <c r="F20" i="15"/>
  <c r="M20" i="81"/>
  <c r="M20" i="15"/>
  <c r="M21" i="67"/>
  <c r="C32" i="80" l="1"/>
  <c r="C33" i="80" s="1"/>
  <c r="D3" i="80" s="1"/>
  <c r="B2"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6" i="81"/>
  <c r="L51" i="67"/>
  <c r="C25" i="81" l="1"/>
  <c r="C51" i="81" s="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5"/>
  <c r="F2" i="36"/>
  <c r="C20" i="9"/>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AO8" i="1"/>
  <c r="AO6"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<sst xmlns="http://schemas.openxmlformats.org/spreadsheetml/2006/main" count="9048" uniqueCount="3904">
  <si>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</si>
  <si>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</si>
  <si>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</si>
  <si>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</si>
  <si>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</si>
  <si>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</si>
  <si>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</si>
  <si>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</si>
  <si>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</si>
  <si>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</si>
  <si>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</si>
  <si>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</si>
  <si>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</si>
  <si>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</si>
  <si>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</si>
  <si>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</si>
  <si>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</si>
  <si>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</si>
  <si>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</si>
  <si>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</si>
  <si>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</si>
  <si>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</si>
  <si>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</si>
  <si>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</si>
  <si>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</si>
  <si>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</si>
  <si>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</si>
  <si>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</si>
  <si>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</si>
  <si>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</si>
  <si>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</si>
  <si>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</si>
  <si>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</si>
  <si>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</si>
  <si>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</si>
  <si>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</si>
  <si>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</si>
  <si>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</si>
  <si>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</si>
  <si>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</si>
  <si>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</si>
  <si>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</si>
  <si>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</si>
  <si>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</si>
  <si>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</si>
  <si>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</si>
  <si>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</si>
  <si>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</si>
  <si>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</si>
  <si>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</si>
  <si>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</si>
  <si>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</si>
  <si>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</si>
  <si>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</si>
  <si>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</si>
  <si>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</si>
  <si>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</si>
  <si>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</si>
  <si>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</si>
  <si>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</si>
  <si>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</si>
  <si>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</si>
  <si>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</si>
  <si>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</si>
  <si>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</si>
  <si>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</si>
  <si>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</si>
  <si>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</si>
  <si>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</si>
  <si>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</si>
  <si>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</si>
  <si>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</si>
  <si>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</si>
  <si>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</si>
  <si>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</si>
  <si>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</si>
  <si>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</si>
  <si>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</si>
  <si>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</si>
  <si>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</si>
  <si>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</si>
  <si>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</si>
  <si>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</si>
  <si>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</si>
  <si>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</si>
  <si>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</si>
  <si>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</si>
  <si>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</si>
  <si>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</si>
  <si>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</si>
  <si>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</si>
  <si>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</si>
  <si>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</si>
  <si>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</si>
  <si>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</si>
  <si>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</si>
  <si>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</si>
  <si>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</si>
  <si>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</si>
  <si>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</si>
  <si>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</si>
  <si>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</si>
  <si>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</si>
  <si>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</si>
  <si>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</si>
  <si>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</si>
  <si>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</si>
  <si>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</si>
  <si>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</si>
  <si>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</si>
  <si>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</si>
  <si>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</si>
  <si>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</si>
  <si>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</si>
  <si>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</si>
  <si>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</si>
  <si>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</si>
  <si>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</si>
  <si>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</si>
  <si>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</si>
  <si>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</si>
  <si>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</si>
  <si>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</si>
  <si>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</si>
  <si>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</si>
  <si>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</si>
  <si>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</si>
  <si>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</si>
  <si>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</si>
  <si>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</si>
  <si>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</si>
  <si>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</si>
  <si>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</si>
  <si>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</si>
  <si>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</si>
  <si>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</si>
  <si>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</si>
  <si>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</si>
  <si>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</si>
  <si>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</si>
  <si>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</si>
  <si>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</si>
  <si>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</si>
  <si>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</si>
  <si>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</si>
  <si>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</si>
  <si>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</si>
  <si>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</si>
  <si>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</si>
  <si>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</si>
  <si>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</si>
  <si>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</si>
  <si>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</si>
  <si>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</si>
  <si>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</si>
  <si>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</si>
  <si>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</si>
  <si>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</si>
  <si>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</si>
  <si>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</si>
  <si>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</si>
  <si>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</si>
  <si>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</si>
  <si>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</si>
  <si>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</si>
  <si>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</si>
  <si>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</si>
  <si>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</si>
  <si>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</si>
  <si>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</si>
  <si>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</si>
  <si>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</si>
  <si>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</si>
  <si>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</si>
  <si>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</si>
  <si>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</si>
  <si>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</si>
  <si>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</si>
  <si>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</si>
  <si>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</si>
  <si>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</si>
  <si>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</si>
  <si>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</si>
  <si>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</si>
  <si>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</si>
  <si>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</si>
  <si>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</si>
  <si>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</si>
  <si>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</si>
  <si>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</si>
  <si>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</si>
  <si>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</si>
  <si>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</si>
  <si>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</si>
  <si>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</si>
  <si>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</si>
  <si>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</si>
  <si>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</si>
  <si>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</si>
  <si>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</si>
  <si>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</si>
  <si>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</si>
  <si>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</si>
  <si>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</si>
  <si>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</si>
  <si>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</si>
  <si>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</si>
  <si>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</si>
  <si>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</si>
  <si>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</si>
  <si>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</si>
  <si>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</si>
  <si>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</si>
  <si>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</si>
  <si>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</si>
  <si>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</si>
  <si>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</si>
  <si>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</si>
  <si>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</si>
  <si>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</si>
  <si>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</si>
  <si>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</si>
  <si>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</si>
  <si>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</si>
  <si>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</si>
  <si>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</si>
  <si>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</si>
  <si>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</si>
  <si>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</si>
  <si>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</si>
  <si>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</si>
  <si>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</si>
  <si>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</si>
  <si>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</si>
  <si>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</si>
  <si>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</si>
  <si>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</si>
  <si>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</si>
  <si>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</si>
  <si>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</si>
  <si>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</si>
  <si>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</si>
  <si>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</si>
  <si>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</si>
  <si>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</si>
  <si>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</si>
  <si>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</si>
  <si>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</si>
  <si>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</si>
  <si>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</si>
  <si>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</si>
  <si>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</si>
  <si>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</si>
  <si>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</si>
  <si>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</si>
  <si>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</si>
  <si>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</si>
  <si>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</si>
  <si>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</si>
  <si>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</si>
  <si>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</si>
  <si>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</si>
  <si>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</si>
  <si>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</si>
  <si>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</si>
  <si>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</si>
  <si>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</si>
  <si>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</si>
  <si>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</si>
  <si>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</si>
  <si>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</si>
  <si>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</si>
  <si>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</si>
  <si>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</si>
  <si>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</si>
  <si>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</si>
  <si>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</si>
  <si>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</si>
  <si>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</si>
  <si>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</si>
  <si>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</si>
  <si>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</si>
  <si>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</si>
  <si>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</si>
  <si>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</si>
  <si>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</si>
  <si>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</si>
  <si>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</si>
  <si>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</si>
  <si>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</si>
  <si>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</si>
  <si>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</si>
  <si>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</si>
  <si>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</si>
  <si>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</si>
  <si>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</si>
  <si>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</si>
  <si>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</si>
  <si>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</si>
  <si>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</si>
  <si>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</si>
  <si>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</si>
  <si>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</si>
  <si>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</si>
  <si>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</si>
  <si>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</si>
  <si>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</si>
  <si>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</si>
  <si>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</si>
  <si>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</si>
  <si>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</si>
  <si>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</si>
  <si>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</si>
  <si>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</si>
  <si>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</si>
  <si>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</si>
  <si>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</si>
  <si>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</si>
  <si>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</si>
  <si>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</si>
  <si>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</si>
  <si>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</si>
  <si>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</si>
  <si>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</si>
  <si>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</si>
  <si>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</si>
  <si>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</si>
  <si>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</si>
  <si>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</si>
  <si>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</si>
  <si>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</si>
  <si>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</si>
  <si>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</si>
  <si>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</si>
  <si>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</si>
  <si>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</si>
  <si>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</si>
  <si>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</si>
  <si>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</si>
  <si>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</si>
  <si>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</si>
  <si>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</si>
  <si>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</si>
  <si>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</si>
  <si>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</si>
  <si>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</si>
  <si>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</si>
  <si>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</si>
  <si>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</si>
  <si>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</si>
  <si>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</si>
  <si>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</si>
  <si>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</si>
  <si>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</si>
  <si>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</si>
  <si>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</si>
  <si>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</si>
  <si>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</si>
  <si>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</si>
  <si>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</si>
  <si>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</si>
  <si>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</si>
  <si>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</si>
  <si>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</si>
  <si>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</si>
  <si>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</si>
  <si>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</si>
  <si>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</si>
  <si>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</si>
  <si>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</si>
  <si>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</si>
  <si>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</si>
  <si>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</si>
  <si>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</si>
  <si>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</si>
  <si>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</si>
  <si>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</si>
  <si>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</si>
  <si>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</si>
  <si>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</si>
  <si>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</si>
  <si>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</si>
  <si>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</si>
  <si>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</si>
  <si>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</si>
  <si>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</si>
  <si>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</si>
  <si>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</si>
  <si>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</si>
  <si>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</si>
  <si>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</si>
  <si>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</si>
  <si>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</si>
  <si>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</si>
  <si>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</si>
  <si>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</si>
  <si>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</si>
  <si>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</si>
  <si>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</si>
  <si>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</si>
  <si>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</si>
  <si>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</si>
  <si>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</si>
  <si>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</si>
  <si>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</si>
  <si>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</si>
  <si>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</si>
  <si>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</si>
  <si>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</si>
  <si>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</si>
  <si>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</si>
  <si>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</si>
  <si>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</si>
  <si>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</si>
  <si>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</si>
  <si>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</si>
  <si>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</si>
  <si>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</si>
  <si>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</si>
  <si>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</si>
  <si>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</si>
  <si>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</si>
  <si>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</si>
  <si>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</si>
  <si>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</si>
  <si>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</si>
  <si>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</si>
  <si>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</si>
  <si>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</si>
  <si>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</si>
  <si>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</si>
  <si>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</si>
  <si>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</si>
  <si>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</si>
  <si>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</si>
  <si>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</si>
  <si>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</si>
  <si>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</si>
  <si>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</si>
  <si>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</si>
  <si>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</si>
  <si>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</si>
  <si>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</si>
  <si>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</si>
  <si>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</si>
  <si>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</si>
  <si>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</si>
  <si>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</si>
  <si>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</si>
  <si>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</si>
  <si>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</si>
  <si>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</si>
  <si>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</si>
  <si>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</si>
  <si>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</si>
  <si>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</si>
  <si>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</si>
  <si>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</si>
  <si>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</si>
  <si>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</si>
  <si>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</si>
  <si>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</si>
  <si>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</si>
  <si>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</si>
  <si>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</si>
  <si>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</si>
  <si>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</si>
  <si>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</si>
  <si>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</si>
  <si>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</si>
  <si>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</si>
  <si>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</si>
  <si>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</si>
  <si>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</si>
  <si>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</si>
  <si>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</si>
  <si>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</si>
  <si>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</si>
  <si>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</si>
  <si>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</si>
  <si>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</si>
  <si>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</si>
  <si>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</si>
  <si>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</si>
  <si>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</si>
  <si>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</si>
  <si>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</si>
  <si>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</si>
  <si>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</si>
  <si>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</si>
  <si>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</si>
  <si>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</si>
  <si>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</si>
  <si>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</si>
  <si>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</si>
  <si>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</si>
  <si>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</si>
  <si>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</si>
  <si>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</si>
  <si>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</si>
  <si>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</si>
  <si>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</si>
  <si>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</si>
  <si>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</si>
  <si>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</si>
  <si>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</si>
  <si>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</si>
  <si>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</si>
  <si>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</si>
  <si>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</si>
  <si>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</si>
  <si>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</si>
  <si>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</si>
  <si>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</si>
  <si>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</si>
  <si>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</si>
  <si>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</si>
  <si>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</si>
  <si>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</si>
  <si>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</si>
  <si>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</si>
  <si>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</si>
  <si>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</si>
  <si>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</si>
  <si>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</si>
  <si>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</si>
  <si>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</si>
  <si>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</si>
  <si>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</si>
  <si>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</si>
  <si>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</si>
  <si>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</si>
  <si>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</si>
  <si>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</si>
  <si>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</si>
  <si>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</si>
  <si>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</si>
  <si>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</si>
  <si>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</si>
  <si>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</si>
  <si>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</si>
  <si>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</si>
  <si>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</si>
  <si>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</si>
  <si>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</si>
  <si>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</si>
  <si>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</si>
  <si>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</si>
  <si>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</si>
  <si>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</si>
  <si>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</si>
  <si>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</si>
  <si>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</si>
  <si>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</si>
  <si>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</si>
  <si>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</si>
  <si>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</si>
  <si>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</si>
  <si>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</si>
  <si>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</si>
  <si>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</si>
  <si>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</si>
  <si>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</si>
  <si>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</si>
  <si>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</si>
  <si>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</si>
  <si>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</si>
  <si>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</si>
  <si>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</si>
  <si>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</si>
  <si>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</si>
  <si>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</si>
  <si>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</si>
  <si>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</si>
  <si>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</si>
  <si>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</si>
  <si>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</si>
  <si>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</si>
  <si>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</si>
  <si>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</si>
  <si>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</si>
  <si>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</si>
  <si>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</si>
  <si>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</si>
  <si>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</si>
  <si>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</si>
  <si>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</si>
  <si>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</si>
  <si>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</si>
  <si>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</si>
  <si>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</si>
  <si>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</si>
  <si>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</si>
  <si>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</si>
  <si>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</si>
  <si>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</si>
  <si>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</si>
  <si>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</si>
  <si>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</si>
  <si>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</si>
  <si>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</si>
  <si>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</si>
  <si>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</si>
  <si>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</si>
  <si>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</si>
  <si>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</si>
  <si>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</si>
  <si>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</si>
  <si>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</si>
  <si>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</si>
  <si>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</si>
  <si>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</si>
  <si>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</si>
  <si>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</si>
  <si>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</si>
  <si>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</si>
  <si>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</si>
  <si>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</si>
  <si>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</si>
  <si>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</si>
  <si>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</si>
  <si>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</si>
  <si>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</si>
  <si>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</si>
  <si>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</si>
  <si>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</si>
  <si>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</si>
  <si>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</si>
  <si>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</si>
  <si>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</si>
  <si>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</si>
  <si>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</si>
  <si>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</si>
  <si>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</si>
  <si>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</si>
  <si>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</si>
  <si>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</si>
  <si>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</si>
  <si>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</si>
  <si>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</si>
  <si>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</si>
  <si>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</si>
  <si>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</si>
  <si>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</si>
  <si>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</si>
  <si>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</si>
  <si>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</si>
  <si>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</si>
  <si>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</si>
  <si>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</si>
  <si>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</si>
  <si>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</si>
  <si>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</si>
  <si>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</si>
  <si>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</si>
  <si>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</si>
  <si>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</si>
  <si>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</si>
  <si>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</si>
  <si>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</si>
  <si>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</si>
  <si>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</si>
  <si>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</si>
  <si>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</si>
  <si>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</si>
  <si>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</si>
  <si>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</si>
  <si>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</si>
  <si>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</si>
  <si>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</si>
  <si>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</si>
  <si>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</si>
  <si>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</si>
  <si>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</si>
  <si>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</si>
  <si>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</si>
  <si>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</si>
  <si>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</si>
  <si>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</si>
  <si>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</si>
  <si>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</si>
  <si>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</si>
  <si>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</si>
  <si>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</si>
  <si>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</si>
  <si>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</si>
  <si>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</si>
  <si>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</si>
  <si>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</si>
  <si>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</si>
  <si>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</si>
  <si>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</si>
  <si>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</si>
  <si>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</si>
  <si>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</si>
  <si>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</si>
  <si>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</si>
  <si>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</si>
  <si>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</si>
  <si>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</si>
  <si>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</si>
  <si>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</si>
  <si>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</si>
  <si>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</si>
  <si>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</si>
  <si>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</si>
  <si>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</si>
  <si>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</si>
  <si>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</si>
  <si>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</si>
  <si>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</si>
  <si>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</si>
  <si>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</si>
  <si>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</si>
  <si>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</si>
  <si>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</si>
  <si>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</si>
  <si>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</si>
  <si>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</si>
  <si>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</si>
  <si>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</si>
  <si>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</si>
  <si>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</si>
  <si>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</si>
  <si>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</si>
  <si>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</si>
  <si>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</si>
  <si>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</si>
  <si>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</si>
  <si>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</si>
  <si>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</si>
  <si>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</si>
  <si>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</si>
  <si>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</si>
  <si>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</si>
  <si>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</si>
  <si>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</si>
  <si>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</si>
  <si>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</si>
  <si>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</si>
  <si>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</si>
  <si>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</si>
  <si>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</si>
  <si>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</si>
  <si>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</si>
  <si>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</si>
  <si>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</si>
  <si>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</si>
  <si>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</si>
  <si>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</si>
  <si>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</si>
  <si>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</si>
  <si>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</si>
  <si>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</si>
  <si>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</si>
  <si>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</si>
  <si>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</si>
  <si>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</si>
  <si>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</si>
  <si>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</si>
  <si>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</si>
  <si>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</si>
  <si>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</si>
  <si>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</si>
  <si>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</si>
  <si>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</si>
  <si>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</si>
  <si>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</si>
  <si>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</si>
  <si>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</si>
  <si>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</si>
  <si>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</si>
  <si>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</si>
  <si>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</si>
  <si>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</si>
  <si>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</si>
  <si>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</si>
  <si>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</si>
  <si>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</si>
  <si>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</si>
  <si>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</si>
  <si>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</si>
  <si>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</si>
  <si>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</si>
  <si>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</si>
  <si>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</si>
  <si>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</si>
  <si>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</si>
  <si>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</si>
  <si>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</si>
  <si>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</si>
  <si>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</si>
  <si>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</si>
  <si>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</si>
  <si>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</si>
  <si>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</si>
  <si>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</si>
  <si>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</si>
  <si>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</si>
  <si>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</si>
  <si>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</si>
  <si>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</si>
  <si>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</si>
  <si>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</si>
  <si>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</si>
  <si>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</si>
  <si>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</si>
  <si>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</si>
  <si>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</si>
  <si>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</si>
  <si>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</si>
  <si>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</si>
  <si>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</si>
  <si>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</si>
  <si>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</si>
  <si>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</si>
  <si>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</si>
  <si>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</si>
  <si>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</si>
  <si>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</si>
  <si>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</si>
  <si>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</si>
  <si>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</si>
  <si>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</si>
  <si>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</si>
  <si>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</si>
  <si>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</si>
  <si>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</si>
  <si>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</si>
  <si>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</si>
  <si>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</si>
  <si>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</si>
  <si>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</si>
  <si>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</si>
  <si>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</si>
  <si>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</si>
  <si>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</si>
  <si>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</si>
  <si>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</si>
  <si>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</si>
  <si>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</si>
  <si>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</si>
  <si>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</si>
  <si>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</si>
  <si>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</si>
  <si>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</si>
  <si>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</si>
  <si>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</si>
  <si>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</si>
  <si>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</si>
  <si>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</si>
  <si>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</si>
  <si>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</si>
  <si>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</si>
  <si>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</si>
  <si>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</si>
  <si>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</si>
  <si>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</si>
  <si>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</si>
  <si>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</si>
  <si>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</si>
  <si>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</si>
  <si>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</si>
  <si>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</si>
  <si>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</si>
  <si>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</si>
  <si>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</si>
  <si>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</si>
  <si>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</si>
  <si>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</si>
  <si>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</si>
  <si>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</si>
  <si>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</si>
  <si>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</si>
  <si>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</si>
  <si>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</si>
  <si>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</si>
  <si>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</si>
  <si>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</si>
  <si>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</si>
  <si>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</si>
  <si>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</si>
  <si>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</si>
  <si>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</si>
  <si>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</si>
  <si>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</si>
  <si>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</si>
  <si>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</si>
  <si>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</si>
  <si>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</si>
  <si>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</si>
  <si>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</si>
  <si>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</si>
  <si>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</si>
  <si>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</si>
  <si>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</si>
  <si>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</si>
  <si>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</si>
  <si>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</si>
  <si>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</si>
  <si>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</si>
  <si>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</si>
  <si>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</si>
  <si>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</si>
  <si>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</si>
  <si>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</si>
  <si>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</si>
  <si>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</si>
  <si>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</si>
  <si>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</si>
  <si>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</si>
  <si>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</si>
  <si>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</si>
  <si>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</si>
  <si>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</si>
  <si>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</si>
  <si>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</si>
  <si>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</si>
  <si>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</si>
  <si>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</si>
  <si>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</si>
  <si>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</si>
  <si>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</si>
  <si>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</si>
  <si>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</si>
  <si>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</si>
  <si>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</si>
  <si>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</si>
  <si>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</si>
  <si>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</si>
  <si>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</si>
  <si>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</si>
  <si>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</si>
  <si>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</si>
  <si>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</si>
  <si>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</si>
  <si>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</si>
  <si>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</si>
  <si>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</si>
  <si>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</si>
  <si>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</si>
  <si>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</si>
  <si>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</si>
  <si>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</si>
  <si>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</si>
  <si>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</si>
  <si>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</si>
  <si>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</si>
  <si>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</si>
  <si>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</si>
  <si>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</si>
  <si>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</si>
  <si>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</si>
  <si>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</si>
  <si>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</si>
  <si>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</si>
  <si>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</si>
  <si>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</si>
  <si>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</si>
  <si>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</si>
  <si>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</si>
  <si>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</si>
  <si>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</si>
  <si>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</si>
  <si>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</si>
  <si>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</si>
  <si>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</si>
  <si>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</si>
  <si>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</si>
  <si>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</si>
  <si>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</si>
  <si>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</si>
  <si>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</si>
  <si>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</si>
  <si>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</si>
  <si>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</si>
  <si>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</si>
  <si>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</si>
  <si>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</si>
  <si>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</si>
  <si>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</si>
  <si>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</si>
  <si>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</si>
  <si>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</si>
  <si>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</si>
  <si>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</si>
  <si>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</si>
  <si>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</si>
  <si>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</si>
  <si>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</si>
  <si>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</si>
  <si>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</si>
  <si>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</si>
  <si>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</si>
  <si>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</si>
  <si>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</si>
  <si>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</si>
  <si>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</si>
  <si>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</si>
  <si>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</si>
  <si>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</si>
  <si>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</si>
  <si>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</si>
  <si>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</si>
  <si>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</si>
  <si>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</si>
  <si>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</si>
  <si>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</si>
  <si>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</si>
  <si>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</si>
  <si>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</si>
  <si>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</si>
  <si>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</si>
  <si>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</si>
  <si>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</si>
  <si>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</si>
  <si>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</si>
  <si>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</si>
  <si>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</si>
  <si>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</si>
  <si>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</si>
  <si>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</si>
  <si>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</si>
  <si>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</si>
  <si>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</si>
  <si>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</si>
  <si>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</si>
  <si>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</si>
  <si>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</si>
  <si>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</si>
  <si>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</si>
  <si>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</si>
  <si>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</si>
  <si>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</si>
  <si>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</si>
  <si>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</si>
  <si>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</si>
  <si>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</si>
  <si>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</si>
  <si>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</si>
  <si>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</si>
  <si>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</si>
  <si>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</si>
  <si>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</si>
  <si>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</si>
  <si>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</si>
  <si>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</si>
  <si>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</si>
  <si>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</si>
  <si>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</si>
  <si>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</si>
  <si>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</si>
  <si>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</si>
  <si>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</si>
  <si>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</si>
  <si>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</si>
  <si>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</si>
  <si>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</si>
  <si>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</si>
  <si>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</si>
  <si>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</si>
  <si>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</si>
  <si>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</si>
  <si>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</si>
  <si>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</si>
  <si>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</si>
  <si>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</si>
  <si>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</si>
  <si>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</si>
  <si>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</si>
  <si>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</si>
  <si>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</si>
  <si>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</si>
  <si>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</si>
  <si>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</si>
  <si>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</si>
  <si>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</si>
  <si>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</si>
  <si>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</si>
  <si>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</si>
  <si>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</si>
  <si>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</si>
  <si>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</si>
  <si>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</si>
  <si>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</si>
  <si>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</si>
  <si>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</si>
  <si>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</si>
  <si>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</si>
  <si>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</si>
  <si>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</si>
  <si>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</si>
  <si>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</si>
  <si>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</si>
  <si>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</si>
  <si>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</si>
  <si>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</si>
  <si>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</si>
  <si>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</si>
  <si>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</si>
  <si>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</si>
  <si>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</si>
  <si>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</si>
  <si>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</si>
  <si>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</si>
  <si>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</si>
  <si>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</si>
  <si>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</si>
  <si>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</si>
  <si>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</si>
  <si>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</si>
  <si>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</si>
  <si>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</si>
  <si>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</si>
  <si>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</si>
  <si>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</si>
  <si>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</si>
  <si>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</si>
  <si>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</si>
  <si>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</si>
  <si>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</si>
  <si>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</si>
  <si>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</si>
  <si>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</si>
  <si>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</si>
  <si>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</si>
  <si>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</si>
  <si>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</si>
  <si>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</si>
  <si>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</si>
  <si>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</si>
  <si>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</si>
  <si>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</si>
  <si>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</si>
  <si>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</si>
  <si>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</si>
  <si>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</si>
  <si>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</si>
  <si>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</si>
  <si>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</si>
  <si>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</si>
  <si>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</si>
  <si>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</si>
  <si>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</si>
  <si>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</si>
  <si>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</si>
  <si>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</si>
  <si>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</si>
  <si>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</si>
  <si>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</si>
  <si>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</si>
  <si>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</si>
  <si>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</si>
  <si>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</si>
  <si>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</si>
  <si>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</si>
  <si>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</si>
  <si>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</si>
  <si>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</si>
  <si>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</si>
  <si>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</si>
  <si>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</si>
  <si>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</si>
  <si>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</si>
  <si>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</si>
  <si>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</si>
  <si>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</si>
  <si>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</si>
  <si>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</si>
  <si>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</si>
  <si>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</si>
  <si>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</si>
  <si>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</si>
  <si>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</si>
  <si>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</si>
  <si>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</si>
  <si>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</si>
  <si>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</si>
  <si>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</si>
  <si>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</si>
  <si>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</si>
  <si>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</si>
  <si>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</si>
  <si>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</si>
  <si>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</si>
  <si>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</si>
  <si>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</si>
  <si>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</si>
  <si>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</si>
  <si>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</si>
  <si>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</si>
  <si>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</si>
  <si>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</si>
  <si>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</si>
  <si>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</si>
  <si>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</si>
  <si>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</si>
  <si>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</si>
  <si>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</si>
  <si>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</si>
  <si>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</si>
  <si>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</si>
  <si>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</si>
  <si>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</si>
  <si>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</si>
  <si>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</si>
  <si>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</si>
  <si>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</si>
  <si>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</si>
  <si>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</si>
  <si>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</si>
  <si>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</si>
  <si>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</si>
  <si>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</si>
  <si>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</si>
  <si>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</si>
  <si>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</si>
  <si>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</si>
  <si>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</si>
  <si>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</si>
  <si>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</si>
  <si>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</si>
  <si>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</si>
  <si>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</si>
  <si>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</si>
  <si>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</si>
  <si>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</si>
  <si>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</si>
  <si>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</si>
  <si>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</si>
  <si>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</si>
  <si>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</si>
  <si>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</si>
  <si>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</si>
  <si>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</si>
  <si>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</si>
  <si>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</si>
  <si>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</si>
  <si>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</si>
  <si>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</si>
  <si>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</si>
  <si>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</si>
  <si>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</si>
  <si>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</si>
  <si>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</si>
  <si>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</si>
  <si>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</si>
  <si>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</si>
  <si>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</si>
  <si>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</si>
  <si>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</si>
  <si>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</si>
  <si>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</si>
  <si>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</si>
  <si>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</si>
  <si>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</si>
  <si>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</si>
  <si>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</si>
  <si>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</si>
  <si>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</si>
  <si>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</si>
  <si>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</si>
  <si>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</si>
  <si>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</si>
  <si>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</si>
  <si>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</si>
  <si>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</si>
  <si>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</si>
  <si>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</si>
  <si>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</si>
  <si>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</si>
  <si>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</si>
  <si>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</si>
  <si>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</si>
  <si>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</si>
  <si>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</si>
  <si>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</si>
  <si>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</si>
  <si>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</si>
  <si>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</si>
  <si>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</si>
  <si>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</si>
  <si>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</si>
  <si>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</si>
  <si>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</si>
  <si>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</si>
  <si>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</si>
  <si>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</si>
  <si>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</si>
  <si>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</si>
  <si>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</si>
  <si>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</si>
  <si>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</si>
  <si>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</si>
  <si>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</si>
  <si>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</si>
  <si>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</si>
  <si>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</si>
  <si>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</si>
  <si>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</si>
  <si>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</si>
  <si>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</si>
  <si>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</si>
  <si>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</si>
  <si>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</si>
  <si>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</si>
  <si>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</si>
  <si>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</si>
  <si>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</si>
  <si>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</si>
  <si>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</si>
  <si>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</si>
  <si>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</si>
  <si>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</si>
  <si>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</si>
  <si>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</si>
  <si>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</si>
  <si>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</si>
  <si>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</si>
  <si>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</si>
  <si>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</si>
  <si>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</si>
  <si>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</si>
  <si>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</si>
  <si>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</si>
  <si>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</si>
  <si>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</si>
  <si>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</si>
  <si>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</si>
  <si>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</si>
  <si>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</si>
  <si>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</si>
  <si>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</si>
  <si>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</si>
  <si>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</si>
  <si>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</si>
  <si>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</si>
  <si>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</si>
  <si>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</si>
  <si>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</si>
  <si>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</si>
  <si>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</si>
  <si>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</si>
  <si>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</si>
  <si>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</si>
  <si>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</si>
  <si>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</si>
  <si>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</si>
  <si>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</si>
  <si>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</si>
  <si>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</si>
  <si>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</si>
  <si>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</si>
  <si>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</si>
  <si>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</si>
  <si>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</si>
  <si>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</si>
  <si>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</si>
  <si>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</si>
  <si>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</si>
  <si>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</si>
  <si>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</si>
  <si>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</si>
  <si>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</si>
  <si>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</si>
  <si>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</si>
  <si>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</si>
  <si>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</si>
  <si>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</si>
  <si>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</si>
  <si>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</si>
  <si>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</si>
  <si>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</si>
  <si>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</si>
  <si>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</si>
  <si>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</si>
  <si>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</si>
  <si>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</si>
  <si>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</si>
  <si>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</si>
  <si>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</si>
  <si>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</si>
  <si>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</si>
  <si>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</si>
  <si>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</si>
  <si>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</si>
  <si>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</si>
  <si>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</si>
  <si>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</si>
  <si>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</si>
  <si>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</si>
  <si>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</si>
  <si>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</si>
  <si>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</si>
  <si>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</si>
  <si>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</si>
  <si>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</si>
  <si>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</si>
  <si>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</si>
  <si>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</si>
  <si>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</si>
  <si>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</si>
  <si>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</si>
  <si>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</si>
  <si>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</si>
  <si>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</si>
  <si>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</si>
  <si>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</si>
  <si>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</si>
  <si>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</si>
  <si>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</si>
  <si>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</si>
  <si>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</si>
  <si>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</si>
  <si>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</si>
  <si>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</si>
  <si>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</si>
  <si>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</si>
  <si>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</si>
  <si>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</si>
  <si>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</si>
  <si>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</si>
  <si>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</si>
  <si>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</si>
  <si>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</si>
  <si>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</si>
  <si>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</si>
  <si>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</si>
  <si>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</si>
  <si>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</si>
  <si>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</si>
  <si>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</si>
  <si>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</si>
  <si>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</si>
  <si>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</si>
  <si>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</si>
  <si>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</si>
  <si>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</si>
  <si>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</si>
  <si>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</si>
  <si>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</si>
  <si>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</si>
  <si>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</si>
  <si>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</si>
  <si>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</si>
  <si>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</si>
  <si>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</si>
  <si>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</si>
  <si>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</si>
  <si>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</si>
  <si>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</si>
  <si>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</si>
  <si>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</si>
  <si>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</si>
  <si>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</si>
  <si>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</si>
  <si>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</si>
  <si>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</si>
  <si>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</si>
  <si>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</si>
  <si>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</si>
  <si>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</si>
  <si>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</si>
  <si>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</si>
  <si>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</si>
  <si>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</si>
  <si>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</si>
  <si>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</si>
  <si>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</si>
  <si>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</si>
  <si>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</si>
  <si>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</si>
  <si>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</si>
  <si>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</si>
  <si>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</si>
  <si>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</si>
  <si>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</si>
  <si>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</si>
  <si>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</si>
  <si>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</si>
  <si>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</si>
  <si>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</si>
  <si>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</si>
  <si>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</si>
  <si>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</si>
  <si>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</si>
  <si>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</si>
  <si>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</si>
  <si>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</si>
  <si>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</si>
  <si>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</si>
  <si>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</si>
  <si>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</si>
  <si>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</si>
  <si>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</si>
  <si>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</si>
  <si>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</si>
  <si>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</si>
  <si>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</si>
  <si>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</si>
  <si>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</si>
  <si>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</si>
  <si>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</si>
  <si>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</si>
  <si>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</si>
  <si>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</si>
  <si>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</si>
  <si>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</si>
  <si>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</si>
  <si>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</si>
  <si>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</si>
  <si>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</si>
  <si>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</si>
  <si>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</si>
  <si>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</si>
  <si>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</si>
  <si>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</si>
  <si>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</si>
  <si>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</si>
  <si>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</si>
  <si>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</si>
  <si>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</si>
  <si>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</si>
  <si>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</si>
  <si>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</si>
  <si>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</si>
  <si>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</si>
  <si>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</si>
  <si>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</si>
  <si>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</si>
  <si>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</si>
  <si>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</si>
  <si>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</si>
  <si>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</si>
  <si>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</si>
  <si>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</si>
  <si>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</si>
  <si>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</si>
  <si>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</si>
  <si>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</si>
  <si>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</si>
  <si>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</si>
  <si>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</si>
  <si>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</si>
  <si>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</si>
  <si>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</si>
  <si>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</si>
  <si>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</si>
  <si>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</si>
  <si>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</si>
  <si>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</si>
  <si>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</si>
  <si>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</si>
  <si>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</si>
  <si>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</si>
  <si>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</si>
  <si>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</si>
  <si>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</si>
  <si>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</si>
  <si>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</si>
  <si>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</si>
  <si>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</si>
  <si>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</si>
  <si>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</si>
  <si>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</si>
  <si>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</si>
  <si>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</si>
  <si>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</si>
  <si>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</si>
  <si>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</si>
  <si>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</si>
  <si>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</si>
  <si>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</si>
  <si>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</si>
  <si>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</si>
  <si>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</si>
  <si>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</si>
  <si>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</si>
  <si>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</si>
  <si>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</si>
  <si>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</si>
  <si>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</si>
  <si>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</si>
  <si>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</si>
  <si>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</si>
  <si>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</si>
  <si>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</si>
  <si>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</si>
  <si>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</si>
  <si>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</si>
  <si>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</si>
  <si>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</si>
  <si>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</si>
  <si>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</si>
  <si>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</si>
  <si>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</si>
  <si>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</si>
  <si>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</si>
  <si>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</si>
  <si>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</si>
  <si>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</si>
  <si>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</si>
  <si>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</si>
  <si>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</si>
  <si>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</si>
  <si>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</si>
  <si>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</si>
  <si>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</si>
  <si>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</si>
  <si>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</si>
  <si>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</si>
  <si>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</si>
  <si>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</si>
  <si>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</si>
  <si>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</si>
  <si>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</si>
  <si>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</si>
  <si>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</si>
  <si>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</si>
  <si>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</si>
  <si>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</si>
  <si>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</si>
  <si>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</si>
  <si>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</si>
  <si>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</si>
  <si>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</si>
  <si>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</si>
  <si>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</si>
  <si>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</si>
  <si>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</si>
  <si>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</si>
  <si>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</si>
  <si>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</si>
  <si>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</si>
  <si>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</si>
  <si>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</si>
  <si>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</si>
  <si>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</si>
  <si>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</si>
  <si>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</si>
  <si>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</si>
  <si>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</si>
  <si>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</si>
  <si>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</si>
  <si>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</si>
  <si>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</si>
  <si>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</si>
  <si>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</si>
  <si>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</si>
  <si>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</si>
  <si>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</si>
  <si>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</si>
  <si>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</si>
  <si>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</si>
  <si>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</si>
  <si>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</si>
  <si>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</si>
  <si>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</si>
  <si>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</si>
  <si>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</si>
  <si>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</si>
  <si>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</si>
  <si>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</si>
  <si>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</si>
  <si>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</si>
  <si>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</si>
  <si>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</si>
  <si>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</si>
  <si>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</si>
  <si>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</si>
  <si>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</si>
  <si>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</si>
  <si>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</si>
  <si>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</si>
  <si>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</si>
  <si>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</si>
  <si>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</si>
  <si>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</si>
  <si>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</si>
  <si>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</si>
  <si>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</si>
  <si>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</si>
  <si>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</si>
  <si>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</si>
  <si>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</si>
  <si>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</si>
  <si>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</si>
  <si>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</si>
  <si>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</si>
  <si>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</si>
  <si>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</si>
  <si>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</si>
  <si>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</si>
  <si>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</si>
  <si>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</si>
  <si>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</si>
  <si>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</si>
  <si>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</si>
  <si>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</si>
  <si>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</si>
  <si>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</si>
  <si>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</si>
  <si>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</si>
  <si>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</si>
  <si>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</si>
  <si>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</si>
  <si>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</si>
  <si>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</si>
  <si>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</si>
  <si>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</si>
  <si>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</si>
  <si>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</si>
  <si>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</si>
  <si>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</si>
  <si>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</si>
  <si>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</si>
  <si>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</si>
  <si>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</si>
  <si>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</si>
  <si>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</si>
  <si>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</si>
  <si>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</si>
  <si>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</si>
  <si>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</si>
  <si>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</si>
  <si>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</si>
  <si>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</si>
  <si>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</si>
  <si>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</si>
  <si>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</si>
  <si>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</si>
  <si>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</si>
  <si>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</si>
  <si>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</si>
  <si>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</si>
  <si>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</si>
  <si>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</si>
  <si>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</si>
  <si>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</si>
  <si>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</si>
  <si>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</si>
  <si>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</si>
  <si>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</si>
  <si>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</si>
  <si>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</si>
  <si>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</si>
  <si>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</si>
  <si>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</si>
  <si>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</si>
  <si>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</si>
  <si>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</si>
  <si>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</si>
  <si>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</si>
  <si>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</si>
  <si>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</si>
  <si>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</si>
  <si>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</si>
  <si>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</si>
  <si>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</si>
  <si>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</si>
  <si>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</si>
  <si>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</si>
  <si>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</si>
  <si>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</si>
  <si>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</si>
  <si>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</si>
  <si>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</si>
  <si>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</si>
  <si>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</si>
  <si>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</si>
  <si>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</si>
  <si>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</si>
  <si>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</si>
  <si>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</si>
  <si>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</si>
  <si>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</si>
  <si>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</si>
  <si>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</si>
  <si>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</si>
  <si>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</si>
  <si>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</si>
  <si>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</si>
  <si>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</si>
  <si>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</si>
  <si>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</si>
  <si>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</si>
  <si>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</si>
  <si>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</si>
  <si>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</si>
  <si>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</si>
  <si>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</si>
  <si>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</si>
  <si>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</si>
  <si>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</si>
  <si>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</si>
  <si>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</si>
  <si>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</si>
  <si>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</si>
  <si>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</si>
  <si>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</si>
  <si>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</si>
  <si>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</si>
  <si>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</si>
  <si>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</si>
  <si>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</si>
  <si>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</si>
  <si>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</si>
  <si>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</si>
  <si>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</si>
  <si>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</si>
  <si>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</si>
  <si>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</si>
  <si>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</si>
  <si>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</si>
  <si>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</si>
  <si>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</si>
  <si>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</si>
  <si>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</si>
  <si>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</si>
  <si>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</si>
  <si>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</si>
  <si>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</si>
  <si>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</si>
  <si>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</si>
  <si>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</si>
  <si>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</si>
  <si>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</si>
  <si>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</si>
  <si>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</si>
  <si>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</si>
  <si>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</si>
  <si>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</si>
  <si>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</si>
  <si>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</si>
  <si>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</si>
  <si>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</si>
  <si>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</si>
  <si>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</si>
  <si>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</si>
  <si>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</si>
  <si>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</si>
  <si>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</si>
  <si>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</si>
  <si>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</si>
  <si>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</si>
  <si>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</si>
  <si>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</si>
  <si>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</si>
  <si>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</si>
  <si>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</si>
  <si>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</si>
  <si>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</si>
  <si>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</si>
  <si>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</si>
  <si>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</si>
  <si>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</si>
  <si>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</si>
  <si>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</si>
  <si>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</si>
  <si>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</si>
  <si>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</si>
  <si>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</si>
  <si>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</si>
  <si>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</si>
  <si>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</si>
  <si>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</si>
  <si>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</si>
  <si>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</si>
  <si>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</si>
  <si>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</si>
  <si>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</si>
  <si>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</si>
  <si>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</si>
  <si>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</si>
  <si>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</si>
  <si>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</si>
  <si>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</si>
  <si>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</si>
  <si>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</si>
  <si>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</si>
  <si>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</si>
  <si>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</si>
  <si>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</si>
  <si>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</si>
  <si>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</si>
  <si>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</si>
  <si>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</si>
  <si>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</si>
  <si>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</si>
  <si>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</si>
  <si>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</si>
  <si>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</si>
  <si>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</si>
  <si>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</si>
  <si>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</si>
  <si>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</si>
  <si>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</si>
  <si>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</si>
  <si>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</si>
  <si>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</si>
  <si>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</si>
  <si>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</si>
  <si>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</si>
  <si>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</si>
  <si>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</si>
  <si>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</si>
  <si>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</si>
  <si>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</si>
  <si>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</si>
  <si>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</si>
  <si>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</si>
  <si>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</si>
  <si>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</si>
  <si>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</si>
  <si>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</si>
  <si>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</si>
  <si>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</si>
  <si>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</si>
  <si>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</si>
  <si>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</si>
  <si>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</si>
  <si>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</si>
  <si>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</si>
  <si>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</si>
  <si>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</si>
  <si>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</si>
  <si>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</si>
  <si>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</si>
  <si>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</si>
  <si>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</si>
  <si>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</si>
  <si>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</si>
  <si>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</si>
  <si>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</si>
  <si>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</si>
  <si>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</si>
  <si>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</si>
  <si>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</si>
  <si>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</si>
  <si>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</si>
  <si>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</si>
  <si>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</si>
  <si>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</si>
  <si>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</si>
  <si>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</si>
  <si>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</si>
  <si>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</si>
  <si>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</si>
  <si>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</si>
  <si>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</si>
  <si>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</si>
  <si>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</si>
  <si>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</si>
  <si>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</si>
  <si>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</si>
  <si>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</si>
  <si>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</si>
  <si>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</si>
  <si>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</si>
  <si>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</si>
  <si>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</si>
  <si>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</si>
  <si>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</si>
  <si>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</si>
  <si>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</si>
  <si>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</si>
  <si>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</si>
  <si>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</si>
  <si>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</si>
  <si>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</si>
  <si>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</si>
  <si>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</si>
  <si>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</si>
  <si>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</si>
  <si>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</si>
  <si>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</si>
  <si>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</si>
  <si>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</si>
  <si>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</si>
  <si>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</si>
  <si>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</si>
  <si>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</si>
  <si>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</si>
  <si>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</si>
  <si>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</si>
  <si>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</si>
  <si>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</si>
  <si>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</si>
  <si>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</si>
  <si>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</si>
  <si>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</si>
  <si>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</si>
  <si>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</si>
  <si>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</si>
  <si>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</si>
  <si>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</si>
  <si>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</si>
  <si>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</si>
  <si>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</si>
  <si>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</si>
  <si>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</si>
  <si>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</si>
  <si>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</si>
  <si>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</si>
  <si>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</si>
  <si>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</si>
  <si>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</si>
  <si>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</si>
  <si>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</si>
  <si>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</si>
  <si>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</si>
  <si>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</si>
  <si>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</si>
  <si>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</si>
  <si>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</si>
  <si>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</si>
  <si>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</si>
  <si>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</si>
  <si>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</si>
  <si>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</si>
  <si>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</si>
  <si>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</si>
  <si>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</si>
  <si>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</si>
  <si>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</si>
  <si>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</si>
  <si>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</si>
  <si>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</si>
  <si>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</si>
  <si>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</si>
  <si>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</si>
  <si>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</si>
  <si>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</si>
  <si>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</si>
  <si>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</si>
  <si>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</si>
  <si>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</si>
  <si>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</si>
  <si>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</si>
  <si>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</si>
  <si>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</si>
  <si>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</si>
  <si>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</si>
  <si>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</si>
  <si>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</si>
  <si>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</si>
  <si>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</si>
  <si>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</si>
  <si>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</si>
  <si>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</si>
  <si>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</si>
  <si>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</si>
  <si>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</si>
  <si>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</si>
  <si>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</si>
  <si>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</si>
  <si>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</si>
  <si>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</si>
  <si>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</si>
  <si>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</si>
  <si>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</si>
  <si>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</si>
  <si>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</si>
  <si>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</si>
  <si>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</si>
  <si>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</si>
  <si>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</si>
  <si>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</si>
  <si>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</si>
  <si>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</si>
  <si>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</si>
  <si>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</si>
  <si>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</si>
  <si>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</si>
  <si>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</si>
  <si>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</si>
  <si>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</si>
  <si>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</si>
  <si>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</si>
  <si>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</si>
  <si>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</si>
  <si>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</si>
  <si>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</si>
  <si>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</si>
  <si>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</si>
  <si>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</si>
  <si>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</si>
  <si>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</si>
  <si>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</si>
  <si>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</si>
  <si>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</si>
  <si>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</si>
  <si>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</si>
  <si>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</si>
  <si>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</si>
  <si>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</si>
  <si>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</si>
  <si>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</si>
  <si>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</si>
  <si>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</si>
  <si>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</si>
  <si>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</si>
  <si>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</si>
  <si>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</si>
  <si>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</si>
  <si>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</si>
  <si>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</si>
  <si>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</si>
  <si>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</si>
  <si>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</si>
  <si>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</si>
  <si>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</si>
  <si>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</si>
  <si>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</si>
  <si>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</si>
  <si>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</si>
  <si>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</si>
  <si>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</si>
  <si>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</si>
  <si>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</si>
  <si>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</si>
  <si>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</si>
  <si>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</si>
  <si>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</si>
  <si>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</si>
  <si>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</si>
  <si>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</si>
  <si>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</si>
  <si>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</si>
  <si>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</si>
  <si>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</si>
  <si>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</si>
  <si>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</si>
  <si>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</si>
  <si>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</si>
  <si>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</si>
  <si>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</si>
  <si>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</si>
  <si>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</si>
  <si>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</si>
  <si>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</si>
  <si>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</si>
  <si>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</si>
  <si>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</si>
  <si>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</si>
  <si>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</si>
  <si>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</si>
  <si>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</si>
  <si>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</si>
  <si>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</si>
  <si>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</si>
  <si>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</si>
  <si>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</si>
  <si>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</si>
  <si>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</si>
  <si>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</si>
  <si>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</si>
  <si>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</si>
  <si>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</si>
  <si>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</si>
  <si>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</si>
  <si>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</si>
  <si>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</si>
  <si>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</si>
  <si>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</si>
  <si>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</si>
  <si>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</si>
  <si>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</si>
  <si>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</si>
  <si>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</si>
  <si>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</si>
  <si>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</si>
  <si>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</si>
  <si>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</si>
  <si>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</si>
  <si>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</si>
  <si>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</si>
  <si>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</si>
  <si>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</si>
  <si>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</si>
  <si>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</si>
  <si>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</si>
  <si>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</si>
  <si>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</si>
  <si>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</si>
  <si>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</si>
  <si>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</si>
  <si>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</si>
  <si>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</si>
  <si>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</si>
  <si>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</si>
  <si>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</si>
  <si>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</si>
  <si>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</si>
  <si>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</si>
  <si>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</si>
  <si>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</si>
  <si>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</si>
  <si>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</si>
  <si>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</si>
  <si>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</si>
  <si>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</si>
  <si>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</si>
  <si>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</si>
  <si>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</si>
  <si>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</si>
  <si>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</si>
  <si>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</si>
  <si>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</si>
  <si>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</si>
  <si>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</si>
  <si>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</si>
  <si>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</si>
  <si>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</si>
  <si>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</si>
  <si>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</si>
  <si>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</si>
  <si>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</si>
  <si>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</si>
  <si>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</si>
  <si>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</si>
  <si>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</si>
  <si>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</si>
  <si>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</si>
  <si>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</si>
  <si>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</si>
  <si>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</si>
  <si>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</si>
  <si>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</si>
  <si>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</si>
  <si>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</si>
  <si>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</si>
  <si>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</si>
  <si>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</si>
  <si>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</si>
  <si>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</si>
  <si>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</si>
  <si>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</si>
  <si>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</si>
  <si>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</si>
  <si>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</si>
  <si>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</si>
  <si>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</si>
  <si>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</si>
  <si>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</si>
  <si>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</si>
  <si>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</si>
  <si>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</si>
  <si>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</si>
  <si>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</si>
  <si>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</si>
  <si>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</si>
  <si>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</si>
  <si>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</si>
  <si>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</si>
  <si>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</si>
  <si>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</si>
  <si>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</si>
  <si>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</si>
  <si>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</si>
  <si>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</si>
  <si>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</si>
  <si>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</si>
  <si>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</si>
  <si>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</si>
  <si>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</si>
  <si>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</si>
  <si>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</si>
  <si>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</si>
  <si>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</si>
  <si>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</si>
  <si>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</si>
  <si>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</si>
  <si>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</si>
  <si>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</si>
  <si>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</si>
  <si>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</si>
  <si>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</si>
  <si>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</si>
  <si>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</si>
  <si>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</si>
  <si>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</si>
  <si>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</si>
  <si>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</si>
  <si>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</si>
  <si>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</si>
  <si>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</si>
  <si>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</si>
  <si>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</si>
  <si>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</si>
  <si>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</si>
  <si>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</si>
  <si>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</si>
  <si>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</si>
  <si>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</si>
  <si>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</si>
  <si>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</si>
  <si>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</si>
  <si>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</si>
  <si>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</si>
  <si>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</si>
  <si>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</si>
  <si>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</si>
  <si>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</si>
  <si>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</si>
  <si>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</si>
  <si>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</si>
  <si>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</si>
  <si>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</si>
  <si>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</si>
  <si>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</si>
  <si>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</si>
  <si>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</si>
  <si>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</si>
  <si>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</si>
  <si>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</si>
  <si>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</si>
  <si>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</si>
  <si>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</si>
  <si>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</si>
  <si>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</si>
  <si>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</si>
  <si>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</si>
  <si>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</si>
  <si>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</si>
  <si>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</si>
  <si>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</si>
  <si>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</si>
  <si>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</si>
  <si>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</si>
  <si>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</si>
  <si>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</si>
  <si>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</si>
  <si>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</si>
  <si>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</si>
  <si>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</si>
  <si>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</si>
  <si>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</si>
  <si>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</si>
  <si>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</si>
  <si>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</si>
  <si>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</si>
  <si>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</si>
  <si>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</si>
  <si>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</si>
  <si>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</si>
  <si>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</si>
  <si>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</si>
  <si>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</si>
  <si>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</si>
  <si>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</si>
  <si>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</si>
  <si>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</si>
  <si>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</si>
  <si>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</si>
  <si>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</si>
  <si>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</si>
  <si>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</si>
  <si>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</si>
  <si>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</si>
  <si>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</si>
  <si>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</si>
  <si>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</si>
  <si>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</si>
  <si>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</si>
  <si>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</si>
  <si>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</si>
  <si>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</si>
  <si>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</si>
  <si>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</si>
  <si>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</si>
  <si>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</si>
  <si>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</si>
  <si>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</si>
  <si>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</si>
  <si>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</si>
  <si>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</si>
  <si>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</si>
  <si>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</si>
  <si>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</si>
  <si>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</si>
  <si>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</si>
  <si>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</si>
  <si>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</si>
  <si>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</si>
  <si>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</si>
  <si>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</si>
  <si>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</si>
  <si>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</si>
  <si>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</si>
  <si>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</si>
  <si>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</si>
  <si>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</si>
  <si>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</si>
  <si>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</si>
  <si>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</si>
  <si>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</si>
  <si>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</si>
  <si>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</si>
  <si>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</si>
  <si>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</si>
  <si>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</si>
  <si>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</si>
  <si>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</si>
  <si>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</si>
  <si>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</si>
  <si>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</si>
  <si>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</si>
  <si>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</si>
  <si>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</si>
  <si>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</si>
  <si>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</si>
  <si>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</si>
  <si>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</si>
  <si>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</si>
  <si>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</si>
  <si>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</si>
  <si>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</si>
  <si>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</si>
  <si>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</si>
  <si>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</si>
  <si>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</si>
  <si>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</si>
  <si>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</si>
  <si>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</si>
  <si>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</si>
  <si>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</si>
  <si>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</si>
  <si>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</si>
  <si>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</si>
  <si>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</si>
  <si>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</si>
  <si>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</si>
  <si>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</si>
  <si>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</si>
  <si>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</si>
  <si>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</si>
  <si>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</si>
  <si>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</si>
  <si>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</si>
  <si>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</si>
  <si>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</si>
  <si>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</si>
  <si>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</si>
  <si>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</si>
  <si>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</si>
  <si>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</si>
  <si>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</si>
  <si>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</si>
  <si>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</si>
  <si>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</si>
  <si>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</si>
  <si>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</si>
  <si>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</si>
  <si>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</si>
  <si>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</si>
  <si>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</si>
  <si>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</si>
  <si>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</si>
  <si>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</si>
  <si>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</si>
  <si>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</si>
  <si>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</si>
  <si>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</si>
  <si>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</si>
  <si>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</si>
  <si>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</si>
  <si>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</si>
  <si>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</si>
  <si>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</si>
  <si>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</si>
  <si>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</si>
  <si>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</si>
  <si>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</si>
  <si>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</si>
  <si>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</si>
  <si>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</si>
  <si>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</si>
  <si>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</si>
  <si>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</si>
  <si>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</si>
  <si>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</si>
  <si>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</si>
  <si>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</si>
  <si>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</si>
  <si>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</si>
  <si>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</si>
  <si>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</si>
  <si>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</si>
  <si>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</si>
  <si>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</si>
  <si>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</si>
  <si>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</si>
  <si>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</si>
  <si>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</si>
  <si>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</si>
  <si>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</si>
  <si>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</si>
  <si>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</si>
  <si>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</si>
  <si>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</si>
  <si>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</si>
  <si>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</si>
  <si>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</si>
  <si>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</si>
  <si>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</si>
  <si>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</si>
  <si>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</si>
  <si>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</si>
  <si>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</si>
  <si>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</si>
  <si>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</si>
  <si>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</si>
  <si>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</si>
  <si>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</si>
  <si>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</si>
  <si>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</si>
  <si>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</si>
  <si>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</si>
  <si>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</si>
  <si>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</si>
  <si>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</si>
  <si>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</si>
  <si>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</si>
  <si>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</si>
  <si>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</si>
  <si>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</si>
  <si>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</si>
  <si>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</si>
  <si>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</si>
  <si>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</si>
  <si>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</si>
  <si>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</si>
  <si>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</si>
  <si>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</si>
  <si>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</si>
  <si>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</si>
  <si>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</si>
  <si>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</si>
  <si>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</si>
  <si>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</si>
  <si>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</si>
  <si>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</si>
  <si>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</si>
  <si>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</si>
  <si>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</si>
  <si>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</si>
  <si>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</si>
  <si>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</si>
  <si>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</si>
  <si>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</si>
  <si>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</si>
  <si>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</si>
  <si>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</si>
  <si>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</si>
  <si>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</si>
  <si>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</si>
  <si>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</si>
  <si>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</si>
  <si>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</si>
  <si>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</si>
  <si>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</si>
  <si>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</si>
  <si>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</si>
  <si>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</si>
  <si>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</si>
  <si>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</si>
  <si>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</si>
  <si>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</si>
  <si>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</si>
  <si>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</si>
  <si>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</si>
  <si>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</si>
  <si>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</si>
  <si>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</si>
  <si>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</si>
  <si>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</si>
  <si>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</si>
  <si>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</si>
  <si>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</si>
  <si>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</si>
  <si>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</si>
  <si>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</si>
  <si>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</si>
  <si>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</si>
  <si>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</si>
  <si>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</si>
  <si>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</si>
  <si>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</si>
  <si>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</si>
  <si>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</si>
  <si>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</si>
  <si>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</si>
  <si>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</si>
  <si>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</si>
  <si>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</si>
  <si>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</si>
  <si>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</si>
  <si>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</si>
  <si>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</si>
  <si>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</si>
  <si>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</si>
  <si>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</si>
  <si>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</si>
  <si>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</si>
  <si>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</si>
  <si>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</si>
  <si>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</si>
  <si>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</si>
  <si>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</si>
  <si>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</si>
  <si>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</si>
  <si>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</si>
  <si>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</si>
  <si>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</si>
  <si>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</si>
  <si>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</si>
  <si>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</si>
  <si>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</si>
  <si>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</si>
  <si>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</si>
  <si>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</si>
  <si>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</si>
  <si>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</si>
  <si>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</si>
  <si>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</si>
  <si>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</si>
  <si>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</si>
  <si>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</si>
  <si>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</si>
  <si>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</si>
  <si>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</si>
  <si>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</si>
  <si>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</si>
  <si>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</si>
  <si>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</si>
  <si>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</si>
  <si>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</si>
  <si>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</si>
  <si>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</si>
  <si>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</si>
  <si>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</si>
  <si>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</si>
  <si>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</si>
  <si>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</si>
  <si>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</si>
  <si>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</si>
  <si>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</si>
  <si>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</si>
  <si>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</si>
  <si>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</si>
  <si>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</si>
  <si>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</si>
  <si>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</si>
  <si>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</si>
  <si>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</si>
  <si>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</si>
  <si>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</si>
  <si>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</si>
  <si>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</si>
  <si>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</si>
  <si>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</si>
  <si>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</si>
  <si>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</si>
  <si>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</si>
  <si>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</si>
  <si>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</si>
  <si>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</si>
  <si>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</si>
  <si>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</si>
  <si>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</si>
  <si>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</si>
  <si>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</si>
  <si>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</si>
  <si>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</si>
  <si>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</si>
  <si>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</si>
  <si>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</si>
  <si>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</si>
  <si>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</si>
  <si>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</si>
  <si>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</si>
  <si>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</si>
  <si>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</si>
  <si>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</si>
  <si>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</si>
  <si>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</si>
  <si>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</si>
  <si>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</si>
  <si>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</si>
  <si>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</si>
  <si>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</si>
  <si>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</si>
  <si>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</si>
  <si>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</si>
  <si>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</si>
  <si>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</si>
  <si>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</si>
  <si>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</si>
  <si>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</si>
  <si>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</si>
  <si>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</si>
  <si>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</si>
  <si>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</si>
  <si>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</si>
  <si>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</si>
  <si>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</si>
  <si>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</si>
  <si>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</si>
  <si>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</si>
  <si>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</si>
  <si>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</si>
  <si>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</si>
  <si>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</si>
  <si>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</si>
  <si>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</si>
  <si>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</si>
  <si>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</si>
  <si>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</si>
  <si>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</si>
  <si>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</si>
  <si>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</si>
  <si>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</si>
  <si>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</si>
  <si>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</si>
  <si>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</si>
  <si>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</si>
  <si>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</si>
  <si>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</si>
  <si>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</si>
  <si>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</si>
  <si>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</si>
  <si>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</si>
  <si>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</si>
  <si>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</si>
  <si>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</si>
  <si>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</si>
  <si>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</si>
  <si>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</si>
  <si>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</si>
  <si>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</si>
  <si>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</si>
  <si>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</si>
  <si>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</si>
  <si>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</si>
  <si>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</si>
  <si>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</si>
  <si>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</si>
  <si>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</si>
  <si>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</si>
  <si>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</si>
  <si>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</si>
  <si>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</si>
  <si>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</si>
  <si>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</si>
  <si>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</si>
  <si>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</si>
  <si>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</si>
  <si>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</si>
  <si>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</si>
  <si>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</si>
  <si>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</si>
  <si>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</si>
  <si>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</si>
  <si>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</si>
  <si>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</si>
  <si>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</si>
  <si>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</si>
  <si>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</si>
  <si>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</si>
  <si>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</si>
  <si>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</si>
  <si>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</si>
  <si>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</si>
  <si>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</si>
  <si>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</si>
  <si>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</si>
  <si>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</si>
  <si>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</si>
  <si>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</si>
  <si>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</si>
  <si>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</si>
  <si>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</si>
  <si>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</si>
  <si>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</si>
  <si>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</si>
  <si>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</si>
  <si>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</si>
  <si>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</si>
  <si>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</si>
  <si>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</si>
  <si>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</si>
  <si>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</si>
  <si>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</si>
  <si>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</si>
  <si>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</si>
  <si>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</si>
  <si>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</si>
  <si>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</si>
  <si>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</si>
  <si>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</si>
  <si>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</si>
  <si>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</si>
  <si>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</si>
  <si>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</si>
  <si>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</si>
  <si>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</si>
  <si>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</si>
  <si>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</si>
  <si>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</si>
  <si>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</si>
  <si>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</si>
  <si>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</si>
  <si>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</si>
  <si>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</si>
  <si>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</si>
  <si>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</si>
  <si>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</si>
  <si>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</si>
  <si>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</si>
  <si>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</si>
  <si>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</si>
  <si>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</si>
  <si>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</si>
  <si>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</si>
  <si>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</si>
  <si>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</si>
  <si>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</si>
  <si>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</si>
  <si>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</si>
  <si>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</si>
  <si>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</si>
  <si>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</si>
  <si>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</si>
  <si>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</si>
  <si>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</si>
  <si>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</si>
  <si>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</si>
  <si>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</si>
  <si>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</si>
  <si>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</si>
  <si>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</si>
  <si>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</si>
  <si>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</si>
  <si>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</si>
  <si>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</si>
  <si>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</si>
  <si>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</si>
  <si>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</si>
  <si>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</si>
  <si>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</si>
  <si>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</si>
  <si>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</si>
  <si>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</si>
  <si>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</si>
  <si>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</si>
  <si>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</si>
  <si>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</si>
  <si>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</si>
  <si>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</si>
  <si>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</si>
  <si>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</si>
  <si>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</si>
  <si>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</si>
  <si>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</si>
  <si>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</si>
  <si>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</si>
  <si>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</si>
  <si>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</si>
  <si>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</si>
  <si>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</si>
  <si>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</si>
  <si>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</si>
  <si>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</si>
  <si>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</si>
  <si>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</si>
  <si>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</si>
  <si>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</si>
  <si>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</si>
  <si>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</si>
  <si>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</si>
  <si>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</si>
  <si>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</si>
  <si>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</si>
  <si>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</si>
  <si>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</si>
  <si>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</si>
  <si>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</si>
  <si>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</si>
  <si>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</si>
  <si>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</si>
  <si>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</si>
  <si>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</si>
  <si>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</si>
  <si>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</si>
  <si>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</si>
  <si>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</si>
  <si>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</si>
  <si>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</si>
  <si>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</si>
  <si>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</si>
  <si>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</si>
  <si>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</si>
  <si>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</si>
  <si>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</si>
  <si>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</si>
  <si>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</si>
  <si>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</si>
  <si>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</si>
  <si>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</si>
  <si>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</si>
  <si>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</si>
  <si>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</si>
  <si>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</si>
  <si>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</si>
  <si>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</si>
  <si>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</si>
  <si>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</si>
  <si>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</si>
  <si>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</si>
  <si>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</si>
  <si>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</si>
  <si>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</si>
  <si>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</si>
  <si>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</si>
  <si>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</si>
  <si>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</si>
  <si>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</si>
  <si>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</si>
  <si>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</si>
  <si>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</si>
  <si>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</si>
  <si>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</si>
  <si>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</si>
  <si>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</si>
  <si>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</si>
  <si>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</si>
  <si>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</si>
  <si>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</si>
  <si>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</si>
  <si>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</si>
  <si>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</si>
  <si>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</si>
  <si>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</si>
  <si>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</si>
  <si>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</si>
  <si>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</si>
  <si>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</si>
  <si>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</si>
  <si>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</si>
  <si>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</si>
  <si>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</si>
  <si>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</si>
  <si>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</si>
  <si>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</si>
  <si>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</si>
  <si>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</si>
  <si>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</si>
  <si>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</si>
  <si>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</si>
  <si>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</si>
  <si>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</si>
  <si>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</si>
  <si>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</si>
  <si>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</si>
  <si>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</si>
  <si>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</si>
  <si>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</si>
  <si>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</si>
  <si>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</si>
  <si>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</si>
  <si>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</si>
  <si>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</si>
  <si>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</si>
  <si>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</si>
  <si>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</si>
  <si>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</si>
  <si>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</si>
  <si>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</si>
  <si>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</si>
  <si>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</si>
  <si>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</si>
  <si>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</si>
  <si>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</si>
  <si>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</si>
  <si>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</si>
  <si>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</si>
  <si>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</si>
  <si>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</si>
  <si>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</si>
  <si>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</si>
  <si>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</si>
  <si>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</si>
  <si>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</si>
  <si>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</si>
  <si>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</si>
  <si>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</si>
  <si>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</si>
  <si>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</si>
  <si>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</si>
  <si>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</si>
  <si>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</si>
  <si>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</si>
  <si>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</si>
  <si>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</si>
  <si>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</si>
  <si>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</si>
  <si>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</si>
  <si>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</si>
  <si>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</si>
  <si>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</si>
  <si>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</si>
  <si>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</si>
  <si>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</si>
  <si>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</si>
  <si>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</si>
  <si>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</si>
  <si>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</si>
  <si>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</si>
  <si>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</si>
  <si>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</si>
  <si>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</si>
  <si>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</si>
  <si>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</si>
  <si>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</si>
  <si>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</si>
  <si>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</si>
  <si>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</si>
  <si>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</si>
  <si>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</si>
  <si>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</si>
  <si>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</si>
  <si>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</si>
  <si>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</si>
  <si>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</si>
  <si>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</si>
  <si>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</si>
  <si>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</si>
  <si>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</si>
  <si>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</si>
  <si>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</si>
  <si>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</si>
  <si>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</si>
  <si>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</si>
  <si>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</si>
  <si>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</si>
  <si>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</si>
  <si>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</si>
  <si>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</si>
  <si>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</si>
  <si>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</si>
  <si>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</si>
  <si>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</si>
  <si>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</si>
  <si>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</si>
  <si>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</si>
  <si>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</si>
  <si>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</si>
  <si>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</si>
  <si>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</si>
  <si>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</si>
  <si>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</si>
  <si>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</si>
  <si>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</si>
  <si>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</si>
  <si>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</si>
  <si>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</si>
  <si>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</si>
  <si>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</si>
  <si>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</si>
  <si>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</si>
  <si>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</si>
  <si>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</si>
  <si>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</si>
  <si>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</si>
  <si>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</si>
  <si>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</si>
  <si>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</si>
  <si>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</si>
  <si>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</si>
  <si>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</si>
  <si>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</si>
  <si>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</si>
  <si>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</si>
  <si>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</si>
  <si>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</si>
  <si>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</si>
  <si>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</si>
  <si>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</si>
  <si>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</si>
  <si>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</si>
  <si>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</si>
  <si>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</si>
  <si>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</si>
  <si>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</si>
  <si>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</si>
  <si>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</si>
  <si>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</si>
  <si>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</si>
  <si>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</si>
  <si>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</si>
  <si>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</si>
  <si>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</si>
  <si>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</si>
  <si>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</si>
  <si>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</si>
  <si>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</si>
  <si>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</si>
  <si>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</si>
  <si>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</si>
  <si>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</si>
  <si>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</si>
  <si>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</si>
  <si>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</si>
  <si>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</si>
  <si>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</si>
  <si>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</si>
  <si>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</si>
  <si>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</si>
  <si>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</si>
  <si>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</si>
  <si>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</si>
  <si>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</si>
  <si>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</si>
  <si>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</si>
  <si>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</si>
  <si>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</si>
  <si>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</si>
  <si>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</si>
  <si>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</si>
  <si>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</si>
  <si>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</si>
  <si>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</si>
  <si>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</si>
  <si>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</si>
  <si>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</si>
  <si>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</si>
  <si>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</si>
  <si>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</si>
  <si>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</si>
  <si>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</si>
  <si>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</si>
  <si>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</si>
  <si>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</si>
  <si>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</si>
  <si>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</si>
  <si>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</si>
  <si>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</si>
  <si>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</si>
  <si>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</si>
  <si>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</si>
  <si>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</si>
  <si>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</si>
  <si>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</si>
  <si>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</si>
  <si>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</si>
  <si>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</si>
  <si>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</si>
  <si>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</si>
  <si>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</si>
  <si>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</si>
  <si>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</si>
  <si>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</si>
  <si>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</si>
  <si>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</si>
  <si>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</si>
  <si>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</si>
  <si>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</si>
  <si>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</si>
  <si>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</si>
  <si>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</si>
  <si>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</si>
  <si>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</si>
  <si>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</si>
  <si>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</si>
  <si>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</si>
  <si>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</si>
  <si>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</si>
  <si>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</si>
  <si>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</si>
  <si>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</si>
  <si>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</si>
  <si>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</si>
  <si>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</si>
  <si>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</si>
  <si>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</si>
  <si>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</si>
  <si>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</si>
  <si>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</si>
  <si>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</si>
  <si>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</si>
  <si>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</si>
  <si>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</si>
  <si>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</si>
  <si>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</si>
  <si>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</si>
  <si>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</si>
  <si>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</si>
  <si>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</si>
  <si>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</si>
  <si>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</si>
  <si>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</si>
  <si>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</si>
  <si>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</si>
  <si>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</si>
  <si>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</si>
  <si>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</si>
  <si>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</si>
  <si>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</si>
  <si>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</si>
  <si>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</si>
  <si>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</si>
  <si>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</si>
  <si>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</si>
  <si>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</si>
  <si>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</si>
  <si>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</si>
  <si>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</si>
  <si>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</si>
  <si>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</si>
  <si>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</si>
  <si>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</si>
  <si>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</si>
  <si>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</si>
  <si>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</si>
  <si>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</si>
  <si>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</si>
  <si>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</si>
  <si>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</si>
  <si>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</si>
  <si>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</si>
  <si>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</si>
  <si>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</si>
  <si>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</si>
  <si>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</si>
  <si>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</si>
  <si>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</si>
  <si>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</si>
  <si>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</si>
  <si>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</si>
  <si>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</si>
  <si>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</si>
  <si>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</si>
  <si>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</si>
  <si>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</si>
  <si>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</si>
  <si>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</si>
  <si>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</si>
  <si>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</si>
  <si>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</si>
  <si>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</si>
  <si>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</si>
  <si>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</si>
  <si>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</si>
  <si>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</si>
  <si>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</si>
  <si>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</si>
  <si>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</si>
  <si>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</si>
  <si>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</si>
  <si>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</si>
  <si>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</si>
  <si>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</si>
  <si>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</si>
  <si>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</si>
  <si>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</si>
  <si>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</si>
  <si>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</si>
  <si>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</si>
  <si>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</si>
  <si>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</si>
  <si>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</si>
  <si>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</si>
  <si>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</si>
  <si>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</si>
  <si>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</si>
  <si>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</si>
  <si>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</si>
  <si>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</si>
  <si>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</si>
  <si>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</si>
  <si>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</si>
  <si>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</si>
  <si>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</si>
  <si>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</si>
  <si>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</si>
  <si>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</si>
  <si>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</si>
  <si>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</si>
  <si>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</si>
  <si>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</si>
  <si>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</si>
  <si>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</si>
  <si>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</si>
  <si>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</si>
  <si>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</si>
  <si>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</si>
  <si>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</si>
  <si>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</si>
  <si>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</si>
  <si>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</si>
  <si>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</si>
  <si>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</si>
  <si>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</si>
  <si>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</si>
  <si>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</si>
  <si>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</si>
  <si>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</si>
  <si>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</si>
  <si>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</si>
  <si>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</si>
  <si>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</si>
  <si>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</si>
  <si>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</si>
  <si>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</si>
  <si>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</si>
  <si>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</si>
  <si>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</si>
  <si>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</si>
  <si>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</si>
  <si>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</si>
  <si>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</si>
  <si>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</si>
  <si>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</si>
  <si>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</si>
  <si>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</si>
  <si>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</si>
  <si>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</si>
  <si>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</si>
  <si>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</si>
  <si>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</si>
  <si>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</si>
  <si>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</si>
  <si>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</si>
  <si>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</si>
  <si>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</si>
  <si>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</si>
  <si>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</si>
  <si>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</si>
  <si>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</si>
  <si>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</si>
  <si>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</si>
  <si>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</si>
  <si>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</si>
  <si>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</si>
  <si>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</si>
  <si>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</si>
  <si>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</si>
  <si>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</si>
  <si>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</si>
  <si>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</si>
  <si>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</si>
  <si>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</si>
  <si>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</si>
  <si>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</si>
  <si>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</si>
  <si>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</si>
  <si>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</si>
  <si>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</si>
  <si>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</si>
  <si>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</si>
  <si>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</si>
  <si>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</si>
  <si>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</si>
  <si>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</si>
  <si>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</si>
  <si>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</si>
  <si>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</si>
  <si>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</si>
  <si>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</si>
  <si>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</si>
  <si>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</si>
  <si>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</si>
  <si>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</si>
  <si>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</si>
  <si>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</si>
  <si>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</si>
  <si>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</si>
  <si>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</si>
  <si>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</si>
  <si>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</si>
  <si>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</si>
  <si>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</si>
  <si>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</si>
  <si>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</si>
  <si>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</si>
  <si>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</si>
  <si>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</si>
  <si>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</si>
  <si>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</si>
  <si>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</si>
  <si>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</si>
  <si>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</si>
  <si>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</si>
  <si>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</si>
  <si>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</si>
  <si>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</si>
  <si>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</si>
  <si>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</si>
  <si>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</si>
  <si>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</si>
  <si>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</si>
  <si>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</si>
  <si>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</si>
  <si>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</si>
  <si>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</si>
  <si>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</si>
  <si>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</si>
  <si>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</si>
  <si>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</si>
  <si>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</si>
  <si>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</si>
  <si>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</si>
  <si>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</si>
  <si>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</si>
  <si>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</si>
  <si>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</si>
  <si>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</si>
  <si>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</si>
  <si>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</si>
  <si>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</si>
  <si>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</si>
  <si>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</si>
  <si>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</si>
  <si>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</si>
  <si>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</si>
  <si>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</si>
  <si>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</si>
  <si>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</si>
  <si>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</si>
  <si>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</si>
  <si>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</si>
  <si>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</si>
  <si>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</si>
  <si>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</si>
  <si>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</si>
  <si>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</si>
  <si>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</si>
  <si>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</si>
  <si>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</si>
  <si>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</si>
  <si>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</si>
  <si>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</si>
  <si>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</si>
  <si>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</si>
  <si>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</si>
  <si>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</si>
  <si>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</si>
  <si>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</si>
  <si>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</si>
  <si>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</si>
  <si>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</si>
  <si>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</si>
  <si>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</si>
  <si>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</si>
  <si>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</si>
  <si>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</si>
  <si>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</si>
  <si>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</si>
  <si>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</si>
  <si>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</si>
  <si>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</si>
  <si>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</si>
  <si>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</si>
  <si>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</si>
  <si>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</si>
  <si>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</si>
  <si>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</si>
  <si>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</si>
  <si>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</si>
  <si>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</si>
  <si>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</si>
  <si>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</si>
  <si>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</si>
  <si>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</si>
  <si>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</si>
  <si>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</si>
  <si>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</si>
  <si>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</si>
  <si>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</si>
  <si>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</si>
  <si>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</si>
  <si>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</si>
  <si>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</si>
  <si>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</si>
  <si>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</si>
  <si>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</si>
  <si>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</si>
  <si>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</si>
  <si>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</si>
  <si>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</si>
  <si>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</si>
  <si>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</si>
  <si>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</si>
  <si>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</si>
  <si>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</si>
  <si>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</si>
  <si>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</si>
  <si>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</si>
  <si>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</si>
  <si>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</si>
  <si>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</si>
  <si>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</si>
  <si>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</si>
  <si>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</si>
  <si>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</si>
  <si>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</si>
  <si>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</si>
  <si>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</si>
  <si>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</si>
  <si>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</si>
  <si>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</si>
  <si>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</si>
  <si>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</si>
  <si>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</si>
  <si>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</si>
  <si>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</si>
  <si>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</si>
  <si>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</si>
  <si>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</si>
  <si>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</si>
  <si>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</si>
  <si>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</si>
  <si>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</si>
  <si>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</si>
  <si>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</si>
  <si>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</si>
  <si>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</si>
  <si>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</si>
  <si>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</si>
  <si>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</si>
  <si>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</si>
  <si>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</si>
  <si>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</si>
  <si>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</si>
  <si>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</si>
  <si>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</si>
  <si>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</si>
  <si>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</si>
  <si>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</si>
  <si>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</si>
  <si>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</si>
  <si>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</si>
  <si>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</si>
  <si>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</si>
  <si>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</si>
  <si>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</si>
  <si>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</si>
  <si>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</si>
  <si>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</si>
  <si>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</si>
  <si>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</si>
  <si>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</si>
  <si>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</si>
  <si>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</si>
  <si>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</si>
  <si>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</si>
  <si>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</si>
  <si>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</si>
  <si>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</si>
  <si>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</si>
  <si>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</si>
  <si>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</si>
  <si>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</si>
  <si>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</si>
  <si>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</si>
  <si>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</si>
  <si>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</si>
  <si>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</si>
  <si>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</si>
  <si>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</si>
  <si>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</si>
  <si>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</si>
  <si>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</si>
  <si>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</si>
  <si>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</si>
  <si>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</si>
  <si>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</si>
  <si>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</si>
  <si>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</si>
  <si>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</si>
  <si>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</si>
  <si>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</si>
  <si>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</si>
  <si>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</si>
  <si>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</si>
  <si>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</si>
  <si>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</si>
  <si>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</si>
  <si>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</si>
  <si>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</si>
  <si>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</si>
  <si>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</si>
  <si>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</si>
  <si>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</si>
  <si>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</si>
  <si>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</si>
  <si>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</si>
  <si>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</si>
  <si>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</si>
  <si>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</si>
  <si>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</si>
  <si>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</si>
  <si>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</si>
  <si>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</si>
  <si>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</si>
  <si>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</si>
  <si>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</si>
  <si>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</si>
  <si>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</si>
  <si>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</si>
  <si>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</si>
  <si>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</si>
  <si>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</si>
  <si>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</si>
  <si>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</si>
  <si>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</si>
  <si>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</si>
  <si>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</si>
  <si>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</si>
  <si>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</si>
  <si>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</si>
  <si>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</si>
  <si>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</si>
  <si>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</si>
  <si>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</si>
  <si>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</si>
  <si>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</si>
  <si>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</si>
  <si>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</si>
  <si>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</si>
  <si>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</si>
  <si>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</si>
  <si>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</si>
  <si>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</si>
  <si>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</si>
  <si>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</si>
  <si>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</si>
  <si>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</si>
  <si>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</si>
  <si>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</si>
  <si>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</si>
  <si>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</si>
  <si>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</si>
  <si>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</si>
  <si>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</si>
  <si>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</si>
  <si>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</si>
  <si>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</si>
  <si>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</si>
  <si>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</si>
  <si>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</si>
  <si>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</si>
  <si>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</si>
  <si>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</si>
  <si>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</si>
  <si>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</si>
  <si>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</si>
  <si>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</si>
  <si>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</si>
  <si>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</si>
  <si>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</si>
  <si>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</si>
  <si>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</si>
  <si>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</si>
  <si>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</si>
  <si>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</si>
  <si>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</si>
  <si>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</si>
  <si>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</si>
  <si>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</si>
  <si>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</si>
  <si>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</si>
  <si>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</si>
  <si>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</si>
  <si>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</si>
  <si>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</si>
  <si>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</si>
  <si>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</si>
  <si>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</si>
  <si>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</si>
  <si>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</si>
  <si>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</si>
  <si>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</si>
  <si>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</si>
  <si>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</si>
  <si>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</si>
  <si>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</si>
  <si>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</si>
  <si>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</si>
  <si>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</si>
  <si>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</si>
  <si>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</si>
  <si>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</si>
  <si>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</si>
  <si>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</si>
  <si>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</si>
  <si>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</si>
  <si>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</si>
  <si>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</si>
  <si>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</si>
  <si>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</si>
  <si>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</si>
  <si>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</si>
  <si>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</si>
  <si>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</si>
  <si>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</si>
  <si>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</si>
  <si>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</si>
  <si>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</si>
  <si>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</si>
  <si>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</si>
  <si>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</si>
  <si>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</si>
  <si>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</si>
  <si>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</si>
  <si>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</si>
  <si>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</si>
  <si>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</si>
  <si>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</si>
  <si>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</si>
  <si>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</si>
  <si>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</si>
  <si>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</si>
  <si>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</si>
  <si>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</si>
  <si>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</si>
  <si>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</si>
  <si>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</si>
  <si>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</si>
  <si>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</si>
  <si>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</si>
  <si>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</si>
  <si>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</si>
  <si>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</si>
  <si>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</si>
  <si>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</si>
  <si>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</si>
  <si>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</si>
  <si>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</si>
  <si>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</si>
  <si>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</si>
  <si>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</si>
  <si>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</si>
  <si>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</si>
  <si>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</si>
  <si>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</si>
  <si>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</si>
  <si>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</si>
  <si>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</si>
  <si>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</si>
  <si>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</si>
  <si>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</si>
  <si>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</si>
  <si>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</si>
  <si>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</si>
  <si>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</si>
  <si>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</si>
  <si>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</si>
  <si>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</si>
  <si>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</si>
  <si>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</si>
  <si>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</si>
  <si>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</si>
  <si>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</si>
  <si>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</si>
  <si>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</si>
  <si>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</si>
  <si>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</si>
  <si>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</si>
  <si>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</si>
  <si>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</si>
  <si>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</si>
  <si>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</si>
  <si>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</si>
  <si>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</si>
  <si>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</si>
  <si>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</si>
  <si>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</si>
  <si>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</si>
  <si>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</si>
  <si>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</si>
  <si>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</si>
  <si>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</si>
  <si>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</si>
  <si>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</si>
  <si>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</si>
  <si>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</si>
  <si>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</si>
  <si>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</si>
  <si>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</si>
  <si>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</si>
  <si>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</si>
  <si>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</si>
  <si>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</si>
  <si>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</si>
  <si>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</si>
  <si>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</si>
  <si>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</si>
  <si>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</si>
  <si>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</si>
  <si>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</si>
  <si>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</si>
  <si>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</si>
  <si>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</si>
  <si>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</si>
  <si>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</si>
  <si>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</si>
  <si>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</si>
  <si>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</si>
  <si>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</si>
  <si>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</si>
  <si>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</si>
  <si>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</si>
  <si>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</si>
  <si>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</si>
  <si>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</si>
  <si>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</si>
  <si>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</si>
  <si>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</si>
  <si>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</si>
  <si>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</si>
  <si>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</si>
  <si>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</si>
  <si>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</si>
  <si>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</si>
  <si>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</si>
  <si>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</si>
  <si>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</si>
  <si>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</si>
  <si>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</si>
  <si>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</si>
  <si>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</si>
  <si>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</si>
  <si>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</si>
  <si>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</si>
  <si>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</si>
  <si>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</si>
  <si>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</si>
  <si>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</si>
  <si>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</si>
  <si>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</si>
  <si>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</si>
  <si>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</si>
  <si>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</si>
  <si>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</si>
  <si>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</si>
  <si>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现行租金</t>
    <phoneticPr fontId="134" type="noConversion"/>
  </si>
  <si>
    <t>含税</t>
  </si>
  <si>
    <t>单套模式</t>
  </si>
  <si>
    <t>租金</t>
  </si>
  <si>
    <t>大</t>
    <phoneticPr fontId="30" type="noConversion"/>
  </si>
  <si>
    <t>较大</t>
  </si>
  <si>
    <t>较大</t>
    <phoneticPr fontId="30" type="noConversion"/>
  </si>
  <si>
    <t>一般</t>
    <phoneticPr fontId="30" type="noConversion"/>
  </si>
  <si>
    <t>较小</t>
    <phoneticPr fontId="30" type="noConversion"/>
  </si>
  <si>
    <t>小</t>
    <phoneticPr fontId="30" type="noConversion"/>
  </si>
  <si>
    <t>临街</t>
  </si>
  <si>
    <t>临街</t>
    <phoneticPr fontId="24" type="noConversion"/>
  </si>
  <si>
    <t>不临街</t>
  </si>
  <si>
    <t>不临街</t>
    <phoneticPr fontId="24" type="noConversion"/>
  </si>
  <si>
    <t>安富大厦</t>
    <phoneticPr fontId="3" type="noConversion"/>
  </si>
  <si>
    <t>办公</t>
    <phoneticPr fontId="31" type="noConversion"/>
  </si>
  <si>
    <t>挂牌</t>
  </si>
  <si>
    <t>挂牌</t>
    <phoneticPr fontId="31" type="noConversion"/>
  </si>
  <si>
    <t>办公</t>
    <phoneticPr fontId="3" type="noConversion"/>
  </si>
  <si>
    <t>是</t>
  </si>
  <si>
    <t>地上</t>
  </si>
  <si>
    <t>办公</t>
    <phoneticPr fontId="7" type="noConversion"/>
  </si>
  <si>
    <t>成新度</t>
  </si>
  <si>
    <r>
      <rPr>
        <sz val="11"/>
        <rFont val="宋体"/>
        <family val="3"/>
        <charset val="134"/>
      </rPr>
      <t>﹢</t>
    </r>
    <r>
      <rPr>
        <sz val="11"/>
        <rFont val="Arial"/>
        <family val="2"/>
      </rPr>
      <t>10%</t>
    </r>
    <phoneticPr fontId="31" type="noConversion"/>
  </si>
  <si>
    <r>
      <rPr>
        <sz val="11"/>
        <rFont val="宋体"/>
        <family val="3"/>
        <charset val="134"/>
      </rPr>
      <t>﹣</t>
    </r>
    <r>
      <rPr>
        <sz val="11"/>
        <rFont val="Arial"/>
        <family val="2"/>
      </rPr>
      <t>10%</t>
    </r>
    <phoneticPr fontId="31" type="noConversion"/>
  </si>
  <si>
    <t>中区</t>
    <phoneticPr fontId="31" type="noConversion"/>
  </si>
  <si>
    <t>混合</t>
    <phoneticPr fontId="31" type="noConversion"/>
  </si>
  <si>
    <t>普通装修</t>
    <phoneticPr fontId="31" type="noConversion"/>
  </si>
  <si>
    <t>普通物业管理</t>
    <phoneticPr fontId="31" type="noConversion"/>
  </si>
  <si>
    <t>六通</t>
    <phoneticPr fontId="31" type="noConversion"/>
  </si>
  <si>
    <t>标准层高</t>
    <phoneticPr fontId="31" type="noConversion"/>
  </si>
  <si>
    <t>简单装修</t>
    <phoneticPr fontId="31" type="noConversion"/>
  </si>
  <si>
    <t>钢混</t>
    <phoneticPr fontId="31" type="noConversion"/>
  </si>
  <si>
    <t>免租期</t>
    <phoneticPr fontId="31" type="noConversion"/>
  </si>
  <si>
    <r>
      <t>1</t>
    </r>
    <r>
      <rPr>
        <sz val="11"/>
        <color indexed="8"/>
        <rFont val="宋体"/>
        <family val="3"/>
        <charset val="134"/>
      </rPr>
      <t>个月</t>
    </r>
    <phoneticPr fontId="31" type="noConversion"/>
  </si>
  <si>
    <t>租期</t>
    <phoneticPr fontId="31" type="noConversion"/>
  </si>
  <si>
    <t>内涵</t>
    <phoneticPr fontId="31" type="noConversion"/>
  </si>
  <si>
    <t>含税、不含物业费、能源费</t>
    <phoneticPr fontId="31" type="noConversion"/>
  </si>
  <si>
    <t>使用率</t>
    <phoneticPr fontId="31" type="noConversion"/>
  </si>
  <si>
    <t>首投科创园</t>
    <phoneticPr fontId="3" type="noConversion"/>
  </si>
  <si>
    <t>北阳晨光大厦</t>
    <phoneticPr fontId="3" type="noConversion"/>
  </si>
  <si>
    <t>低区</t>
    <phoneticPr fontId="31" type="noConversion"/>
  </si>
  <si>
    <t>高区</t>
    <phoneticPr fontId="31" type="noConversion"/>
  </si>
  <si>
    <t>高层写字楼</t>
  </si>
  <si>
    <t>高层写字楼</t>
    <phoneticPr fontId="31" type="noConversion"/>
  </si>
  <si>
    <r>
      <t>5</t>
    </r>
    <r>
      <rPr>
        <sz val="11"/>
        <rFont val="宋体"/>
        <family val="3"/>
        <charset val="134"/>
      </rPr>
      <t>年</t>
    </r>
    <phoneticPr fontId="31" type="noConversion"/>
  </si>
  <si>
    <r>
      <rPr>
        <sz val="11"/>
        <color indexed="8"/>
        <rFont val="宋体"/>
        <family val="3"/>
        <charset val="134"/>
      </rPr>
      <t>最多</t>
    </r>
    <r>
      <rPr>
        <sz val="11"/>
        <color indexed="8"/>
        <rFont val="Arial"/>
        <family val="2"/>
      </rPr>
      <t>3</t>
    </r>
    <r>
      <rPr>
        <sz val="11"/>
        <color indexed="8"/>
        <rFont val="宋体"/>
        <family val="3"/>
        <charset val="134"/>
      </rPr>
      <t>个月</t>
    </r>
    <phoneticPr fontId="31" type="noConversion"/>
  </si>
  <si>
    <r>
      <t>1</t>
    </r>
    <r>
      <rPr>
        <sz val="11"/>
        <color indexed="8"/>
        <rFont val="宋体"/>
        <family val="3"/>
        <charset val="134"/>
      </rPr>
      <t>个月</t>
    </r>
    <phoneticPr fontId="31" type="noConversion"/>
  </si>
  <si>
    <t>5年</t>
  </si>
  <si>
    <t>1年起</t>
    <phoneticPr fontId="31" type="noConversion"/>
  </si>
  <si>
    <r>
      <t>1</t>
    </r>
    <r>
      <rPr>
        <sz val="11"/>
        <color indexed="8"/>
        <rFont val="宋体"/>
        <family val="3"/>
        <charset val="134"/>
      </rPr>
      <t>年起</t>
    </r>
    <phoneticPr fontId="31" type="noConversion"/>
  </si>
  <si>
    <t>商务楼</t>
    <phoneticPr fontId="31" type="noConversion"/>
  </si>
  <si>
    <t>整栋单套</t>
    <phoneticPr fontId="31" type="noConversion"/>
  </si>
  <si>
    <t>规模</t>
    <phoneticPr fontId="31" type="noConversion"/>
  </si>
  <si>
    <t>整栋</t>
    <phoneticPr fontId="31" type="noConversion"/>
  </si>
  <si>
    <t>单套</t>
    <phoneticPr fontId="31" type="noConversion"/>
  </si>
  <si>
    <t>商务楼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</si>
</sst>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6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128" fillId="0" borderId="44"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289"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0"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16" borderId="46" xfId="0" applyFont="1" applyFill="1" applyBorder="1" applyAlignment="1" applyProtection="1">
      <alignment horizontal="center" vertical="center" wrapText="1"/>
      <protection locked="0"/>
    </xf>
    <xf numFmtId="0" fontId="44" fillId="16" borderId="5" xfId="0" applyFont="1" applyFill="1" applyBorder="1" applyAlignment="1">
      <alignment horizontal="center" vertical="center" wrapText="1"/>
    </xf>
    <xf numFmtId="0" fontId="44" fillId="16" borderId="8" xfId="0" applyFont="1" applyFill="1" applyBorder="1" applyAlignment="1">
      <alignment horizontal="center" vertical="center" wrapText="1"/>
    </xf>
    <xf numFmtId="0" fontId="44" fillId="16" borderId="28"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684600</xdr:colOff>
      <xdr:row>41</xdr:row>
      <xdr:rowOff>56264</xdr:rowOff>
    </xdr:to>
    <xdr:pic>
      <xdr:nvPicPr>
        <xdr:cNvPr id="2" name="图片 1">
          <a:extLst>
            <a:ext uri="{FF2B5EF4-FFF2-40B4-BE49-F238E27FC236}">
              <a16:creationId xmlns:a16="http://schemas.microsoft.com/office/drawing/2014/main" id="{3142266D-30EE-1CD3-50B0-6D1431C46FC5}"/>
            </a:ext>
          </a:extLst>
        </xdr:cNvPr>
        <xdr:cNvPicPr>
          <a:picLocks noChangeAspect="1"/>
        </xdr:cNvPicPr>
      </xdr:nvPicPr>
      <xdr:blipFill>
        <a:blip xmlns:r="http://schemas.openxmlformats.org/officeDocument/2006/relationships" r:embed="rId1"/>
        <a:stretch>
          <a:fillRect/>
        </a:stretch>
      </xdr:blipFill>
      <xdr:spPr>
        <a:xfrm>
          <a:off x="0" y="0"/>
          <a:ext cx="9600000" cy="7085714"/>
        </a:xfrm>
        <a:prstGeom prst="rect">
          <a:avLst/>
        </a:prstGeom>
      </xdr:spPr>
    </xdr:pic>
    <xdr:clientData/>
  </xdr:twoCellAnchor>
  <xdr:twoCellAnchor editAs="oneCell">
    <xdr:from>
      <xdr:col>14</xdr:col>
      <xdr:colOff>57150</xdr:colOff>
      <xdr:row>0</xdr:row>
      <xdr:rowOff>0</xdr:rowOff>
    </xdr:from>
    <xdr:to>
      <xdr:col>29</xdr:col>
      <xdr:colOff>608245</xdr:colOff>
      <xdr:row>28</xdr:row>
      <xdr:rowOff>75590</xdr:rowOff>
    </xdr:to>
    <xdr:pic>
      <xdr:nvPicPr>
        <xdr:cNvPr id="3" name="图片 2">
          <a:extLst>
            <a:ext uri="{FF2B5EF4-FFF2-40B4-BE49-F238E27FC236}">
              <a16:creationId xmlns:a16="http://schemas.microsoft.com/office/drawing/2014/main" id="{C6D34BE3-90BF-2514-BD5E-56D40C1256B0}"/>
            </a:ext>
          </a:extLst>
        </xdr:cNvPr>
        <xdr:cNvPicPr>
          <a:picLocks noChangeAspect="1"/>
        </xdr:cNvPicPr>
      </xdr:nvPicPr>
      <xdr:blipFill>
        <a:blip xmlns:r="http://schemas.openxmlformats.org/officeDocument/2006/relationships" r:embed="rId2"/>
        <a:stretch>
          <a:fillRect/>
        </a:stretch>
      </xdr:blipFill>
      <xdr:spPr>
        <a:xfrm>
          <a:off x="9658350" y="0"/>
          <a:ext cx="10838095" cy="4876190"/>
        </a:xfrm>
        <a:prstGeom prst="rect">
          <a:avLst/>
        </a:prstGeom>
      </xdr:spPr>
    </xdr:pic>
    <xdr:clientData/>
  </xdr:twoCellAnchor>
  <xdr:twoCellAnchor editAs="oneCell">
    <xdr:from>
      <xdr:col>0</xdr:col>
      <xdr:colOff>304800</xdr:colOff>
      <xdr:row>43</xdr:row>
      <xdr:rowOff>19050</xdr:rowOff>
    </xdr:from>
    <xdr:to>
      <xdr:col>9</xdr:col>
      <xdr:colOff>380219</xdr:colOff>
      <xdr:row>45</xdr:row>
      <xdr:rowOff>161864</xdr:rowOff>
    </xdr:to>
    <xdr:pic>
      <xdr:nvPicPr>
        <xdr:cNvPr id="4" name="图片 3">
          <a:extLst>
            <a:ext uri="{FF2B5EF4-FFF2-40B4-BE49-F238E27FC236}">
              <a16:creationId xmlns:a16="http://schemas.microsoft.com/office/drawing/2014/main" id="{7202EF7E-C17F-E960-201F-8104FC06B7F3}"/>
            </a:ext>
          </a:extLst>
        </xdr:cNvPr>
        <xdr:cNvPicPr>
          <a:picLocks noChangeAspect="1"/>
        </xdr:cNvPicPr>
      </xdr:nvPicPr>
      <xdr:blipFill>
        <a:blip xmlns:r="http://schemas.openxmlformats.org/officeDocument/2006/relationships" r:embed="rId3"/>
        <a:stretch>
          <a:fillRect/>
        </a:stretch>
      </xdr:blipFill>
      <xdr:spPr>
        <a:xfrm>
          <a:off x="304800" y="7391400"/>
          <a:ext cx="6247619" cy="485714"/>
        </a:xfrm>
        <a:prstGeom prst="rect">
          <a:avLst/>
        </a:prstGeom>
      </xdr:spPr>
    </xdr:pic>
    <xdr:clientData/>
  </xdr:twoCellAnchor>
  <xdr:twoCellAnchor editAs="oneCell">
    <xdr:from>
      <xdr:col>0</xdr:col>
      <xdr:colOff>0</xdr:colOff>
      <xdr:row>46</xdr:row>
      <xdr:rowOff>95250</xdr:rowOff>
    </xdr:from>
    <xdr:to>
      <xdr:col>16</xdr:col>
      <xdr:colOff>579581</xdr:colOff>
      <xdr:row>80</xdr:row>
      <xdr:rowOff>151664</xdr:rowOff>
    </xdr:to>
    <xdr:pic>
      <xdr:nvPicPr>
        <xdr:cNvPr id="5" name="图片 4">
          <a:extLst>
            <a:ext uri="{FF2B5EF4-FFF2-40B4-BE49-F238E27FC236}">
              <a16:creationId xmlns:a16="http://schemas.microsoft.com/office/drawing/2014/main" id="{0F3A6712-B312-D3FF-D568-91E352ED7F73}"/>
            </a:ext>
          </a:extLst>
        </xdr:cNvPr>
        <xdr:cNvPicPr>
          <a:picLocks noChangeAspect="1"/>
        </xdr:cNvPicPr>
      </xdr:nvPicPr>
      <xdr:blipFill>
        <a:blip xmlns:r="http://schemas.openxmlformats.org/officeDocument/2006/relationships" r:embed="rId4"/>
        <a:stretch>
          <a:fillRect/>
        </a:stretch>
      </xdr:blipFill>
      <xdr:spPr>
        <a:xfrm>
          <a:off x="0" y="7981950"/>
          <a:ext cx="11552381"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294638</xdr:colOff>
      <xdr:row>21</xdr:row>
      <xdr:rowOff>18598</xdr:rowOff>
    </xdr:to>
    <xdr:pic>
      <xdr:nvPicPr>
        <xdr:cNvPr id="2" name="图片 1">
          <a:extLst>
            <a:ext uri="{FF2B5EF4-FFF2-40B4-BE49-F238E27FC236}">
              <a16:creationId xmlns:a16="http://schemas.microsoft.com/office/drawing/2014/main" id="{02D4112B-9B1C-70F2-9481-04CB87E4793F}"/>
            </a:ext>
          </a:extLst>
        </xdr:cNvPr>
        <xdr:cNvPicPr>
          <a:picLocks noChangeAspect="1"/>
        </xdr:cNvPicPr>
      </xdr:nvPicPr>
      <xdr:blipFill>
        <a:blip xmlns:r="http://schemas.openxmlformats.org/officeDocument/2006/relationships" r:embed="rId1"/>
        <a:stretch>
          <a:fillRect/>
        </a:stretch>
      </xdr:blipFill>
      <xdr:spPr>
        <a:xfrm>
          <a:off x="0" y="0"/>
          <a:ext cx="5095238" cy="3619048"/>
        </a:xfrm>
        <a:prstGeom prst="rect">
          <a:avLst/>
        </a:prstGeom>
      </xdr:spPr>
    </xdr:pic>
    <xdr:clientData/>
  </xdr:twoCellAnchor>
  <xdr:twoCellAnchor editAs="oneCell">
    <xdr:from>
      <xdr:col>7</xdr:col>
      <xdr:colOff>352425</xdr:colOff>
      <xdr:row>0</xdr:row>
      <xdr:rowOff>0</xdr:rowOff>
    </xdr:from>
    <xdr:to>
      <xdr:col>13</xdr:col>
      <xdr:colOff>66192</xdr:colOff>
      <xdr:row>5</xdr:row>
      <xdr:rowOff>161798</xdr:rowOff>
    </xdr:to>
    <xdr:pic>
      <xdr:nvPicPr>
        <xdr:cNvPr id="3" name="图片 2">
          <a:extLst>
            <a:ext uri="{FF2B5EF4-FFF2-40B4-BE49-F238E27FC236}">
              <a16:creationId xmlns:a16="http://schemas.microsoft.com/office/drawing/2014/main" id="{6E1E2F8E-DE0C-4F04-153B-541495E7D487}"/>
            </a:ext>
          </a:extLst>
        </xdr:cNvPr>
        <xdr:cNvPicPr>
          <a:picLocks noChangeAspect="1"/>
        </xdr:cNvPicPr>
      </xdr:nvPicPr>
      <xdr:blipFill>
        <a:blip xmlns:r="http://schemas.openxmlformats.org/officeDocument/2006/relationships" r:embed="rId2"/>
        <a:stretch>
          <a:fillRect/>
        </a:stretch>
      </xdr:blipFill>
      <xdr:spPr>
        <a:xfrm>
          <a:off x="5153025" y="0"/>
          <a:ext cx="3866667" cy="1019048"/>
        </a:xfrm>
        <a:prstGeom prst="rect">
          <a:avLst/>
        </a:prstGeom>
      </xdr:spPr>
    </xdr:pic>
    <xdr:clientData/>
  </xdr:twoCellAnchor>
  <xdr:twoCellAnchor editAs="oneCell">
    <xdr:from>
      <xdr:col>7</xdr:col>
      <xdr:colOff>323850</xdr:colOff>
      <xdr:row>5</xdr:row>
      <xdr:rowOff>161925</xdr:rowOff>
    </xdr:from>
    <xdr:to>
      <xdr:col>13</xdr:col>
      <xdr:colOff>542379</xdr:colOff>
      <xdr:row>8</xdr:row>
      <xdr:rowOff>161861</xdr:rowOff>
    </xdr:to>
    <xdr:pic>
      <xdr:nvPicPr>
        <xdr:cNvPr id="4" name="图片 3">
          <a:extLst>
            <a:ext uri="{FF2B5EF4-FFF2-40B4-BE49-F238E27FC236}">
              <a16:creationId xmlns:a16="http://schemas.microsoft.com/office/drawing/2014/main" id="{CDE83D04-41C4-85B8-CB94-13698245B64E}"/>
            </a:ext>
          </a:extLst>
        </xdr:cNvPr>
        <xdr:cNvPicPr>
          <a:picLocks noChangeAspect="1"/>
        </xdr:cNvPicPr>
      </xdr:nvPicPr>
      <xdr:blipFill>
        <a:blip xmlns:r="http://schemas.openxmlformats.org/officeDocument/2006/relationships" r:embed="rId3"/>
        <a:stretch>
          <a:fillRect/>
        </a:stretch>
      </xdr:blipFill>
      <xdr:spPr>
        <a:xfrm>
          <a:off x="5124450" y="1019175"/>
          <a:ext cx="4371429" cy="514286"/>
        </a:xfrm>
        <a:prstGeom prst="rect">
          <a:avLst/>
        </a:prstGeom>
      </xdr:spPr>
    </xdr:pic>
    <xdr:clientData/>
  </xdr:twoCellAnchor>
  <xdr:twoCellAnchor editAs="oneCell">
    <xdr:from>
      <xdr:col>14</xdr:col>
      <xdr:colOff>38133</xdr:colOff>
      <xdr:row>0</xdr:row>
      <xdr:rowOff>0</xdr:rowOff>
    </xdr:from>
    <xdr:to>
      <xdr:col>19</xdr:col>
      <xdr:colOff>551608</xdr:colOff>
      <xdr:row>20</xdr:row>
      <xdr:rowOff>95250</xdr:rowOff>
    </xdr:to>
    <xdr:pic>
      <xdr:nvPicPr>
        <xdr:cNvPr id="5" name="图片 4">
          <a:extLst>
            <a:ext uri="{FF2B5EF4-FFF2-40B4-BE49-F238E27FC236}">
              <a16:creationId xmlns:a16="http://schemas.microsoft.com/office/drawing/2014/main" id="{CAC61EC0-5F16-2C30-2BC0-7DA874CE995D}"/>
            </a:ext>
          </a:extLst>
        </xdr:cNvPr>
        <xdr:cNvPicPr>
          <a:picLocks noChangeAspect="1"/>
        </xdr:cNvPicPr>
      </xdr:nvPicPr>
      <xdr:blipFill>
        <a:blip xmlns:r="http://schemas.openxmlformats.org/officeDocument/2006/relationships" r:embed="rId4"/>
        <a:stretch>
          <a:fillRect/>
        </a:stretch>
      </xdr:blipFill>
      <xdr:spPr>
        <a:xfrm>
          <a:off x="9639333" y="0"/>
          <a:ext cx="3942475" cy="3524250"/>
        </a:xfrm>
        <a:prstGeom prst="rect">
          <a:avLst/>
        </a:prstGeom>
      </xdr:spPr>
    </xdr:pic>
    <xdr:clientData/>
  </xdr:twoCellAnchor>
  <xdr:twoCellAnchor editAs="oneCell">
    <xdr:from>
      <xdr:col>0</xdr:col>
      <xdr:colOff>0</xdr:colOff>
      <xdr:row>22</xdr:row>
      <xdr:rowOff>0</xdr:rowOff>
    </xdr:from>
    <xdr:to>
      <xdr:col>7</xdr:col>
      <xdr:colOff>27971</xdr:colOff>
      <xdr:row>46</xdr:row>
      <xdr:rowOff>113771</xdr:rowOff>
    </xdr:to>
    <xdr:pic>
      <xdr:nvPicPr>
        <xdr:cNvPr id="6" name="图片 5">
          <a:extLst>
            <a:ext uri="{FF2B5EF4-FFF2-40B4-BE49-F238E27FC236}">
              <a16:creationId xmlns:a16="http://schemas.microsoft.com/office/drawing/2014/main" id="{23E3928A-10FD-0059-6054-E80F01C65B0D}"/>
            </a:ext>
          </a:extLst>
        </xdr:cNvPr>
        <xdr:cNvPicPr>
          <a:picLocks noChangeAspect="1"/>
        </xdr:cNvPicPr>
      </xdr:nvPicPr>
      <xdr:blipFill>
        <a:blip xmlns:r="http://schemas.openxmlformats.org/officeDocument/2006/relationships" r:embed="rId5"/>
        <a:stretch>
          <a:fillRect/>
        </a:stretch>
      </xdr:blipFill>
      <xdr:spPr>
        <a:xfrm>
          <a:off x="0" y="3771900"/>
          <a:ext cx="4828571" cy="4228571"/>
        </a:xfrm>
        <a:prstGeom prst="rect">
          <a:avLst/>
        </a:prstGeom>
      </xdr:spPr>
    </xdr:pic>
    <xdr:clientData/>
  </xdr:twoCellAnchor>
  <xdr:twoCellAnchor editAs="oneCell">
    <xdr:from>
      <xdr:col>7</xdr:col>
      <xdr:colOff>438150</xdr:colOff>
      <xdr:row>23</xdr:row>
      <xdr:rowOff>104775</xdr:rowOff>
    </xdr:from>
    <xdr:to>
      <xdr:col>13</xdr:col>
      <xdr:colOff>418583</xdr:colOff>
      <xdr:row>33</xdr:row>
      <xdr:rowOff>171227</xdr:rowOff>
    </xdr:to>
    <xdr:pic>
      <xdr:nvPicPr>
        <xdr:cNvPr id="7" name="图片 6">
          <a:extLst>
            <a:ext uri="{FF2B5EF4-FFF2-40B4-BE49-F238E27FC236}">
              <a16:creationId xmlns:a16="http://schemas.microsoft.com/office/drawing/2014/main" id="{8E98E84A-3DB4-C395-CB73-521C15296F5F}"/>
            </a:ext>
          </a:extLst>
        </xdr:cNvPr>
        <xdr:cNvPicPr>
          <a:picLocks noChangeAspect="1"/>
        </xdr:cNvPicPr>
      </xdr:nvPicPr>
      <xdr:blipFill>
        <a:blip xmlns:r="http://schemas.openxmlformats.org/officeDocument/2006/relationships" r:embed="rId6"/>
        <a:stretch>
          <a:fillRect/>
        </a:stretch>
      </xdr:blipFill>
      <xdr:spPr>
        <a:xfrm>
          <a:off x="5238750" y="4048125"/>
          <a:ext cx="4133333" cy="1780952"/>
        </a:xfrm>
        <a:prstGeom prst="rect">
          <a:avLst/>
        </a:prstGeom>
      </xdr:spPr>
    </xdr:pic>
    <xdr:clientData/>
  </xdr:twoCellAnchor>
  <xdr:twoCellAnchor editAs="oneCell">
    <xdr:from>
      <xdr:col>0</xdr:col>
      <xdr:colOff>0</xdr:colOff>
      <xdr:row>48</xdr:row>
      <xdr:rowOff>0</xdr:rowOff>
    </xdr:from>
    <xdr:to>
      <xdr:col>6</xdr:col>
      <xdr:colOff>542343</xdr:colOff>
      <xdr:row>64</xdr:row>
      <xdr:rowOff>18705</xdr:rowOff>
    </xdr:to>
    <xdr:pic>
      <xdr:nvPicPr>
        <xdr:cNvPr id="8" name="图片 7">
          <a:extLst>
            <a:ext uri="{FF2B5EF4-FFF2-40B4-BE49-F238E27FC236}">
              <a16:creationId xmlns:a16="http://schemas.microsoft.com/office/drawing/2014/main" id="{452AE30B-2096-7683-339E-C24B457722B7}"/>
            </a:ext>
          </a:extLst>
        </xdr:cNvPr>
        <xdr:cNvPicPr>
          <a:picLocks noChangeAspect="1"/>
        </xdr:cNvPicPr>
      </xdr:nvPicPr>
      <xdr:blipFill>
        <a:blip xmlns:r="http://schemas.openxmlformats.org/officeDocument/2006/relationships" r:embed="rId7"/>
        <a:stretch>
          <a:fillRect/>
        </a:stretch>
      </xdr:blipFill>
      <xdr:spPr>
        <a:xfrm>
          <a:off x="0" y="8229600"/>
          <a:ext cx="4657143" cy="2761905"/>
        </a:xfrm>
        <a:prstGeom prst="rect">
          <a:avLst/>
        </a:prstGeom>
      </xdr:spPr>
    </xdr:pic>
    <xdr:clientData/>
  </xdr:twoCellAnchor>
  <xdr:twoCellAnchor editAs="oneCell">
    <xdr:from>
      <xdr:col>7</xdr:col>
      <xdr:colOff>314325</xdr:colOff>
      <xdr:row>47</xdr:row>
      <xdr:rowOff>9525</xdr:rowOff>
    </xdr:from>
    <xdr:to>
      <xdr:col>13</xdr:col>
      <xdr:colOff>666187</xdr:colOff>
      <xdr:row>56</xdr:row>
      <xdr:rowOff>152189</xdr:rowOff>
    </xdr:to>
    <xdr:pic>
      <xdr:nvPicPr>
        <xdr:cNvPr id="9" name="图片 8">
          <a:extLst>
            <a:ext uri="{FF2B5EF4-FFF2-40B4-BE49-F238E27FC236}">
              <a16:creationId xmlns:a16="http://schemas.microsoft.com/office/drawing/2014/main" id="{E53EF651-D9A7-1984-701F-07CFF8F57953}"/>
            </a:ext>
          </a:extLst>
        </xdr:cNvPr>
        <xdr:cNvPicPr>
          <a:picLocks noChangeAspect="1"/>
        </xdr:cNvPicPr>
      </xdr:nvPicPr>
      <xdr:blipFill>
        <a:blip xmlns:r="http://schemas.openxmlformats.org/officeDocument/2006/relationships" r:embed="rId8"/>
        <a:stretch>
          <a:fillRect/>
        </a:stretch>
      </xdr:blipFill>
      <xdr:spPr>
        <a:xfrm>
          <a:off x="5114925" y="8067675"/>
          <a:ext cx="4504762" cy="1685714"/>
        </a:xfrm>
        <a:prstGeom prst="rect">
          <a:avLst/>
        </a:prstGeom>
      </xdr:spPr>
    </xdr:pic>
    <xdr:clientData/>
  </xdr:twoCellAnchor>
  <xdr:twoCellAnchor editAs="oneCell">
    <xdr:from>
      <xdr:col>14</xdr:col>
      <xdr:colOff>323850</xdr:colOff>
      <xdr:row>46</xdr:row>
      <xdr:rowOff>0</xdr:rowOff>
    </xdr:from>
    <xdr:to>
      <xdr:col>19</xdr:col>
      <xdr:colOff>647231</xdr:colOff>
      <xdr:row>67</xdr:row>
      <xdr:rowOff>132883</xdr:rowOff>
    </xdr:to>
    <xdr:pic>
      <xdr:nvPicPr>
        <xdr:cNvPr id="10" name="图片 9">
          <a:extLst>
            <a:ext uri="{FF2B5EF4-FFF2-40B4-BE49-F238E27FC236}">
              <a16:creationId xmlns:a16="http://schemas.microsoft.com/office/drawing/2014/main" id="{BAA1E902-247A-2B1C-17FB-EB3F77A249B4}"/>
            </a:ext>
          </a:extLst>
        </xdr:cNvPr>
        <xdr:cNvPicPr>
          <a:picLocks noChangeAspect="1"/>
        </xdr:cNvPicPr>
      </xdr:nvPicPr>
      <xdr:blipFill>
        <a:blip xmlns:r="http://schemas.openxmlformats.org/officeDocument/2006/relationships" r:embed="rId9"/>
        <a:stretch>
          <a:fillRect/>
        </a:stretch>
      </xdr:blipFill>
      <xdr:spPr>
        <a:xfrm>
          <a:off x="9963150" y="7886700"/>
          <a:ext cx="3752381" cy="3733333"/>
        </a:xfrm>
        <a:prstGeom prst="rect">
          <a:avLst/>
        </a:prstGeom>
      </xdr:spPr>
    </xdr:pic>
    <xdr:clientData/>
  </xdr:twoCellAnchor>
  <xdr:twoCellAnchor editAs="oneCell">
    <xdr:from>
      <xdr:col>14</xdr:col>
      <xdr:colOff>19050</xdr:colOff>
      <xdr:row>20</xdr:row>
      <xdr:rowOff>133350</xdr:rowOff>
    </xdr:from>
    <xdr:to>
      <xdr:col>19</xdr:col>
      <xdr:colOff>590550</xdr:colOff>
      <xdr:row>46</xdr:row>
      <xdr:rowOff>58482</xdr:rowOff>
    </xdr:to>
    <xdr:pic>
      <xdr:nvPicPr>
        <xdr:cNvPr id="11" name="图片 10">
          <a:extLst>
            <a:ext uri="{FF2B5EF4-FFF2-40B4-BE49-F238E27FC236}">
              <a16:creationId xmlns:a16="http://schemas.microsoft.com/office/drawing/2014/main" id="{CBFDDE27-B97D-7E97-DE02-0AB98EE1ABDE}"/>
            </a:ext>
          </a:extLst>
        </xdr:cNvPr>
        <xdr:cNvPicPr>
          <a:picLocks noChangeAspect="1"/>
        </xdr:cNvPicPr>
      </xdr:nvPicPr>
      <xdr:blipFill>
        <a:blip xmlns:r="http://schemas.openxmlformats.org/officeDocument/2006/relationships" r:embed="rId10"/>
        <a:stretch>
          <a:fillRect/>
        </a:stretch>
      </xdr:blipFill>
      <xdr:spPr>
        <a:xfrm>
          <a:off x="9658350" y="3562350"/>
          <a:ext cx="4000500" cy="438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531962</xdr:colOff>
      <xdr:row>34</xdr:row>
      <xdr:rowOff>8795</xdr:rowOff>
    </xdr:to>
    <xdr:pic>
      <xdr:nvPicPr>
        <xdr:cNvPr id="8" name="图片 7">
          <a:extLst>
            <a:ext uri="{FF2B5EF4-FFF2-40B4-BE49-F238E27FC236}">
              <a16:creationId xmlns:a16="http://schemas.microsoft.com/office/drawing/2014/main" id="{196F9CE1-FC7B-F31E-BE1B-47B9B64D5B1B}"/>
            </a:ext>
          </a:extLst>
        </xdr:cNvPr>
        <xdr:cNvPicPr>
          <a:picLocks noChangeAspect="1"/>
        </xdr:cNvPicPr>
      </xdr:nvPicPr>
      <xdr:blipFill>
        <a:blip xmlns:r="http://schemas.openxmlformats.org/officeDocument/2006/relationships" r:embed="rId1"/>
        <a:stretch>
          <a:fillRect/>
        </a:stretch>
      </xdr:blipFill>
      <xdr:spPr>
        <a:xfrm>
          <a:off x="0" y="0"/>
          <a:ext cx="11504762" cy="5838095"/>
        </a:xfrm>
        <a:prstGeom prst="rect">
          <a:avLst/>
        </a:prstGeom>
      </xdr:spPr>
    </xdr:pic>
    <xdr:clientData/>
  </xdr:twoCellAnchor>
  <xdr:twoCellAnchor editAs="oneCell">
    <xdr:from>
      <xdr:col>17</xdr:col>
      <xdr:colOff>19050</xdr:colOff>
      <xdr:row>0</xdr:row>
      <xdr:rowOff>0</xdr:rowOff>
    </xdr:from>
    <xdr:to>
      <xdr:col>24</xdr:col>
      <xdr:colOff>561307</xdr:colOff>
      <xdr:row>19</xdr:row>
      <xdr:rowOff>123402</xdr:rowOff>
    </xdr:to>
    <xdr:pic>
      <xdr:nvPicPr>
        <xdr:cNvPr id="9" name="图片 8">
          <a:extLst>
            <a:ext uri="{FF2B5EF4-FFF2-40B4-BE49-F238E27FC236}">
              <a16:creationId xmlns:a16="http://schemas.microsoft.com/office/drawing/2014/main" id="{34B8A1E8-5131-4C05-F090-9C30C306A0F1}"/>
            </a:ext>
          </a:extLst>
        </xdr:cNvPr>
        <xdr:cNvPicPr>
          <a:picLocks noChangeAspect="1"/>
        </xdr:cNvPicPr>
      </xdr:nvPicPr>
      <xdr:blipFill>
        <a:blip xmlns:r="http://schemas.openxmlformats.org/officeDocument/2006/relationships" r:embed="rId2"/>
        <a:stretch>
          <a:fillRect/>
        </a:stretch>
      </xdr:blipFill>
      <xdr:spPr>
        <a:xfrm>
          <a:off x="11677650" y="0"/>
          <a:ext cx="5342857" cy="3380952"/>
        </a:xfrm>
        <a:prstGeom prst="rect">
          <a:avLst/>
        </a:prstGeom>
      </xdr:spPr>
    </xdr:pic>
    <xdr:clientData/>
  </xdr:twoCellAnchor>
  <xdr:twoCellAnchor editAs="oneCell">
    <xdr:from>
      <xdr:col>0</xdr:col>
      <xdr:colOff>0</xdr:colOff>
      <xdr:row>35</xdr:row>
      <xdr:rowOff>0</xdr:rowOff>
    </xdr:from>
    <xdr:to>
      <xdr:col>17</xdr:col>
      <xdr:colOff>131876</xdr:colOff>
      <xdr:row>67</xdr:row>
      <xdr:rowOff>142171</xdr:rowOff>
    </xdr:to>
    <xdr:pic>
      <xdr:nvPicPr>
        <xdr:cNvPr id="10" name="图片 9">
          <a:extLst>
            <a:ext uri="{FF2B5EF4-FFF2-40B4-BE49-F238E27FC236}">
              <a16:creationId xmlns:a16="http://schemas.microsoft.com/office/drawing/2014/main" id="{171A98D8-AB14-5D92-9499-EAA703957A5D}"/>
            </a:ext>
          </a:extLst>
        </xdr:cNvPr>
        <xdr:cNvPicPr>
          <a:picLocks noChangeAspect="1"/>
        </xdr:cNvPicPr>
      </xdr:nvPicPr>
      <xdr:blipFill>
        <a:blip xmlns:r="http://schemas.openxmlformats.org/officeDocument/2006/relationships" r:embed="rId3"/>
        <a:stretch>
          <a:fillRect/>
        </a:stretch>
      </xdr:blipFill>
      <xdr:spPr>
        <a:xfrm>
          <a:off x="0" y="6000750"/>
          <a:ext cx="11790476" cy="5628571"/>
        </a:xfrm>
        <a:prstGeom prst="rect">
          <a:avLst/>
        </a:prstGeom>
      </xdr:spPr>
    </xdr:pic>
    <xdr:clientData/>
  </xdr:twoCellAnchor>
  <xdr:twoCellAnchor editAs="oneCell">
    <xdr:from>
      <xdr:col>17</xdr:col>
      <xdr:colOff>619125</xdr:colOff>
      <xdr:row>35</xdr:row>
      <xdr:rowOff>19050</xdr:rowOff>
    </xdr:from>
    <xdr:to>
      <xdr:col>25</xdr:col>
      <xdr:colOff>494630</xdr:colOff>
      <xdr:row>53</xdr:row>
      <xdr:rowOff>123426</xdr:rowOff>
    </xdr:to>
    <xdr:pic>
      <xdr:nvPicPr>
        <xdr:cNvPr id="11" name="图片 10">
          <a:extLst>
            <a:ext uri="{FF2B5EF4-FFF2-40B4-BE49-F238E27FC236}">
              <a16:creationId xmlns:a16="http://schemas.microsoft.com/office/drawing/2014/main" id="{39AC89EC-9C05-7C41-FB7C-B4BEF592615D}"/>
            </a:ext>
          </a:extLst>
        </xdr:cNvPr>
        <xdr:cNvPicPr>
          <a:picLocks noChangeAspect="1"/>
        </xdr:cNvPicPr>
      </xdr:nvPicPr>
      <xdr:blipFill>
        <a:blip xmlns:r="http://schemas.openxmlformats.org/officeDocument/2006/relationships" r:embed="rId4"/>
        <a:stretch>
          <a:fillRect/>
        </a:stretch>
      </xdr:blipFill>
      <xdr:spPr>
        <a:xfrm>
          <a:off x="12277725" y="6019800"/>
          <a:ext cx="5361905" cy="3190476"/>
        </a:xfrm>
        <a:prstGeom prst="rect">
          <a:avLst/>
        </a:prstGeom>
      </xdr:spPr>
    </xdr:pic>
    <xdr:clientData/>
  </xdr:twoCellAnchor>
  <xdr:twoCellAnchor editAs="oneCell">
    <xdr:from>
      <xdr:col>0</xdr:col>
      <xdr:colOff>0</xdr:colOff>
      <xdr:row>68</xdr:row>
      <xdr:rowOff>0</xdr:rowOff>
    </xdr:from>
    <xdr:to>
      <xdr:col>17</xdr:col>
      <xdr:colOff>8067</xdr:colOff>
      <xdr:row>100</xdr:row>
      <xdr:rowOff>151695</xdr:rowOff>
    </xdr:to>
    <xdr:pic>
      <xdr:nvPicPr>
        <xdr:cNvPr id="12" name="图片 11">
          <a:extLst>
            <a:ext uri="{FF2B5EF4-FFF2-40B4-BE49-F238E27FC236}">
              <a16:creationId xmlns:a16="http://schemas.microsoft.com/office/drawing/2014/main" id="{7A609D37-0CDA-87F9-C187-394009381CE1}"/>
            </a:ext>
          </a:extLst>
        </xdr:cNvPr>
        <xdr:cNvPicPr>
          <a:picLocks noChangeAspect="1"/>
        </xdr:cNvPicPr>
      </xdr:nvPicPr>
      <xdr:blipFill>
        <a:blip xmlns:r="http://schemas.openxmlformats.org/officeDocument/2006/relationships" r:embed="rId5"/>
        <a:stretch>
          <a:fillRect/>
        </a:stretch>
      </xdr:blipFill>
      <xdr:spPr>
        <a:xfrm>
          <a:off x="0" y="11658600"/>
          <a:ext cx="11666667" cy="5638095"/>
        </a:xfrm>
        <a:prstGeom prst="rect">
          <a:avLst/>
        </a:prstGeom>
      </xdr:spPr>
    </xdr:pic>
    <xdr:clientData/>
  </xdr:twoCellAnchor>
  <xdr:twoCellAnchor editAs="oneCell">
    <xdr:from>
      <xdr:col>17</xdr:col>
      <xdr:colOff>476250</xdr:colOff>
      <xdr:row>68</xdr:row>
      <xdr:rowOff>104775</xdr:rowOff>
    </xdr:from>
    <xdr:to>
      <xdr:col>25</xdr:col>
      <xdr:colOff>237469</xdr:colOff>
      <xdr:row>87</xdr:row>
      <xdr:rowOff>9130</xdr:rowOff>
    </xdr:to>
    <xdr:pic>
      <xdr:nvPicPr>
        <xdr:cNvPr id="13" name="图片 12">
          <a:extLst>
            <a:ext uri="{FF2B5EF4-FFF2-40B4-BE49-F238E27FC236}">
              <a16:creationId xmlns:a16="http://schemas.microsoft.com/office/drawing/2014/main" id="{C9A4263F-8674-3521-AA8F-EEC4DB0569BB}"/>
            </a:ext>
          </a:extLst>
        </xdr:cNvPr>
        <xdr:cNvPicPr>
          <a:picLocks noChangeAspect="1"/>
        </xdr:cNvPicPr>
      </xdr:nvPicPr>
      <xdr:blipFill>
        <a:blip xmlns:r="http://schemas.openxmlformats.org/officeDocument/2006/relationships" r:embed="rId6"/>
        <a:stretch>
          <a:fillRect/>
        </a:stretch>
      </xdr:blipFill>
      <xdr:spPr>
        <a:xfrm>
          <a:off x="12134850" y="11763375"/>
          <a:ext cx="5247619"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受贵公司委托，我公司对北京市房地产抵押价值进行了预评估。</v>
      </c>
    </row>
    <row r="7" spans="1:2">
      <c r="A7" s="857" t="s">
        <v>560</v>
      </c>
      <c r="B7" s="858" t="str">
        <f>'预评函-1'!A7</f>
        <v>估价对象为北京市房地产，为所有。根据《国有土地使用证》[]，估价对象（分摊）出让国有建设用地使用权面积为0平方米，建筑面积为1048.8平方米。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估价对象为北京市房地产,属开发建设的，该项目尚在开发建设中。根据《国有土地使用证》[]，估价对象（分摊）出让国有建设用地使用权面积为0平方米，规划建筑面积为1048.8平方米。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2026年1月22日（评估专业人员实地查勘之日）</v>
      </c>
    </row>
    <row r="13" spans="1:2">
      <c r="A13" s="857" t="s">
        <v>523</v>
      </c>
      <c r="B13" s="858"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本次评估采用的主估价方法为基准地价系数修正法和基准地价系数修正法。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t="e">
        <f ca="1">'预评函-2'!D5</f>
        <v>#REF!</v>
      </c>
    </row>
    <row r="21" spans="1:2">
      <c r="A21" s="857" t="s">
        <v>531</v>
      </c>
      <c r="B21" s="858" t="e">
        <f ca="1">'预评函-2'!D7</f>
        <v>#REF!</v>
      </c>
    </row>
    <row r="22" spans="1:2">
      <c r="A22" s="857" t="s">
        <v>532</v>
      </c>
      <c r="B22" s="858" t="e">
        <f ca="1">'预评函-2'!D6</f>
        <v>#REF!</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t="e">
        <f ca="1">'预评函-2'!D13</f>
        <v>#REF!</v>
      </c>
    </row>
    <row r="31" spans="1:2">
      <c r="A31" s="857" t="s">
        <v>570</v>
      </c>
      <c r="B31" s="858" t="e">
        <f ca="1">'预评函-2'!D15</f>
        <v>#REF!</v>
      </c>
    </row>
    <row r="32" spans="1:2">
      <c r="A32" s="857" t="s">
        <v>537</v>
      </c>
      <c r="B32" s="858" t="e">
        <f ca="1">'预评函-2'!D14</f>
        <v>#REF!</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北京市房地产</v>
      </c>
    </row>
    <row r="42" spans="1:2">
      <c r="A42" s="857" t="s">
        <v>584</v>
      </c>
      <c r="B42" s="858" t="str">
        <f>'预评函-3'!B2</f>
        <v>建筑面积</v>
      </c>
    </row>
    <row r="43" spans="1:2">
      <c r="A43" s="857" t="s">
        <v>585</v>
      </c>
      <c r="B43" s="858">
        <f>'预评函-3'!B4</f>
        <v>1048.8</v>
      </c>
    </row>
    <row r="44" spans="1:2">
      <c r="A44" s="857" t="s">
        <v>569</v>
      </c>
      <c r="B44" s="858" t="str">
        <f>'预评函-3'!C2</f>
        <v>(分摊)土地面积</v>
      </c>
    </row>
    <row r="45" spans="1:2">
      <c r="A45" s="857" t="s">
        <v>541</v>
      </c>
      <c r="B45" s="858">
        <f>'预评函-3'!C4</f>
        <v>0</v>
      </c>
    </row>
    <row r="46" spans="1:2">
      <c r="A46" s="857" t="s">
        <v>567</v>
      </c>
      <c r="B46" s="858" t="str">
        <f>'预评函-3'!D2</f>
        <v>出让国有建设用地使用权价值</v>
      </c>
    </row>
    <row r="47" spans="1:2">
      <c r="A47" s="857" t="s">
        <v>542</v>
      </c>
      <c r="B47" s="858" t="e">
        <f ca="1">'预评函-3'!D4</f>
        <v>#REF!</v>
      </c>
    </row>
    <row r="48" spans="1:2">
      <c r="A48" s="857" t="s">
        <v>543</v>
      </c>
      <c r="B48" s="858" t="e">
        <f ca="1">'预评函-3'!E4</f>
        <v>#REF!</v>
      </c>
    </row>
    <row r="49" spans="1:2">
      <c r="A49" s="857" t="s">
        <v>544</v>
      </c>
      <c r="B49" s="858" t="e">
        <f ca="1">'预评函-3'!D5</f>
        <v>#REF!</v>
      </c>
    </row>
    <row r="50" spans="1:2">
      <c r="A50" s="857" t="s">
        <v>568</v>
      </c>
      <c r="B50" s="858">
        <f>'预评函-3'!F2</f>
        <v>0</v>
      </c>
    </row>
    <row r="51" spans="1:2">
      <c r="A51" s="857" t="s">
        <v>545</v>
      </c>
      <c r="B51" s="858" t="e">
        <f ca="1">'预评函-3'!F4</f>
        <v>#REF!</v>
      </c>
    </row>
    <row r="52" spans="1:2">
      <c r="A52" s="857" t="s">
        <v>546</v>
      </c>
      <c r="B52" s="858" t="e">
        <f ca="1">'预评函-3'!G4</f>
        <v>#REF!</v>
      </c>
    </row>
    <row r="53" spans="1:2">
      <c r="A53" s="857" t="s">
        <v>574</v>
      </c>
      <c r="B53" s="858" t="e">
        <f ca="1">'预评函-3'!F5</f>
        <v>#REF!</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3250</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3288</v>
      </c>
      <c r="AA1" s="1155" t="s">
        <v>3287</v>
      </c>
      <c r="AB1" s="1155" t="s">
        <v>3</v>
      </c>
    </row>
    <row r="2" spans="1:28">
      <c r="A2" s="1158" t="s">
        <v>17</v>
      </c>
      <c r="B2" s="1158" t="s">
        <v>980</v>
      </c>
      <c r="C2" s="1159" t="s">
        <v>313</v>
      </c>
      <c r="D2" s="1160" t="s">
        <v>981</v>
      </c>
      <c r="E2" s="1160" t="s">
        <v>982</v>
      </c>
      <c r="F2" s="1160" t="s">
        <v>983</v>
      </c>
      <c r="G2" s="3962">
        <v>20</v>
      </c>
      <c r="H2" s="1160" t="s">
        <v>983</v>
      </c>
      <c r="I2" s="1160" t="s">
        <v>3236</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2341</v>
      </c>
      <c r="Y2" s="1162" t="s">
        <v>3294</v>
      </c>
      <c r="Z2" s="1162" t="s">
        <v>2354</v>
      </c>
      <c r="AA2" s="1162" t="s">
        <v>3295</v>
      </c>
      <c r="AB2" s="1162" t="s">
        <v>2381</v>
      </c>
    </row>
    <row r="3" spans="1:28">
      <c r="A3" s="1158" t="s">
        <v>988</v>
      </c>
      <c r="B3" s="1161" t="s">
        <v>442</v>
      </c>
      <c r="C3" s="1159" t="s">
        <v>314</v>
      </c>
      <c r="D3" s="1160" t="s">
        <v>989</v>
      </c>
      <c r="E3" s="1160" t="s">
        <v>12</v>
      </c>
      <c r="F3" s="1160" t="s">
        <v>990</v>
      </c>
      <c r="G3" s="3962">
        <v>40</v>
      </c>
      <c r="H3" s="1160" t="s">
        <v>990</v>
      </c>
      <c r="I3" s="1160" t="s">
        <v>3237</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2343</v>
      </c>
      <c r="Z3" s="1162" t="s">
        <v>2356</v>
      </c>
      <c r="AB3" s="1162" t="s">
        <v>2383</v>
      </c>
    </row>
    <row r="4" spans="1:28">
      <c r="A4" s="1158" t="s">
        <v>995</v>
      </c>
      <c r="B4" s="1158" t="s">
        <v>996</v>
      </c>
      <c r="C4" s="1159" t="s">
        <v>315</v>
      </c>
      <c r="D4" s="1160" t="s">
        <v>383</v>
      </c>
      <c r="E4" s="1160" t="s">
        <v>997</v>
      </c>
      <c r="F4" s="1160" t="s">
        <v>998</v>
      </c>
      <c r="G4" s="3962">
        <v>50</v>
      </c>
      <c r="H4" s="1160" t="s">
        <v>998</v>
      </c>
      <c r="I4" s="1160" t="s">
        <v>3238</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2345</v>
      </c>
      <c r="Z4" s="1162" t="s">
        <v>2358</v>
      </c>
      <c r="AB4" s="1162" t="s">
        <v>2385</v>
      </c>
    </row>
    <row r="5" spans="1:28">
      <c r="A5" s="1158" t="s">
        <v>1001</v>
      </c>
      <c r="B5" s="1158" t="s">
        <v>1002</v>
      </c>
      <c r="C5" s="1159" t="s">
        <v>316</v>
      </c>
      <c r="F5" s="1160" t="s">
        <v>1003</v>
      </c>
      <c r="G5" s="3962">
        <v>70</v>
      </c>
      <c r="H5" s="1160" t="s">
        <v>1004</v>
      </c>
      <c r="I5" s="1160" t="s">
        <v>3239</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2347</v>
      </c>
      <c r="Z5" s="1162" t="s">
        <v>2360</v>
      </c>
      <c r="AB5" s="1162" t="s">
        <v>3296</v>
      </c>
    </row>
    <row r="6" spans="1:28">
      <c r="A6" s="1158" t="s">
        <v>1007</v>
      </c>
      <c r="B6" s="1161" t="s">
        <v>443</v>
      </c>
      <c r="C6" s="1163" t="s">
        <v>22</v>
      </c>
      <c r="F6" s="1160" t="s">
        <v>1004</v>
      </c>
      <c r="H6" s="1160" t="s">
        <v>1008</v>
      </c>
      <c r="I6" s="1160" t="s">
        <v>3240</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2349</v>
      </c>
      <c r="Z6" s="1162" t="s">
        <v>2362</v>
      </c>
      <c r="AB6" s="1162" t="s">
        <v>2388</v>
      </c>
    </row>
    <row r="7" spans="1:28">
      <c r="A7" s="1158" t="s">
        <v>1010</v>
      </c>
      <c r="B7" s="1161" t="s">
        <v>444</v>
      </c>
      <c r="C7" s="1159" t="s">
        <v>23</v>
      </c>
      <c r="F7" s="1160" t="s">
        <v>1011</v>
      </c>
      <c r="H7" s="1160" t="s">
        <v>1012</v>
      </c>
      <c r="I7" s="1160" t="s">
        <v>3241</v>
      </c>
      <c r="X7" s="1162" t="s">
        <v>2351</v>
      </c>
      <c r="Z7" s="1162" t="s">
        <v>2364</v>
      </c>
      <c r="AB7" s="1162" t="s">
        <v>2390</v>
      </c>
    </row>
    <row r="8" spans="1:28">
      <c r="A8" s="1158" t="s">
        <v>1013</v>
      </c>
      <c r="B8" s="1158" t="s">
        <v>2335</v>
      </c>
      <c r="C8" s="1159" t="s">
        <v>317</v>
      </c>
      <c r="F8" s="1160" t="s">
        <v>1015</v>
      </c>
      <c r="H8" s="1160" t="s">
        <v>2479</v>
      </c>
      <c r="I8" s="1160" t="s">
        <v>3242</v>
      </c>
      <c r="X8" s="1162" t="s">
        <v>3297</v>
      </c>
      <c r="Z8" s="1162" t="s">
        <v>2366</v>
      </c>
      <c r="AB8" s="1162" t="s">
        <v>2392</v>
      </c>
    </row>
    <row r="9" spans="1:28">
      <c r="A9" s="1158" t="s">
        <v>1016</v>
      </c>
      <c r="B9" s="1158" t="s">
        <v>1014</v>
      </c>
      <c r="C9" s="1159" t="s">
        <v>318</v>
      </c>
      <c r="F9" s="1160" t="s">
        <v>1018</v>
      </c>
      <c r="H9" s="1160"/>
      <c r="I9" s="1162" t="s">
        <v>3243</v>
      </c>
      <c r="X9" s="1162" t="s">
        <v>3298</v>
      </c>
      <c r="Z9" s="1162" t="s">
        <v>2368</v>
      </c>
      <c r="AB9" s="1162" t="s">
        <v>2394</v>
      </c>
    </row>
    <row r="10" spans="1:28">
      <c r="A10" s="1158" t="s">
        <v>1019</v>
      </c>
      <c r="B10" s="1158" t="s">
        <v>1017</v>
      </c>
      <c r="C10" s="1159" t="s">
        <v>319</v>
      </c>
      <c r="F10" s="1160" t="s">
        <v>2480</v>
      </c>
      <c r="I10" s="1162" t="s">
        <v>3244</v>
      </c>
      <c r="Z10" s="1162" t="s">
        <v>2370</v>
      </c>
      <c r="AB10" s="1162" t="s">
        <v>2396</v>
      </c>
    </row>
    <row r="11" spans="1:28">
      <c r="A11" s="1158" t="s">
        <v>1021</v>
      </c>
      <c r="B11" s="1158" t="s">
        <v>1020</v>
      </c>
      <c r="C11" s="1159" t="s">
        <v>320</v>
      </c>
      <c r="F11" s="1160" t="s">
        <v>12</v>
      </c>
      <c r="I11" s="1162" t="s">
        <v>3245</v>
      </c>
      <c r="Z11" s="1162" t="s">
        <v>2372</v>
      </c>
      <c r="AB11" s="1162" t="s">
        <v>2398</v>
      </c>
    </row>
    <row r="12" spans="1:28">
      <c r="A12" s="1158" t="s">
        <v>1023</v>
      </c>
      <c r="B12" s="1158" t="s">
        <v>1022</v>
      </c>
      <c r="C12" s="1159" t="s">
        <v>321</v>
      </c>
      <c r="I12" s="1162" t="s">
        <v>3246</v>
      </c>
      <c r="Z12" s="1162" t="s">
        <v>2374</v>
      </c>
      <c r="AB12" s="1162" t="s">
        <v>2400</v>
      </c>
    </row>
    <row r="13" spans="1:28">
      <c r="A13" s="1158" t="s">
        <v>1025</v>
      </c>
      <c r="B13" s="1158" t="s">
        <v>1024</v>
      </c>
      <c r="C13" s="1159" t="s">
        <v>322</v>
      </c>
      <c r="I13" s="1162" t="s">
        <v>3247</v>
      </c>
      <c r="Z13" s="1162" t="s">
        <v>2376</v>
      </c>
    </row>
    <row r="14" spans="1:28">
      <c r="A14" s="1158" t="s">
        <v>1027</v>
      </c>
      <c r="B14" s="1158" t="s">
        <v>1026</v>
      </c>
      <c r="C14" s="1160" t="s">
        <v>12</v>
      </c>
      <c r="I14" s="1162" t="s">
        <v>3248</v>
      </c>
      <c r="Z14" s="1162" t="s">
        <v>2378</v>
      </c>
    </row>
    <row r="15" spans="1:28">
      <c r="A15" s="1158" t="s">
        <v>1029</v>
      </c>
      <c r="B15" s="1158" t="s">
        <v>2200</v>
      </c>
      <c r="C15" s="1159"/>
      <c r="I15" s="1162" t="s">
        <v>3249</v>
      </c>
    </row>
    <row r="16" spans="1:28">
      <c r="A16" s="1158" t="s">
        <v>1031</v>
      </c>
      <c r="B16" s="1158" t="s">
        <v>1028</v>
      </c>
      <c r="C16" s="1159"/>
    </row>
    <row r="17" spans="1:3">
      <c r="A17" s="1158" t="s">
        <v>1032</v>
      </c>
      <c r="B17" s="1158" t="s">
        <v>1030</v>
      </c>
      <c r="C17" s="1159"/>
    </row>
    <row r="18" spans="1:3">
      <c r="A18" s="1158" t="s">
        <v>1033</v>
      </c>
      <c r="B18" s="1158" t="s">
        <v>3562</v>
      </c>
      <c r="C18" s="1159"/>
    </row>
    <row r="19" spans="1:3">
      <c r="A19" s="1158" t="s">
        <v>1034</v>
      </c>
      <c r="B19" s="1158" t="s">
        <v>3563</v>
      </c>
      <c r="C19" s="1159"/>
    </row>
    <row r="20" spans="1:3">
      <c r="A20" s="1158" t="s">
        <v>1035</v>
      </c>
      <c r="B20" s="1158" t="s">
        <v>310</v>
      </c>
      <c r="C20" s="1159"/>
    </row>
    <row r="21" spans="1:3">
      <c r="A21" s="1158" t="s">
        <v>1036</v>
      </c>
      <c r="B21" s="1158" t="s">
        <v>2200</v>
      </c>
      <c r="C21" s="1159"/>
    </row>
    <row r="22" spans="1:3">
      <c r="A22" s="1158" t="s">
        <v>1037</v>
      </c>
      <c r="B22" s="1158" t="s">
        <v>3668</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18"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8"/>
      <c r="B54" s="1164" t="s">
        <v>379</v>
      </c>
      <c r="C54" s="1162" t="s">
        <v>577</v>
      </c>
    </row>
    <row r="55" spans="1:4">
      <c r="A55" s="4218"/>
      <c r="B55" s="1164" t="s">
        <v>380</v>
      </c>
      <c r="C55" s="1162" t="s">
        <v>578</v>
      </c>
    </row>
    <row r="56" spans="1:4">
      <c r="A56" s="4218"/>
      <c r="B56" s="1164" t="s">
        <v>381</v>
      </c>
      <c r="C56" s="1162" t="s">
        <v>582</v>
      </c>
    </row>
    <row r="57" spans="1:4">
      <c r="A57" s="4218"/>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2402</v>
      </c>
      <c r="B1" s="2289"/>
      <c r="C1" s="2289"/>
      <c r="D1" s="2289"/>
      <c r="E1" s="2289"/>
      <c r="F1" s="2290"/>
      <c r="I1" s="2616" t="s">
        <v>2495</v>
      </c>
      <c r="J1" s="3987"/>
      <c r="K1" s="3987"/>
      <c r="L1" s="3987"/>
      <c r="M1" s="3987"/>
      <c r="N1" s="3988"/>
      <c r="O1" s="3988"/>
      <c r="P1" s="3988"/>
      <c r="Q1" s="3988"/>
      <c r="R1" s="3989"/>
    </row>
    <row r="2" spans="1:18">
      <c r="A2" s="2292"/>
      <c r="B2" s="2293"/>
      <c r="C2" s="2293"/>
      <c r="D2" s="2293"/>
      <c r="E2" s="2293"/>
      <c r="F2" s="2294"/>
      <c r="I2" s="4219" t="s">
        <v>2482</v>
      </c>
      <c r="J2" s="4220"/>
      <c r="K2" s="4220"/>
      <c r="L2" s="4220"/>
      <c r="M2" s="4220"/>
      <c r="N2" s="4220"/>
      <c r="O2" s="4220"/>
      <c r="P2" s="4220"/>
      <c r="Q2" s="4220"/>
      <c r="R2" s="4221"/>
    </row>
    <row r="3" spans="1:18">
      <c r="A3" s="2295" t="s">
        <v>2403</v>
      </c>
      <c r="B3" s="2296">
        <f>项目基本情况!D3</f>
        <v>46044</v>
      </c>
      <c r="C3" s="2297"/>
      <c r="D3" s="2297"/>
      <c r="E3" s="2297"/>
      <c r="F3" s="2294"/>
      <c r="I3" s="2302"/>
      <c r="J3" s="2303" t="s">
        <v>2486</v>
      </c>
      <c r="K3" s="2303" t="s">
        <v>2487</v>
      </c>
      <c r="L3" s="2303" t="s">
        <v>2488</v>
      </c>
      <c r="M3" s="2303" t="s">
        <v>2489</v>
      </c>
      <c r="N3" s="2617" t="s">
        <v>2490</v>
      </c>
      <c r="O3" s="2617" t="s">
        <v>2491</v>
      </c>
      <c r="P3" s="2617" t="s">
        <v>2492</v>
      </c>
      <c r="Q3" s="2617" t="s">
        <v>2493</v>
      </c>
      <c r="R3" s="3966" t="s">
        <v>2494</v>
      </c>
    </row>
    <row r="4" spans="1:18">
      <c r="A4" s="2295" t="s">
        <v>2404</v>
      </c>
      <c r="B4" s="2297" t="s">
        <v>2405</v>
      </c>
      <c r="C4" s="2297" t="s">
        <v>2406</v>
      </c>
      <c r="D4" s="2297" t="s">
        <v>2407</v>
      </c>
      <c r="E4" s="2297" t="s">
        <v>2408</v>
      </c>
      <c r="F4" s="2294"/>
      <c r="I4" s="2302" t="s">
        <v>2483</v>
      </c>
      <c r="J4" s="3963">
        <v>80</v>
      </c>
      <c r="K4" s="3963">
        <v>70</v>
      </c>
      <c r="L4" s="3963">
        <v>20</v>
      </c>
      <c r="M4" s="3963">
        <v>30</v>
      </c>
      <c r="N4" s="3407">
        <v>45</v>
      </c>
      <c r="O4" s="3407">
        <v>60</v>
      </c>
      <c r="P4" s="3407">
        <v>50</v>
      </c>
      <c r="Q4" s="3407">
        <v>20</v>
      </c>
      <c r="R4" s="3967">
        <v>375</v>
      </c>
    </row>
    <row r="5" spans="1:18">
      <c r="A5" s="3990">
        <v>40</v>
      </c>
      <c r="B5" s="2296">
        <v>46375</v>
      </c>
      <c r="C5" s="3991">
        <f>ROUNDDOWN(MIN((B5-B3)/365,A5),2)</f>
        <v>0.9</v>
      </c>
      <c r="D5" s="3992">
        <f>IF(ISERROR(ROUND(POWER(1+E5,A5-C5)*(POWER(1+E5,C5)-1)/(POWER(1+E5,A5)-1),3)),0,ROUND(POWER(1+E5,A5-C5)*(POWER(1+E5,C5)-1)/(POWER(1+E5,A5)-1),4))</f>
        <v>4.3799999999999999E-2</v>
      </c>
      <c r="E5" s="3993">
        <v>0.04</v>
      </c>
      <c r="F5" s="2294"/>
      <c r="I5" s="2302" t="s">
        <v>2484</v>
      </c>
      <c r="J5" s="3963">
        <v>70</v>
      </c>
      <c r="K5" s="3963">
        <v>60</v>
      </c>
      <c r="L5" s="3963">
        <v>15</v>
      </c>
      <c r="M5" s="3963">
        <v>25</v>
      </c>
      <c r="N5" s="3407">
        <v>40</v>
      </c>
      <c r="O5" s="3407">
        <v>50</v>
      </c>
      <c r="P5" s="3407">
        <v>40</v>
      </c>
      <c r="Q5" s="3407">
        <v>15</v>
      </c>
      <c r="R5" s="3967">
        <v>315</v>
      </c>
    </row>
    <row r="6" spans="1:18" ht="14.25" thickBot="1">
      <c r="A6" s="3990">
        <v>50</v>
      </c>
      <c r="B6" s="2296">
        <v>50028</v>
      </c>
      <c r="C6" s="3991">
        <f>ROUNDDOWN(MIN((B6-B3)/365,A6),2)</f>
        <v>10.91</v>
      </c>
      <c r="D6" s="3992">
        <f>IF(ISERROR(ROUND(POWER(1+E6,A6-C6)*(POWER(1+E6,C6)-1)/(POWER(1+E6,A6)-1),3)),0,ROUND(POWER(1+E6,A6-C6)*(POWER(1+E6,C6)-1)/(POWER(1+E6,A6)-1),4))</f>
        <v>0.40510000000000002</v>
      </c>
      <c r="E6" s="3993">
        <v>0.04</v>
      </c>
      <c r="F6" s="2294"/>
      <c r="I6" s="3968" t="s">
        <v>2485</v>
      </c>
      <c r="J6" s="3969">
        <v>60</v>
      </c>
      <c r="K6" s="3969">
        <v>50</v>
      </c>
      <c r="L6" s="3969">
        <v>10</v>
      </c>
      <c r="M6" s="3969">
        <v>20</v>
      </c>
      <c r="N6" s="3970">
        <v>35</v>
      </c>
      <c r="O6" s="3970">
        <v>40</v>
      </c>
      <c r="P6" s="3970">
        <v>30</v>
      </c>
      <c r="Q6" s="3970">
        <v>10</v>
      </c>
      <c r="R6" s="3971">
        <v>255</v>
      </c>
    </row>
    <row r="7" spans="1:18">
      <c r="A7" s="3990">
        <v>70</v>
      </c>
      <c r="B7" s="2296">
        <v>57333</v>
      </c>
      <c r="C7" s="3991">
        <f>ROUNDDOWN(MIN((B7-B3)/365,A7),2)</f>
        <v>30.92</v>
      </c>
      <c r="D7" s="3992">
        <f>IF(ISERROR(ROUND(POWER(1+E7,A7-C7)*(POWER(1+E7,C7)-1)/(POWER(1+E7,A7)-1),3)),0,ROUND(POWER(1+E7,A7-C7)*(POWER(1+E7,C7)-1)/(POWER(1+E7,A7)-1),4))</f>
        <v>0.75080000000000002</v>
      </c>
      <c r="E7" s="3993">
        <v>0.04</v>
      </c>
      <c r="F7" s="2294"/>
      <c r="I7" s="3972" t="s">
        <v>3715</v>
      </c>
      <c r="J7" s="3973" t="s">
        <v>3718</v>
      </c>
      <c r="K7" s="3974">
        <v>3.5</v>
      </c>
      <c r="L7" s="3975" t="s">
        <v>3717</v>
      </c>
      <c r="M7" s="3965"/>
      <c r="N7" s="2289"/>
      <c r="O7" s="2289"/>
      <c r="P7" s="2289"/>
      <c r="Q7" s="2289"/>
      <c r="R7" s="2290"/>
    </row>
    <row r="8" spans="1:18">
      <c r="A8" s="2292"/>
      <c r="B8" s="2293"/>
      <c r="C8" s="2293"/>
      <c r="D8" s="2293"/>
      <c r="E8" s="2293"/>
      <c r="F8" s="2294"/>
      <c r="I8" s="4219" t="s">
        <v>3716</v>
      </c>
      <c r="J8" s="4220"/>
      <c r="K8" s="4220"/>
      <c r="L8" s="4220"/>
      <c r="M8" s="4220"/>
      <c r="N8" s="4220"/>
      <c r="O8" s="4220"/>
      <c r="P8" s="4220"/>
      <c r="Q8" s="4220"/>
      <c r="R8" s="4221"/>
    </row>
    <row r="9" spans="1:18">
      <c r="A9" s="2295" t="s">
        <v>2409</v>
      </c>
      <c r="B9" s="2297"/>
      <c r="C9" s="2297"/>
      <c r="D9" s="2297"/>
      <c r="E9" s="2297"/>
      <c r="F9" s="2298"/>
      <c r="I9" s="2302"/>
      <c r="J9" s="2303" t="s">
        <v>2486</v>
      </c>
      <c r="K9" s="2303" t="s">
        <v>2487</v>
      </c>
      <c r="L9" s="2303" t="s">
        <v>2488</v>
      </c>
      <c r="M9" s="2303" t="s">
        <v>2489</v>
      </c>
      <c r="N9" s="2617" t="s">
        <v>2490</v>
      </c>
      <c r="O9" s="2617" t="s">
        <v>2491</v>
      </c>
      <c r="P9" s="2617" t="s">
        <v>2492</v>
      </c>
      <c r="Q9" s="2617" t="s">
        <v>2493</v>
      </c>
      <c r="R9" s="3966" t="s">
        <v>2494</v>
      </c>
    </row>
    <row r="10" spans="1:18">
      <c r="A10" s="2295" t="s">
        <v>2410</v>
      </c>
      <c r="B10" s="2297"/>
      <c r="C10" s="2297"/>
      <c r="D10" s="2297" t="s">
        <v>2408</v>
      </c>
      <c r="E10" s="2297"/>
      <c r="F10" s="2298" t="s">
        <v>2407</v>
      </c>
      <c r="I10" s="2302" t="s">
        <v>2483</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2411</v>
      </c>
      <c r="B11" s="3994">
        <v>70</v>
      </c>
      <c r="C11" s="3997" t="s">
        <v>2412</v>
      </c>
      <c r="D11" s="3993">
        <v>4.4999999999999998E-2</v>
      </c>
      <c r="E11" s="3997" t="s">
        <v>2413</v>
      </c>
      <c r="F11" s="3995">
        <f>ROUND(1-(1/(POWER(1+D11,B11))),4)</f>
        <v>0.95409999999999995</v>
      </c>
      <c r="I11" s="2302" t="s">
        <v>2484</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2414</v>
      </c>
      <c r="B12" s="3994">
        <v>40</v>
      </c>
      <c r="C12" s="3997" t="s">
        <v>2415</v>
      </c>
      <c r="D12" s="3993">
        <v>4.4999999999999998E-2</v>
      </c>
      <c r="E12" s="3997" t="s">
        <v>2416</v>
      </c>
      <c r="F12" s="3995">
        <f>ROUND(1-(1/(POWER(1+D12,B12))),4)</f>
        <v>0.82809999999999995</v>
      </c>
      <c r="I12" s="3976" t="s">
        <v>2485</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2417</v>
      </c>
      <c r="B13" s="2297"/>
      <c r="C13" s="2297"/>
      <c r="D13" s="2293"/>
      <c r="E13" s="2293"/>
      <c r="F13" s="2294"/>
      <c r="I13" s="3964" t="s">
        <v>3719</v>
      </c>
      <c r="J13" s="3980">
        <v>2.5</v>
      </c>
      <c r="K13" s="3965" t="s">
        <v>3720</v>
      </c>
      <c r="L13" s="3981">
        <v>0.92630000000000001</v>
      </c>
      <c r="M13" s="3965"/>
      <c r="N13" s="2289"/>
      <c r="O13" s="2289"/>
      <c r="P13" s="2289"/>
      <c r="Q13" s="2289"/>
      <c r="R13" s="2290"/>
    </row>
    <row r="14" spans="1:18">
      <c r="A14" s="3996" t="s">
        <v>2418</v>
      </c>
      <c r="B14" s="3998">
        <v>5000</v>
      </c>
      <c r="C14" s="3999"/>
      <c r="D14" s="2293"/>
      <c r="E14" s="2293"/>
      <c r="F14" s="2294"/>
      <c r="I14" s="2302"/>
      <c r="J14" s="2303" t="s">
        <v>2486</v>
      </c>
      <c r="K14" s="2303" t="s">
        <v>2487</v>
      </c>
      <c r="L14" s="2303" t="s">
        <v>2488</v>
      </c>
      <c r="M14" s="2303" t="s">
        <v>2489</v>
      </c>
      <c r="N14" s="2617" t="s">
        <v>2490</v>
      </c>
      <c r="O14" s="2617" t="s">
        <v>2491</v>
      </c>
      <c r="P14" s="2617" t="s">
        <v>2492</v>
      </c>
      <c r="Q14" s="2617" t="s">
        <v>2493</v>
      </c>
      <c r="R14" s="3966" t="s">
        <v>2494</v>
      </c>
    </row>
    <row r="15" spans="1:18">
      <c r="A15" s="3996" t="s">
        <v>2419</v>
      </c>
      <c r="B15" s="4000">
        <f>ROUND(B14*F12/F11,2)</f>
        <v>4339.6899999999996</v>
      </c>
      <c r="C15" s="3992">
        <f>ROUND(F12/F11,4)</f>
        <v>0.8679</v>
      </c>
      <c r="D15" s="2293"/>
      <c r="E15" s="2293"/>
      <c r="F15" s="2294"/>
      <c r="I15" s="2302" t="s">
        <v>2483</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2420</v>
      </c>
      <c r="B16" s="2793"/>
      <c r="C16" s="2793"/>
      <c r="D16" s="2293"/>
      <c r="E16" s="2293"/>
      <c r="F16" s="2294"/>
      <c r="I16" s="2302" t="s">
        <v>2484</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2419</v>
      </c>
      <c r="B17" s="3998">
        <v>4810</v>
      </c>
      <c r="C17" s="3999"/>
      <c r="D17" s="2293"/>
      <c r="E17" s="2293"/>
      <c r="F17" s="2294"/>
      <c r="I17" s="3968" t="s">
        <v>2485</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2418</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2421</v>
      </c>
      <c r="B20" s="2456"/>
      <c r="C20" s="2456"/>
      <c r="D20" s="2456"/>
      <c r="E20" s="2456"/>
      <c r="F20" s="2456"/>
      <c r="G20" s="3986"/>
      <c r="I20" s="2323" t="s">
        <v>2466</v>
      </c>
      <c r="J20" s="2323" t="s">
        <v>2471</v>
      </c>
    </row>
    <row r="21" spans="1:18">
      <c r="A21" s="2302"/>
      <c r="B21" s="2303" t="s">
        <v>2422</v>
      </c>
      <c r="C21" s="2303" t="s">
        <v>2423</v>
      </c>
      <c r="D21" s="2303" t="s">
        <v>2424</v>
      </c>
      <c r="E21" s="2303" t="s">
        <v>2425</v>
      </c>
      <c r="F21" s="2303" t="s">
        <v>2426</v>
      </c>
      <c r="G21" s="2304" t="s">
        <v>2427</v>
      </c>
      <c r="I21" s="2795">
        <v>5</v>
      </c>
      <c r="J21" s="2794">
        <v>54.2</v>
      </c>
      <c r="K21" s="2794"/>
    </row>
    <row r="22" spans="1:18">
      <c r="A22" s="2302" t="s">
        <v>2428</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2429</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2469</v>
      </c>
      <c r="N23" s="2625" t="s">
        <v>2470</v>
      </c>
    </row>
    <row r="24" spans="1:18">
      <c r="A24" s="2302" t="s">
        <v>2430</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2468</v>
      </c>
      <c r="N24" s="2796">
        <v>10</v>
      </c>
    </row>
    <row r="25" spans="1:18">
      <c r="A25" s="2302" t="s">
        <v>2431</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2472</v>
      </c>
      <c r="N25" s="2796">
        <v>8</v>
      </c>
    </row>
    <row r="26" spans="1:18">
      <c r="A26" s="2305"/>
      <c r="B26" s="2306"/>
      <c r="C26" s="2306"/>
      <c r="D26" s="2306"/>
      <c r="E26" s="2306"/>
      <c r="F26" s="2306"/>
      <c r="G26" s="2307"/>
      <c r="I26" s="2795">
        <v>30</v>
      </c>
      <c r="J26" s="2794">
        <v>90.5</v>
      </c>
      <c r="K26" s="2794">
        <f t="shared" si="7"/>
        <v>4.2000000000000028</v>
      </c>
      <c r="L26" s="2323" t="s">
        <v>2473</v>
      </c>
      <c r="N26" s="2796">
        <v>5</v>
      </c>
    </row>
    <row r="27" spans="1:18">
      <c r="A27" s="2305" t="s">
        <v>2432</v>
      </c>
      <c r="B27" s="2306"/>
      <c r="C27" s="2306"/>
      <c r="D27" s="2306"/>
      <c r="E27" s="2306"/>
      <c r="F27" s="2306"/>
      <c r="G27" s="2307"/>
      <c r="I27" s="2795">
        <v>35</v>
      </c>
      <c r="J27" s="2794">
        <v>93.8</v>
      </c>
      <c r="K27" s="2794">
        <f t="shared" si="7"/>
        <v>3.2999999999999972</v>
      </c>
      <c r="L27" s="2323" t="s">
        <v>2474</v>
      </c>
      <c r="N27" s="2796">
        <v>3</v>
      </c>
    </row>
    <row r="28" spans="1:18">
      <c r="A28" s="2305" t="s">
        <v>2433</v>
      </c>
      <c r="B28" s="2306"/>
      <c r="C28" s="2306"/>
      <c r="D28" s="2306"/>
      <c r="E28" s="2306"/>
      <c r="F28" s="2306"/>
      <c r="G28" s="2307"/>
      <c r="I28" s="2795">
        <v>40</v>
      </c>
      <c r="J28" s="2794">
        <v>96.4</v>
      </c>
      <c r="K28" s="2794">
        <f t="shared" si="7"/>
        <v>2.6000000000000085</v>
      </c>
      <c r="L28" s="2323" t="s">
        <v>2475</v>
      </c>
      <c r="N28" s="2796">
        <v>2</v>
      </c>
    </row>
    <row r="29" spans="1:18">
      <c r="A29" s="2305" t="s">
        <v>2434</v>
      </c>
      <c r="B29" s="2306"/>
      <c r="C29" s="2306"/>
      <c r="D29" s="2306"/>
      <c r="E29" s="2306"/>
      <c r="F29" s="2306"/>
      <c r="G29" s="2307"/>
      <c r="I29" s="2795">
        <v>45</v>
      </c>
      <c r="J29" s="2794">
        <v>98.4</v>
      </c>
      <c r="K29" s="2794">
        <f t="shared" si="7"/>
        <v>2</v>
      </c>
    </row>
    <row r="30" spans="1:18">
      <c r="A30" s="2305" t="s">
        <v>2435</v>
      </c>
      <c r="B30" s="2306"/>
      <c r="C30" s="2306"/>
      <c r="D30" s="2306"/>
      <c r="E30" s="2306"/>
      <c r="F30" s="2306"/>
      <c r="G30" s="2307"/>
      <c r="I30" s="2795">
        <v>50</v>
      </c>
      <c r="J30" s="2794">
        <v>100</v>
      </c>
      <c r="K30" s="2794">
        <f t="shared" si="7"/>
        <v>1.5999999999999943</v>
      </c>
    </row>
    <row r="31" spans="1:18">
      <c r="A31" s="2305" t="s">
        <v>2436</v>
      </c>
      <c r="B31" s="2306"/>
      <c r="C31" s="2306"/>
      <c r="D31" s="2306"/>
      <c r="E31" s="2306"/>
      <c r="F31" s="2306"/>
      <c r="G31" s="2307"/>
      <c r="I31" s="2323" t="s">
        <v>2467</v>
      </c>
    </row>
    <row r="32" spans="1:18">
      <c r="A32" s="2305" t="s">
        <v>2437</v>
      </c>
      <c r="B32" s="2306"/>
      <c r="C32" s="2306"/>
      <c r="D32" s="2306"/>
      <c r="E32" s="2306"/>
      <c r="F32" s="2306"/>
      <c r="G32" s="2307"/>
    </row>
    <row r="33" spans="1:14">
      <c r="A33" s="2305" t="s">
        <v>2438</v>
      </c>
      <c r="B33" s="2306"/>
      <c r="C33" s="2306"/>
      <c r="D33" s="2306"/>
      <c r="E33" s="2306"/>
      <c r="F33" s="2306"/>
      <c r="G33" s="2307"/>
      <c r="I33" s="2323" t="s">
        <v>2466</v>
      </c>
      <c r="J33" s="2323" t="s">
        <v>2476</v>
      </c>
    </row>
    <row r="34" spans="1:14">
      <c r="A34" s="2305" t="s">
        <v>2439</v>
      </c>
      <c r="B34" s="2306"/>
      <c r="C34" s="2306"/>
      <c r="D34" s="2306"/>
      <c r="E34" s="2306"/>
      <c r="F34" s="2306"/>
      <c r="G34" s="2307"/>
      <c r="I34" s="2795">
        <v>5</v>
      </c>
      <c r="J34" s="2794">
        <v>55.1</v>
      </c>
      <c r="K34" s="2794"/>
    </row>
    <row r="35" spans="1:14">
      <c r="A35" s="2305" t="s">
        <v>2440</v>
      </c>
      <c r="B35" s="2306"/>
      <c r="C35" s="2306"/>
      <c r="D35" s="2306"/>
      <c r="E35" s="2306"/>
      <c r="F35" s="2306"/>
      <c r="G35" s="2307"/>
      <c r="I35" s="2795">
        <v>10</v>
      </c>
      <c r="J35" s="2794">
        <v>67</v>
      </c>
      <c r="K35" s="2794">
        <f>J35-J34</f>
        <v>11.899999999999999</v>
      </c>
    </row>
    <row r="36" spans="1:14">
      <c r="A36" s="2305" t="s">
        <v>2441</v>
      </c>
      <c r="B36" s="2306"/>
      <c r="C36" s="2306"/>
      <c r="D36" s="2306"/>
      <c r="E36" s="2306"/>
      <c r="F36" s="2306"/>
      <c r="G36" s="2307"/>
      <c r="I36" s="2795">
        <v>15</v>
      </c>
      <c r="J36" s="2794">
        <v>76.3</v>
      </c>
      <c r="K36" s="2794">
        <f t="shared" ref="K36:K41" si="8">J36-J35</f>
        <v>9.2999999999999972</v>
      </c>
      <c r="L36" s="2323" t="s">
        <v>2469</v>
      </c>
      <c r="N36" s="2625" t="s">
        <v>2470</v>
      </c>
    </row>
    <row r="37" spans="1:14">
      <c r="A37" s="2305" t="s">
        <v>2442</v>
      </c>
      <c r="B37" s="2306"/>
      <c r="C37" s="2306"/>
      <c r="D37" s="2306"/>
      <c r="E37" s="2306"/>
      <c r="F37" s="2306"/>
      <c r="G37" s="2307"/>
      <c r="I37" s="2795">
        <v>20</v>
      </c>
      <c r="J37" s="2794">
        <v>83.6</v>
      </c>
      <c r="K37" s="2794">
        <f t="shared" si="8"/>
        <v>7.2999999999999972</v>
      </c>
      <c r="L37" s="2323" t="s">
        <v>2468</v>
      </c>
      <c r="N37" s="2796">
        <v>10</v>
      </c>
    </row>
    <row r="38" spans="1:14">
      <c r="A38" s="2305" t="s">
        <v>2443</v>
      </c>
      <c r="B38" s="2306"/>
      <c r="C38" s="2306"/>
      <c r="D38" s="2306"/>
      <c r="E38" s="2306"/>
      <c r="F38" s="2306"/>
      <c r="G38" s="2307"/>
      <c r="I38" s="2795">
        <v>25</v>
      </c>
      <c r="J38" s="2794">
        <v>89.3</v>
      </c>
      <c r="K38" s="2794">
        <f t="shared" si="8"/>
        <v>5.7000000000000028</v>
      </c>
      <c r="L38" s="2323" t="s">
        <v>2472</v>
      </c>
      <c r="N38" s="2796">
        <v>8</v>
      </c>
    </row>
    <row r="39" spans="1:14">
      <c r="A39" s="2305"/>
      <c r="B39" s="2306"/>
      <c r="C39" s="2306"/>
      <c r="D39" s="2306"/>
      <c r="E39" s="2306"/>
      <c r="F39" s="2306"/>
      <c r="G39" s="2307"/>
      <c r="I39" s="2795">
        <v>30</v>
      </c>
      <c r="J39" s="2794">
        <v>93.8</v>
      </c>
      <c r="K39" s="2794">
        <f t="shared" si="8"/>
        <v>4.5</v>
      </c>
      <c r="L39" s="2323" t="s">
        <v>2473</v>
      </c>
      <c r="N39" s="2796">
        <v>6</v>
      </c>
    </row>
    <row r="40" spans="1:14">
      <c r="A40" s="2308" t="s">
        <v>2444</v>
      </c>
      <c r="B40" s="2309"/>
      <c r="C40" s="2309"/>
      <c r="D40" s="2309"/>
      <c r="E40" s="2309"/>
      <c r="F40" s="2309"/>
      <c r="G40" s="2310"/>
      <c r="I40" s="2795">
        <v>35</v>
      </c>
      <c r="J40" s="2794">
        <v>97.2</v>
      </c>
      <c r="K40" s="2794">
        <f t="shared" si="8"/>
        <v>3.4000000000000057</v>
      </c>
      <c r="L40" s="2323" t="s">
        <v>2474</v>
      </c>
      <c r="N40" s="2796">
        <v>3</v>
      </c>
    </row>
    <row r="41" spans="1:14">
      <c r="A41" s="2311" t="s">
        <v>2445</v>
      </c>
      <c r="B41" s="2312" t="s">
        <v>2446</v>
      </c>
      <c r="C41" s="2313" t="s">
        <v>2447</v>
      </c>
      <c r="D41" s="2313" t="s">
        <v>2448</v>
      </c>
      <c r="E41" s="2314"/>
      <c r="F41" s="2315"/>
      <c r="G41" s="2316"/>
      <c r="I41" s="2795">
        <v>40</v>
      </c>
      <c r="J41" s="2794">
        <v>100</v>
      </c>
      <c r="K41" s="2794">
        <f t="shared" si="8"/>
        <v>2.7999999999999972</v>
      </c>
    </row>
    <row r="42" spans="1:14">
      <c r="A42" s="2311" t="s">
        <v>2449</v>
      </c>
      <c r="B42" s="2312" t="s">
        <v>2450</v>
      </c>
      <c r="C42" s="2313" t="s">
        <v>2451</v>
      </c>
      <c r="D42" s="2317" t="s">
        <v>2452</v>
      </c>
      <c r="E42" s="2309" t="s">
        <v>2453</v>
      </c>
      <c r="F42" s="2309"/>
      <c r="G42" s="2310"/>
    </row>
    <row r="43" spans="1:14">
      <c r="A43" s="2311" t="s">
        <v>2454</v>
      </c>
      <c r="B43" s="2312" t="s">
        <v>2455</v>
      </c>
      <c r="C43" s="2313" t="s">
        <v>2456</v>
      </c>
      <c r="D43" s="2313" t="s">
        <v>2457</v>
      </c>
      <c r="E43" s="2314" t="s">
        <v>2458</v>
      </c>
      <c r="F43" s="2315"/>
      <c r="G43" s="2316"/>
      <c r="I43" s="2323" t="s">
        <v>2466</v>
      </c>
      <c r="J43" s="2323" t="s">
        <v>2477</v>
      </c>
    </row>
    <row r="44" spans="1:14">
      <c r="A44" s="2311" t="s">
        <v>2459</v>
      </c>
      <c r="B44" s="2312" t="s">
        <v>2460</v>
      </c>
      <c r="C44" s="2313" t="s">
        <v>2461</v>
      </c>
      <c r="D44" s="2317">
        <v>0.5</v>
      </c>
      <c r="E44" s="2314" t="s">
        <v>2462</v>
      </c>
      <c r="F44" s="2315"/>
      <c r="G44" s="2316"/>
      <c r="I44" s="2795">
        <v>30</v>
      </c>
      <c r="J44" s="2794">
        <v>81.7</v>
      </c>
      <c r="K44" s="2794"/>
    </row>
    <row r="45" spans="1:14" ht="14.25" thickBot="1">
      <c r="A45" s="2318" t="s">
        <v>2463</v>
      </c>
      <c r="B45" s="2319" t="s">
        <v>2450</v>
      </c>
      <c r="C45" s="2320" t="s">
        <v>2450</v>
      </c>
      <c r="D45" s="2320" t="s">
        <v>2464</v>
      </c>
      <c r="E45" s="2321" t="s">
        <v>2465</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3368</v>
      </c>
      <c r="B54" s="2798"/>
      <c r="C54" s="2798"/>
      <c r="D54" s="2798"/>
      <c r="E54" s="2798"/>
      <c r="I54" s="4222" t="s">
        <v>3382</v>
      </c>
      <c r="J54" s="4222"/>
      <c r="K54" s="4222"/>
      <c r="L54" s="4222"/>
      <c r="M54" s="4222"/>
    </row>
    <row r="55" spans="1:15" ht="14.25">
      <c r="A55" s="2809" t="s">
        <v>3369</v>
      </c>
      <c r="B55" s="2812" t="s">
        <v>3370</v>
      </c>
      <c r="C55" s="2816" t="s">
        <v>3371</v>
      </c>
      <c r="D55" s="2817" t="s">
        <v>3381</v>
      </c>
      <c r="E55" s="2818" t="s">
        <v>3380</v>
      </c>
      <c r="F55" s="2821" t="s">
        <v>3389</v>
      </c>
      <c r="I55" s="2303" t="s">
        <v>3383</v>
      </c>
      <c r="J55" s="2303" t="s">
        <v>3384</v>
      </c>
      <c r="K55" s="2303" t="s">
        <v>3385</v>
      </c>
      <c r="L55" s="2303" t="s">
        <v>3386</v>
      </c>
      <c r="M55" s="2303" t="s">
        <v>3387</v>
      </c>
      <c r="O55" s="2303" t="s">
        <v>3388</v>
      </c>
    </row>
    <row r="56" spans="1:15" ht="14.25">
      <c r="A56" s="1976" t="s">
        <v>3372</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3373</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3374</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3375</v>
      </c>
      <c r="B59" s="2814">
        <f>B56</f>
        <v>77325.88</v>
      </c>
      <c r="C59" s="2800">
        <v>800</v>
      </c>
      <c r="D59" s="2825"/>
      <c r="E59" s="2828">
        <f>C59*B59</f>
        <v>61860704</v>
      </c>
      <c r="F59" s="2822">
        <f t="shared" ref="F59:F62" si="10">E59/$E$63</f>
        <v>0.15389995722765581</v>
      </c>
    </row>
    <row r="60" spans="1:15" ht="15">
      <c r="A60" s="1975" t="s">
        <v>3376</v>
      </c>
      <c r="B60" s="2814">
        <f>B56</f>
        <v>77325.88</v>
      </c>
      <c r="C60" s="2800">
        <v>1500</v>
      </c>
      <c r="D60" s="2825"/>
      <c r="E60" s="2828">
        <f>C60*B60</f>
        <v>115988820</v>
      </c>
      <c r="F60" s="2822">
        <f t="shared" si="10"/>
        <v>0.28856241980185465</v>
      </c>
    </row>
    <row r="61" spans="1:15" ht="15">
      <c r="A61" s="1975" t="s">
        <v>3378</v>
      </c>
      <c r="B61" s="2800">
        <v>6030</v>
      </c>
      <c r="C61" s="2814">
        <f>E61/B56</f>
        <v>374.31193799540335</v>
      </c>
      <c r="D61" s="2801">
        <f>D58</f>
        <v>4800</v>
      </c>
      <c r="E61" s="2828">
        <f>D61*B61</f>
        <v>28944000</v>
      </c>
      <c r="F61" s="2822">
        <f t="shared" si="10"/>
        <v>7.2008239059116907E-2</v>
      </c>
    </row>
    <row r="62" spans="1:15" ht="15">
      <c r="A62" s="1975" t="s">
        <v>3377</v>
      </c>
      <c r="B62" s="2804"/>
      <c r="C62" s="2814">
        <f>E62/B56</f>
        <v>247.53248007006192</v>
      </c>
      <c r="D62" s="2803">
        <v>0.05</v>
      </c>
      <c r="E62" s="2828">
        <f>(E56+E59+E60+E61)*D62</f>
        <v>19140666.850000001</v>
      </c>
      <c r="F62" s="2822">
        <f t="shared" si="10"/>
        <v>4.7619047619047623E-2</v>
      </c>
      <c r="I62" s="4223" t="s">
        <v>3390</v>
      </c>
      <c r="J62" s="4223"/>
      <c r="K62" s="4223"/>
      <c r="L62" s="4223"/>
      <c r="M62" s="4223"/>
    </row>
    <row r="63" spans="1:15" ht="15.75" thickBot="1">
      <c r="A63" s="2811" t="s">
        <v>3379</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2" sqref="K12"/>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2084</v>
      </c>
      <c r="B1" s="4224" t="str">
        <f>IF(B10="北京市","北京市",C10)&amp;F10&amp;IF(结果表!G1="在建","出让国有建设用地使用权及在建建筑物",IF(结果表!G1="土地","出让国有建设用地使用权",))&amp;B9&amp;"预评估"</f>
        <v>北京市房地产抵押价值预评估</v>
      </c>
      <c r="C1" s="4225"/>
      <c r="D1" s="4225"/>
      <c r="E1" s="4225"/>
      <c r="F1" s="4225"/>
      <c r="G1" s="4225"/>
      <c r="H1" s="4225"/>
      <c r="I1" s="4226"/>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北京市房地产抵押价值</v>
      </c>
      <c r="T1" s="1327"/>
      <c r="U1" s="1327"/>
      <c r="V1" s="1327"/>
      <c r="W1" s="1327"/>
      <c r="X1" s="1327"/>
      <c r="Y1" s="1327"/>
      <c r="Z1" s="1327"/>
      <c r="AA1" s="1327"/>
      <c r="AB1" s="1327"/>
    </row>
    <row r="2" spans="1:30">
      <c r="A2" s="1818" t="s">
        <v>2085</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北京市房地产</v>
      </c>
      <c r="T2" s="1327"/>
      <c r="U2" s="1327"/>
      <c r="V2" s="1327"/>
      <c r="W2" s="1327"/>
      <c r="X2" s="1327"/>
      <c r="Y2" s="1327"/>
      <c r="Z2" s="1327"/>
      <c r="AA2" s="1327"/>
      <c r="AB2" s="1327"/>
    </row>
    <row r="3" spans="1:30">
      <c r="A3" s="204" t="s">
        <v>2086</v>
      </c>
      <c r="B3" s="1821">
        <v>46044</v>
      </c>
      <c r="C3" s="1822" t="s">
        <v>2087</v>
      </c>
      <c r="D3" s="1821">
        <v>46044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2089</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2090</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2091</v>
      </c>
      <c r="B7" s="1834"/>
      <c r="C7" s="1832"/>
      <c r="D7" s="1833"/>
      <c r="E7" s="2022"/>
      <c r="F7" s="2023"/>
      <c r="G7" s="2023"/>
      <c r="H7" s="2023"/>
      <c r="I7" s="2023"/>
      <c r="J7" s="1877"/>
      <c r="K7" s="1985"/>
      <c r="L7" s="1982"/>
      <c r="M7" s="1982"/>
      <c r="N7" s="1877"/>
      <c r="O7" s="1376"/>
      <c r="P7" s="1877"/>
      <c r="Q7" s="1877"/>
      <c r="R7" s="1877"/>
    </row>
    <row r="8" spans="1:30">
      <c r="A8" s="1835" t="s">
        <v>2092</v>
      </c>
      <c r="B8" s="1836" t="s">
        <v>3843</v>
      </c>
      <c r="C8" s="1837"/>
      <c r="D8" s="4227" t="s">
        <v>2093</v>
      </c>
      <c r="E8" s="1838" t="s">
        <v>3844</v>
      </c>
      <c r="F8" s="1839"/>
      <c r="G8" s="2023"/>
      <c r="H8" s="2023"/>
      <c r="I8" s="2023"/>
      <c r="J8" s="1877"/>
      <c r="K8" s="1983"/>
      <c r="L8" s="1982"/>
      <c r="M8" s="1982"/>
      <c r="N8" s="1877"/>
      <c r="O8" s="1376"/>
      <c r="P8" s="1877"/>
      <c r="Q8" s="1877"/>
      <c r="R8" s="1877"/>
    </row>
    <row r="9" spans="1:30" ht="13.5" thickBot="1">
      <c r="A9" s="1840" t="s">
        <v>2094</v>
      </c>
      <c r="B9" s="1841" t="s">
        <v>3844</v>
      </c>
      <c r="C9" s="1842"/>
      <c r="D9" s="4228"/>
      <c r="E9" s="1841" t="s">
        <v>41</v>
      </c>
      <c r="F9" s="1843"/>
      <c r="G9" s="2024"/>
      <c r="H9" s="2024"/>
      <c r="I9" s="2024"/>
      <c r="J9" s="1877"/>
      <c r="K9" s="1985"/>
      <c r="L9" s="1982"/>
      <c r="M9" s="1982"/>
      <c r="N9" s="1877"/>
      <c r="O9" s="1376"/>
      <c r="P9" s="1877"/>
      <c r="Q9" s="1877"/>
      <c r="R9" s="1877"/>
    </row>
    <row r="10" spans="1:30" ht="13.5" thickTop="1">
      <c r="A10" s="1844" t="s">
        <v>2095</v>
      </c>
      <c r="B10" s="3864" t="s">
        <v>3845</v>
      </c>
      <c r="C10" s="1845"/>
      <c r="D10" s="1829"/>
      <c r="E10" s="1846" t="s">
        <v>2096</v>
      </c>
      <c r="F10" s="2025"/>
      <c r="G10" s="2026"/>
      <c r="H10" s="2027"/>
      <c r="I10" s="2028"/>
      <c r="J10" s="1877"/>
      <c r="K10" s="1985"/>
      <c r="L10" s="1982"/>
      <c r="M10" s="1982"/>
      <c r="N10" s="1877"/>
      <c r="O10" s="1376"/>
      <c r="P10" s="1877"/>
      <c r="Q10" s="1877"/>
      <c r="R10" s="1877"/>
    </row>
    <row r="11" spans="1:30">
      <c r="A11" s="1847" t="s">
        <v>2097</v>
      </c>
      <c r="B11" s="2604" t="s">
        <v>3846</v>
      </c>
      <c r="C11" s="1848"/>
      <c r="D11" s="1849"/>
      <c r="E11" s="1818"/>
      <c r="F11" s="1818"/>
      <c r="G11" s="1818"/>
      <c r="H11" s="1818"/>
      <c r="I11" s="1818"/>
      <c r="J11" s="2325"/>
      <c r="K11" s="1982"/>
      <c r="L11" s="1982"/>
      <c r="M11" s="1982"/>
      <c r="N11" s="1877"/>
      <c r="O11" s="1376"/>
      <c r="P11" s="1877"/>
      <c r="Q11" s="1877"/>
      <c r="R11" s="1877"/>
    </row>
    <row r="12" spans="1:30">
      <c r="A12" s="1850" t="s">
        <v>2098</v>
      </c>
      <c r="B12" s="224" t="s">
        <v>2099</v>
      </c>
      <c r="C12" s="1851" t="s">
        <v>2100</v>
      </c>
      <c r="D12" s="1851" t="s">
        <v>2101</v>
      </c>
      <c r="E12" s="1851" t="s">
        <v>2102</v>
      </c>
      <c r="F12" s="1851" t="s">
        <v>2103</v>
      </c>
      <c r="G12" s="1851" t="s">
        <v>2104</v>
      </c>
      <c r="H12" s="1851" t="s">
        <v>2105</v>
      </c>
      <c r="I12" s="2324" t="s">
        <v>2478</v>
      </c>
      <c r="J12" s="2326"/>
      <c r="K12" s="1982"/>
      <c r="L12" s="1982"/>
      <c r="M12" s="1877"/>
      <c r="N12" s="1376"/>
      <c r="O12" s="1877"/>
      <c r="P12" s="1877"/>
      <c r="Q12" s="1877"/>
      <c r="AD12" s="1327"/>
    </row>
    <row r="13" spans="1:30">
      <c r="A13" s="2604" t="s">
        <v>3232</v>
      </c>
      <c r="B13" s="1852" t="s">
        <v>2106</v>
      </c>
      <c r="C13" s="597"/>
      <c r="D13" s="597"/>
      <c r="E13" s="597"/>
      <c r="F13" s="597"/>
      <c r="G13" s="597"/>
      <c r="H13" s="597">
        <v>57353</v>
      </c>
      <c r="I13" s="597"/>
      <c r="J13" s="2326"/>
      <c r="K13" s="1982"/>
      <c r="L13" s="1982"/>
      <c r="M13" s="1877"/>
      <c r="N13" s="1376"/>
      <c r="O13" s="1877"/>
      <c r="P13" s="1877"/>
      <c r="Q13" s="1877"/>
      <c r="AD13" s="1327"/>
    </row>
    <row r="14" spans="1:30">
      <c r="A14" s="780"/>
      <c r="B14" s="1852" t="s">
        <v>2107</v>
      </c>
      <c r="C14" s="1853"/>
      <c r="D14" s="1853">
        <v>40</v>
      </c>
      <c r="E14" s="1853">
        <v>50</v>
      </c>
      <c r="F14" s="1853"/>
      <c r="G14" s="1853"/>
      <c r="H14" s="1853">
        <v>50</v>
      </c>
      <c r="I14" s="1853"/>
      <c r="J14" s="2327"/>
      <c r="K14" s="1982"/>
      <c r="L14" s="1982"/>
      <c r="M14" s="1877"/>
      <c r="N14" s="1376"/>
      <c r="O14" s="1877"/>
      <c r="P14" s="1877"/>
      <c r="Q14" s="1877"/>
      <c r="AD14" s="1327"/>
    </row>
    <row r="15" spans="1:30">
      <c r="A15" s="221"/>
      <c r="B15" s="1854" t="s">
        <v>2108</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30.98</v>
      </c>
      <c r="I15" s="1855" t="str">
        <f>IF(A13="出让",IF(I13="","",ROUNDDOWN(MIN((I13-$D$3)/365,I14),2)),I14)</f>
        <v/>
      </c>
      <c r="J15" s="2328"/>
      <c r="K15" s="1376"/>
      <c r="L15" s="1376"/>
      <c r="M15" s="1877"/>
      <c r="N15" s="1376"/>
      <c r="O15" s="1877"/>
      <c r="P15" s="1877"/>
      <c r="Q15" s="1877"/>
      <c r="AD15" s="1327"/>
    </row>
    <row r="16" spans="1:30">
      <c r="A16" s="1846" t="s">
        <v>2109</v>
      </c>
      <c r="B16" s="4234"/>
      <c r="C16" s="4235"/>
      <c r="D16" s="4236"/>
      <c r="E16" s="1856" t="s">
        <v>2110</v>
      </c>
      <c r="F16" s="4237"/>
      <c r="G16" s="4238"/>
      <c r="H16" s="4238"/>
      <c r="I16" s="4239"/>
      <c r="J16" s="1877"/>
      <c r="K16" s="1986"/>
      <c r="L16" s="1376"/>
      <c r="M16" s="1376"/>
      <c r="N16" s="1877"/>
      <c r="O16" s="1376"/>
      <c r="P16" s="1877"/>
      <c r="Q16" s="1877"/>
      <c r="R16" s="1877"/>
    </row>
    <row r="17" spans="1:28">
      <c r="A17" s="215" t="s">
        <v>2111</v>
      </c>
      <c r="B17" s="204" t="s">
        <v>2112</v>
      </c>
      <c r="C17" s="10">
        <f>'数据-汇总表'!E3</f>
        <v>1048.8</v>
      </c>
      <c r="D17" s="971" t="s">
        <v>2113</v>
      </c>
      <c r="E17" s="4240" t="s">
        <v>2114</v>
      </c>
      <c r="F17" s="4241"/>
      <c r="G17" s="4241"/>
      <c r="H17" s="4241"/>
      <c r="I17" s="4242"/>
      <c r="J17" s="1877"/>
      <c r="K17" s="1987"/>
      <c r="L17" s="1376"/>
      <c r="M17" s="1376"/>
      <c r="N17" s="1877"/>
      <c r="O17" s="1376"/>
      <c r="P17" s="1877"/>
      <c r="Q17" s="1877"/>
      <c r="R17" s="1877"/>
      <c r="S17" s="1877"/>
      <c r="T17" s="1877"/>
      <c r="U17" s="1877"/>
      <c r="V17" s="1877"/>
    </row>
    <row r="18" spans="1:28" ht="24.75" thickBot="1">
      <c r="A18" s="1857" t="s">
        <v>2115</v>
      </c>
      <c r="B18" s="789" t="s">
        <v>2116</v>
      </c>
      <c r="C18" s="2792">
        <f>'数据-汇总表'!D3</f>
        <v>0</v>
      </c>
      <c r="D18" s="791" t="s">
        <v>2117</v>
      </c>
      <c r="E18" s="4243" t="s">
        <v>2118</v>
      </c>
      <c r="F18" s="4244"/>
      <c r="G18" s="4244"/>
      <c r="H18" s="4244"/>
      <c r="I18" s="4245"/>
      <c r="J18" s="1877"/>
      <c r="K18" s="1987"/>
      <c r="L18" s="1376"/>
      <c r="M18" s="1376"/>
      <c r="N18" s="1877"/>
      <c r="O18" s="1376"/>
      <c r="P18" s="1877"/>
      <c r="Q18" s="1877"/>
      <c r="R18" s="1877"/>
      <c r="S18" s="1877"/>
      <c r="T18" s="1877"/>
      <c r="U18" s="1877"/>
      <c r="V18" s="1877"/>
    </row>
    <row r="19" spans="1:28" ht="37.5" thickTop="1" thickBot="1">
      <c r="A19" s="228" t="s">
        <v>1042</v>
      </c>
      <c r="B19" s="209" t="s">
        <v>2119</v>
      </c>
      <c r="C19" s="1171"/>
      <c r="D19" s="1172" t="s">
        <v>2120</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2121</v>
      </c>
      <c r="B20" s="4230" t="s">
        <v>2122</v>
      </c>
      <c r="C20" s="4231"/>
      <c r="D20" s="4232" t="s">
        <v>2123</v>
      </c>
      <c r="E20" s="4233"/>
      <c r="F20" s="2013" t="s">
        <v>1043</v>
      </c>
      <c r="G20" s="2023"/>
      <c r="H20" s="2023"/>
      <c r="I20" s="2023"/>
      <c r="J20" s="1877"/>
      <c r="K20" s="4229"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2125</v>
      </c>
      <c r="C21" s="1928" t="s">
        <v>1044</v>
      </c>
      <c r="D21" s="1176" t="s">
        <v>2126</v>
      </c>
      <c r="E21" s="2002" t="s">
        <v>1044</v>
      </c>
      <c r="F21" s="2014"/>
      <c r="G21" s="2023"/>
      <c r="H21" s="2023"/>
      <c r="I21" s="2023"/>
      <c r="J21" s="1877"/>
      <c r="K21" s="4229"/>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2127</v>
      </c>
      <c r="C22" s="1928" t="s">
        <v>1045</v>
      </c>
      <c r="D22" s="2023"/>
      <c r="E22" s="2023"/>
      <c r="F22" s="2023"/>
      <c r="G22" s="2023"/>
      <c r="H22" s="2023"/>
      <c r="I22" s="2023"/>
      <c r="J22" s="1877"/>
      <c r="K22" s="4229"/>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2128</v>
      </c>
      <c r="B23" s="1925" t="s">
        <v>2129</v>
      </c>
      <c r="C23" s="2005"/>
      <c r="D23" s="2006" t="s">
        <v>2129</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47" t="s">
        <v>2130</v>
      </c>
      <c r="B27" s="221" t="s">
        <v>2131</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47"/>
      <c r="B28" s="204" t="s">
        <v>2132</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47"/>
      <c r="B29" s="204" t="s">
        <v>2133</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48"/>
      <c r="B30" s="204" t="s">
        <v>2134</v>
      </c>
      <c r="C30" s="4249"/>
      <c r="D30" s="4250"/>
      <c r="E30" s="2023"/>
      <c r="F30" s="2023"/>
      <c r="G30" s="2023"/>
      <c r="H30" s="2023"/>
      <c r="I30" s="2023"/>
      <c r="J30" s="1877"/>
      <c r="K30" s="1985"/>
      <c r="L30" s="1982"/>
      <c r="M30" s="1982"/>
      <c r="N30" s="1877"/>
      <c r="O30" s="1376"/>
      <c r="P30" s="1877"/>
      <c r="Q30" s="1877"/>
      <c r="R30" s="1877"/>
      <c r="S30" s="1877"/>
      <c r="T30" s="1877"/>
      <c r="U30" s="1877"/>
      <c r="V30" s="1877"/>
    </row>
    <row r="31" spans="1:28">
      <c r="A31" s="4251" t="s">
        <v>2135</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52"/>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52"/>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2136</v>
      </c>
      <c r="B34" s="1545"/>
      <c r="C34" s="1545"/>
      <c r="D34" s="1545"/>
      <c r="E34" s="1545"/>
      <c r="F34" s="1545"/>
      <c r="G34" s="1545"/>
      <c r="H34" s="1545"/>
      <c r="I34" s="2023"/>
      <c r="J34" s="1877"/>
      <c r="K34" s="7">
        <f>COUNTIF(B34:H34,"——")</f>
        <v>0</v>
      </c>
      <c r="L34" s="224" t="s">
        <v>2137</v>
      </c>
      <c r="M34" s="224" t="s">
        <v>2138</v>
      </c>
      <c r="N34" s="224" t="s">
        <v>2139</v>
      </c>
      <c r="O34" s="224" t="s">
        <v>2140</v>
      </c>
      <c r="P34" s="224" t="s">
        <v>2141</v>
      </c>
      <c r="Q34" s="224" t="s">
        <v>2142</v>
      </c>
      <c r="R34" s="224" t="s">
        <v>2143</v>
      </c>
      <c r="S34" s="4246" t="s">
        <v>2144</v>
      </c>
      <c r="T34" s="224" t="str">
        <f>NUMBERSTRING(7-K34,1)&amp;"通"</f>
        <v>七通</v>
      </c>
      <c r="U34" s="1877"/>
      <c r="V34" s="1877"/>
    </row>
    <row r="35" spans="1:30">
      <c r="A35" s="1868"/>
      <c r="B35" s="4246" t="s">
        <v>2145</v>
      </c>
      <c r="C35" s="4246"/>
      <c r="D35" s="4246"/>
      <c r="E35" s="4246"/>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46"/>
      <c r="T35" s="72" t="str">
        <f>IF(T34="一通",L35,IF(T34="二通",M35,IF(T34="三通",N35,IF(T34="四通",O35,IF(T34="五通",P35,IF(T34="六通",Q35,R35))))))</f>
        <v>、、、、、、</v>
      </c>
      <c r="U35" s="1877"/>
      <c r="V35" s="1877"/>
    </row>
    <row r="36" spans="1:30">
      <c r="A36" s="1819"/>
      <c r="B36" s="7" t="s">
        <v>2101</v>
      </c>
      <c r="C36" s="7" t="s">
        <v>2102</v>
      </c>
      <c r="D36" s="7" t="s">
        <v>2100</v>
      </c>
      <c r="E36" s="7" t="s">
        <v>2105</v>
      </c>
      <c r="F36" s="2324" t="s">
        <v>2481</v>
      </c>
      <c r="G36" s="2023"/>
      <c r="H36" s="2023"/>
      <c r="I36" s="2023"/>
      <c r="J36" s="1877"/>
      <c r="K36" s="1985"/>
      <c r="L36" s="1982"/>
      <c r="M36" s="1982"/>
      <c r="N36" s="1877"/>
      <c r="O36" s="1376"/>
      <c r="P36" s="1877"/>
      <c r="Q36" s="1877"/>
      <c r="R36" s="1877"/>
      <c r="S36" s="1877"/>
      <c r="T36" s="1877"/>
      <c r="U36" s="1877"/>
      <c r="V36" s="1877"/>
    </row>
    <row r="37" spans="1:30">
      <c r="A37" s="1998" t="s">
        <v>2146</v>
      </c>
      <c r="B37" s="1869"/>
      <c r="C37" s="1869"/>
      <c r="D37" s="1869"/>
      <c r="E37" s="1869"/>
      <c r="F37" s="1869"/>
      <c r="G37" s="2023"/>
      <c r="H37" s="2023"/>
      <c r="I37" s="2023"/>
      <c r="J37" s="1877"/>
      <c r="K37" s="1985"/>
      <c r="L37" s="1982"/>
      <c r="M37" s="1982"/>
      <c r="N37" s="1877"/>
      <c r="O37" s="1376"/>
      <c r="P37" s="1877"/>
      <c r="Q37" s="1877"/>
      <c r="R37" s="1877"/>
      <c r="S37" s="1877"/>
      <c r="T37" s="1877"/>
      <c r="U37" s="1877"/>
      <c r="V37" s="1877"/>
    </row>
    <row r="38" spans="1:30" ht="13.5" thickBot="1">
      <c r="A38" s="1999" t="s">
        <v>2147</v>
      </c>
      <c r="B38" s="1870"/>
      <c r="C38" s="1870"/>
      <c r="D38" s="1870"/>
      <c r="E38" s="1870"/>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2148</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2149</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2150</v>
      </c>
      <c r="B42" s="7" t="s">
        <v>2151</v>
      </c>
      <c r="C42" s="7" t="s">
        <v>2152</v>
      </c>
      <c r="D42" s="7" t="s">
        <v>2153</v>
      </c>
      <c r="E42" s="7" t="s">
        <v>2154</v>
      </c>
      <c r="F42" s="7" t="s">
        <v>2155</v>
      </c>
      <c r="G42" s="7" t="s">
        <v>2156</v>
      </c>
      <c r="H42" s="7" t="s">
        <v>2157</v>
      </c>
      <c r="I42" s="7" t="s">
        <v>2158</v>
      </c>
      <c r="J42" s="1994" t="s">
        <v>2159</v>
      </c>
      <c r="K42" s="1995" t="s">
        <v>2160</v>
      </c>
      <c r="L42" s="1995" t="s">
        <v>2161</v>
      </c>
      <c r="M42" s="1995" t="s">
        <v>2162</v>
      </c>
      <c r="N42" s="1988" t="s">
        <v>2163</v>
      </c>
      <c r="O42" s="1988" t="s">
        <v>2164</v>
      </c>
      <c r="P42" s="1988" t="s">
        <v>2165</v>
      </c>
      <c r="Q42" s="1989" t="s">
        <v>2166</v>
      </c>
      <c r="R42" s="1989" t="s">
        <v>2167</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customWidth="1"/>
    <col min="12" max="14" width="9.5" style="1180" customWidth="1"/>
    <col min="15" max="15" width="9.875" style="1180" customWidth="1"/>
    <col min="16" max="16" width="9.75" style="1180" customWidth="1"/>
    <col min="17" max="17" width="9.375" style="1180" customWidth="1"/>
    <col min="18" max="18" width="9.25" style="1180" customWidth="1"/>
    <col min="19" max="19" width="10.875" style="1180" customWidth="1"/>
    <col min="20" max="21" width="10.75" style="1180" customWidth="1"/>
    <col min="22" max="22" width="10.875" style="1180" customWidth="1"/>
    <col min="23" max="27" width="10.75" style="1180" customWidth="1"/>
    <col min="28" max="28" width="10.875" style="1180" customWidth="1"/>
    <col min="29" max="29" width="11" style="1180" bestFit="1" customWidth="1"/>
    <col min="30" max="30" width="10" style="1180" bestFit="1" customWidth="1"/>
    <col min="31" max="31" width="9.75" style="1180" customWidth="1"/>
    <col min="32"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c r="B3" s="2791">
        <f>IF(C3="否",G5-AT5,G5)</f>
        <v>1048.8</v>
      </c>
      <c r="C3" s="1186"/>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1048.8</v>
      </c>
      <c r="H5" s="10">
        <f t="shared" ref="H5:AT5" si="0">SUM(H13:H656)</f>
        <v>1048.8</v>
      </c>
      <c r="I5" s="10">
        <f t="shared" si="0"/>
        <v>1048.8</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1048.8</v>
      </c>
      <c r="BA5" s="12">
        <f t="shared" si="1"/>
        <v>1048.8</v>
      </c>
      <c r="BB5" s="12">
        <f t="shared" si="1"/>
        <v>1048.8</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2.75">
      <c r="A6" s="9" t="s">
        <v>1058</v>
      </c>
      <c r="B6" s="1191"/>
      <c r="C6" s="1191"/>
      <c r="D6" s="119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3867</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f>I10</f>
        <v>0</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4157" t="s">
        <v>3865</v>
      </c>
      <c r="D13" s="1230" t="s">
        <v>3866</v>
      </c>
      <c r="E13" s="10">
        <f>IF($C$3="是",ROUND($A$3*G13/$B$3,2),ROUND($A$3*(G13-AT13)/$B$3,2))</f>
        <v>0</v>
      </c>
      <c r="F13" s="26"/>
      <c r="G13" s="27">
        <f>H13+AC13+AT13</f>
        <v>1048.8</v>
      </c>
      <c r="H13" s="14">
        <f>SUMIF(I$12:AB$12,"总值",I13:AB13)</f>
        <v>1048.8</v>
      </c>
      <c r="I13" s="1231">
        <v>1048.8</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f t="shared" ref="AV13:AX17" si="6">A13</f>
        <v>0</v>
      </c>
      <c r="AW13" s="7">
        <f t="shared" si="6"/>
        <v>0</v>
      </c>
      <c r="AX13" s="7" t="str">
        <f t="shared" si="6"/>
        <v>办公</v>
      </c>
      <c r="AY13" s="975">
        <f>ROUND($AY$6*AZ13/$AZ$5,2)</f>
        <v>0</v>
      </c>
      <c r="AZ13" s="10">
        <f>BA13+BL13</f>
        <v>1048.8</v>
      </c>
      <c r="BA13" s="10">
        <f>SUM(BB13:BK13)</f>
        <v>1048.8</v>
      </c>
      <c r="BB13" s="10">
        <f>IF($D13="是",I13-J13,0)</f>
        <v>1048.8</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62" t="s">
        <v>1117</v>
      </c>
      <c r="B2" s="4262"/>
      <c r="C2" s="4262"/>
      <c r="D2" s="571" t="s">
        <v>1093</v>
      </c>
      <c r="E2" s="1240" t="s">
        <v>1094</v>
      </c>
      <c r="F2" s="2020"/>
      <c r="G2" s="2015"/>
      <c r="H2" s="2016"/>
      <c r="I2" s="1783" t="s">
        <v>1118</v>
      </c>
      <c r="J2" s="2020"/>
      <c r="K2" s="2020"/>
      <c r="L2" s="2020"/>
      <c r="M2" s="2020"/>
      <c r="N2" s="2021"/>
      <c r="O2" s="2020"/>
      <c r="P2" s="2020"/>
    </row>
    <row r="3" spans="1:16" ht="15.75" thickBot="1">
      <c r="A3" s="4263" t="s">
        <v>1091</v>
      </c>
      <c r="B3" s="4263"/>
      <c r="C3" s="4263"/>
      <c r="D3" s="2763">
        <f>'数据-基础表'!AY6</f>
        <v>0</v>
      </c>
      <c r="E3" s="2763">
        <f>'数据-基础表'!AZ5</f>
        <v>1048.8</v>
      </c>
      <c r="F3" s="2020"/>
      <c r="G3" s="37"/>
      <c r="H3" s="38" t="s">
        <v>1092</v>
      </c>
      <c r="I3" s="2760" t="e">
        <f>ROUND('数据-基础表'!B3/'数据-基础表'!A3,2)</f>
        <v>#DIV/0!</v>
      </c>
      <c r="J3" s="2020"/>
      <c r="K3" s="2020"/>
      <c r="L3" s="2020"/>
      <c r="M3" s="2020"/>
      <c r="N3" s="2021"/>
      <c r="O3" s="2020"/>
      <c r="P3" s="2020"/>
    </row>
    <row r="4" spans="1:16" ht="15">
      <c r="A4" s="4264"/>
      <c r="B4" s="4265"/>
      <c r="C4" s="4266"/>
      <c r="D4" s="1242" t="s">
        <v>1093</v>
      </c>
      <c r="E4" s="1243" t="s">
        <v>1094</v>
      </c>
      <c r="F4" s="2020"/>
      <c r="G4" s="2017" t="s">
        <v>1119</v>
      </c>
      <c r="H4" s="38" t="s">
        <v>1099</v>
      </c>
      <c r="I4" s="2760" t="e">
        <f>ROUND(SUMIF('数据-基础表'!I9:AS9,"地上",'数据-基础表'!I5:AS5)/'数据-基础表'!A3,2)</f>
        <v>#DIV/0!</v>
      </c>
      <c r="J4" s="2020"/>
      <c r="K4" s="2020"/>
      <c r="L4" s="2020"/>
      <c r="M4" s="2020"/>
      <c r="N4" s="2021"/>
      <c r="O4" s="2020"/>
      <c r="P4" s="2020"/>
    </row>
    <row r="5" spans="1:16">
      <c r="A5" s="37" t="s">
        <v>1095</v>
      </c>
      <c r="B5" s="4267" t="s">
        <v>1096</v>
      </c>
      <c r="C5" s="4267"/>
      <c r="D5" s="2757">
        <f>ROUND($D$3*E5/$E$3,2)</f>
        <v>0</v>
      </c>
      <c r="E5" s="2764">
        <f>SUMIF('数据-基础表'!$11:$11,"住宅",'数据-基础表'!$5:$5)</f>
        <v>0</v>
      </c>
      <c r="F5" s="2020"/>
      <c r="G5" s="37"/>
      <c r="H5" s="38" t="s">
        <v>1092</v>
      </c>
      <c r="I5" s="2760" t="e">
        <f>ROUND(E31/D31,2)</f>
        <v>#DIV/0!</v>
      </c>
      <c r="J5" s="2020"/>
      <c r="K5" s="2020"/>
      <c r="L5" s="2020"/>
      <c r="M5" s="2020"/>
      <c r="N5" s="2020"/>
      <c r="O5" s="2020"/>
      <c r="P5" s="2020"/>
    </row>
    <row r="6" spans="1:16" ht="15" thickBot="1">
      <c r="A6" s="1245"/>
      <c r="B6" s="4267" t="s">
        <v>1097</v>
      </c>
      <c r="C6" s="4267"/>
      <c r="D6" s="2757">
        <f>ROUND($D$3*E6/$E$3,2)</f>
        <v>0</v>
      </c>
      <c r="E6" s="2764">
        <f>E3-E5</f>
        <v>1048.8</v>
      </c>
      <c r="F6" s="2020"/>
      <c r="G6" s="1247" t="s">
        <v>1098</v>
      </c>
      <c r="H6" s="39" t="s">
        <v>1099</v>
      </c>
      <c r="I6" s="2761" t="e">
        <f>ROUND(F31/D31,2)</f>
        <v>#DIV/0!</v>
      </c>
      <c r="J6" s="2020"/>
      <c r="K6" s="2020"/>
      <c r="L6" s="2020"/>
      <c r="M6" s="2020"/>
      <c r="N6" s="2020"/>
      <c r="O6" s="2020"/>
      <c r="P6" s="2020"/>
    </row>
    <row r="7" spans="1:16" ht="15.75" thickBot="1">
      <c r="A7" s="4259"/>
      <c r="B7" s="4260"/>
      <c r="C7" s="4261"/>
      <c r="D7" s="1242" t="s">
        <v>1093</v>
      </c>
      <c r="E7" s="1246" t="s">
        <v>1100</v>
      </c>
      <c r="F7" s="2020"/>
      <c r="G7" s="2018" t="s">
        <v>1101</v>
      </c>
      <c r="H7" s="59"/>
      <c r="I7" s="2762"/>
      <c r="J7" s="2020"/>
      <c r="K7" s="2020"/>
      <c r="L7" s="2020"/>
      <c r="M7" s="2020"/>
      <c r="N7" s="2020"/>
      <c r="O7" s="2020"/>
      <c r="P7" s="2020"/>
    </row>
    <row r="8" spans="1:16">
      <c r="A8" s="37" t="s">
        <v>1102</v>
      </c>
      <c r="B8" s="39" t="s">
        <v>1103</v>
      </c>
      <c r="C8" s="38" t="s">
        <v>1104</v>
      </c>
      <c r="D8" s="2757">
        <f t="shared" ref="D8:D15" si="0">ROUND($D$3*E8/$E$3,2)</f>
        <v>0</v>
      </c>
      <c r="E8" s="2764">
        <f>SUMIF('数据-基础表'!BB10:BK10,"地上",'数据-基础表'!BB5:BK5)</f>
        <v>1048.8</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0</v>
      </c>
      <c r="E16" s="2767">
        <f>SUM(E8:E15)</f>
        <v>1048.8</v>
      </c>
      <c r="F16" s="2020"/>
      <c r="G16" s="2020"/>
      <c r="H16" s="1249" t="s">
        <v>1121</v>
      </c>
      <c r="I16" s="1250"/>
      <c r="J16" s="826"/>
      <c r="K16" s="4256" t="s">
        <v>1121</v>
      </c>
      <c r="L16" s="4257"/>
      <c r="M16" s="4257"/>
      <c r="N16" s="4257"/>
      <c r="O16" s="4257"/>
      <c r="P16" s="4258"/>
    </row>
    <row r="17" spans="1:19" ht="15">
      <c r="A17" s="1251" t="s">
        <v>1122</v>
      </c>
      <c r="B17" s="1252" t="s">
        <v>1123</v>
      </c>
      <c r="C17" s="1253" t="s">
        <v>1124</v>
      </c>
      <c r="D17" s="1254" t="s">
        <v>1112</v>
      </c>
      <c r="E17" s="1255" t="s">
        <v>1113</v>
      </c>
      <c r="F17" s="1256"/>
      <c r="G17" s="1257"/>
      <c r="H17" s="1258" t="s">
        <v>1125</v>
      </c>
      <c r="I17" s="1259" t="s">
        <v>1110</v>
      </c>
      <c r="J17" s="826"/>
      <c r="K17" s="4253" t="s">
        <v>1126</v>
      </c>
      <c r="L17" s="4254"/>
      <c r="M17" s="4255"/>
      <c r="N17" s="4253" t="s">
        <v>1127</v>
      </c>
      <c r="O17" s="4254"/>
      <c r="P17" s="4255"/>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
        <v>3868</v>
      </c>
      <c r="D19" s="2757">
        <f>ROUND($D$3*E19/$E$3,2)</f>
        <v>0</v>
      </c>
      <c r="E19" s="2757">
        <f t="shared" ref="E19:E26" si="1">SUM(F19:G19)</f>
        <v>1048.8</v>
      </c>
      <c r="F19" s="2768">
        <f>'数据-基础表'!I13</f>
        <v>1048.8</v>
      </c>
      <c r="G19" s="2769"/>
      <c r="H19" s="2781">
        <f>ROUND($D$3*I19/$E$3,2)</f>
        <v>0</v>
      </c>
      <c r="I19" s="2764">
        <f t="shared" ref="I19:I26" si="2">IF($I$17="自定义",P19,M19)</f>
        <v>0</v>
      </c>
      <c r="J19" s="826"/>
      <c r="K19" s="2781">
        <f t="shared" ref="K19:K26" si="3">ROUND(E$28*E19/E$27,2)</f>
        <v>0</v>
      </c>
      <c r="L19" s="2757">
        <f t="shared" ref="L19:L26" si="4">ROUND(IF(COUNTIF(C19,"*住宅*")&gt;0,E$29*E19/E$32,0),2)</f>
        <v>0</v>
      </c>
      <c r="M19" s="2764">
        <f>K19+L19</f>
        <v>0</v>
      </c>
      <c r="N19" s="2785"/>
      <c r="O19" s="2786"/>
      <c r="P19" s="2764">
        <f>N19+O19</f>
        <v>0</v>
      </c>
      <c r="R19" s="2757">
        <f t="shared" ref="R19:S26" si="5">D19+H19</f>
        <v>0</v>
      </c>
      <c r="S19" s="2757">
        <f t="shared" si="5"/>
        <v>1048.8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0</v>
      </c>
      <c r="E27" s="2772">
        <f>IF(SUM(E19:E26)='数据-基础表'!BA5,SUM(E19:E26),IF(F27="地上面积有误","面积有误","地下面积有误"))</f>
        <v>1048.8</v>
      </c>
      <c r="F27" s="2772">
        <f>IF(SUM(F19:F26)=E8,SUM(F19:F26),"地上面积有误")</f>
        <v>1048.8</v>
      </c>
      <c r="G27" s="2773">
        <f>SUM(G19:G26)</f>
        <v>0</v>
      </c>
      <c r="H27" s="2783">
        <f>SUM(H19:H26)</f>
        <v>0</v>
      </c>
      <c r="I27" s="2784">
        <f>SUM(I19:I26)</f>
        <v>0</v>
      </c>
      <c r="J27" s="826"/>
      <c r="K27" s="2783">
        <f>SUM(K19:K26)</f>
        <v>0</v>
      </c>
      <c r="L27" s="2778">
        <f>SUM(L19:L26)</f>
        <v>0</v>
      </c>
      <c r="M27" s="2779">
        <f>SUM(M19:M26)</f>
        <v>0</v>
      </c>
      <c r="N27" s="2783">
        <f t="shared" ref="N27:O27" si="10">SUM(N19:N26)</f>
        <v>0</v>
      </c>
      <c r="O27" s="2778">
        <f t="shared" si="10"/>
        <v>0</v>
      </c>
      <c r="P27" s="2789">
        <f>SUM(P19:P26)</f>
        <v>0</v>
      </c>
      <c r="R27" s="2790">
        <f>IF(SUM(R19:R26)=$D$3,SUM(R19:R26),SUM(R19:R26)&amp;"误差"&amp;ROUND(SUM(R19:R26)-$D$3,2))</f>
        <v>0</v>
      </c>
      <c r="S27" s="2757">
        <f>IF(SUM(S19:S26)=$E$3,SUM(S19:S26),SUM(S19:S26)&amp;"误差"&amp;ROUND(SUM(S19:S26)-E3,2))</f>
        <v>1048.8</v>
      </c>
    </row>
    <row r="28" spans="1:19">
      <c r="A28" s="1267"/>
      <c r="B28" s="39" t="s">
        <v>1141</v>
      </c>
      <c r="C28" s="43" t="s">
        <v>1142</v>
      </c>
      <c r="D28" s="2757">
        <f>ROUND($D$3*E28/$E$3,2)</f>
        <v>0</v>
      </c>
      <c r="E28" s="2757">
        <f>SUM(F28:G28)</f>
        <v>0</v>
      </c>
      <c r="F28" s="2774">
        <f>'数据-基础表'!BQ5+'数据-基础表'!BS5</f>
        <v>0</v>
      </c>
      <c r="G28" s="2775">
        <f>'数据-基础表'!BR5+'数据-基础表'!BT5</f>
        <v>0</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0</v>
      </c>
      <c r="E30" s="2772">
        <f>SUM(E28:E29)</f>
        <v>0</v>
      </c>
      <c r="F30" s="2772">
        <f>SUM(F28:F29)</f>
        <v>0</v>
      </c>
      <c r="G30" s="2773">
        <f>SUM(G28:G29)</f>
        <v>0</v>
      </c>
      <c r="H30" s="2020"/>
      <c r="I30" s="2020"/>
      <c r="J30" s="2020"/>
      <c r="K30" s="2020"/>
      <c r="L30" s="2020"/>
      <c r="M30" s="2020"/>
      <c r="N30" s="2020"/>
      <c r="O30" s="2020"/>
      <c r="P30" s="2020"/>
    </row>
    <row r="31" spans="1:19" ht="15.75" thickBot="1">
      <c r="A31" s="1271"/>
      <c r="B31" s="60"/>
      <c r="C31" s="585" t="s">
        <v>1144</v>
      </c>
      <c r="D31" s="2777">
        <f>D27+D30</f>
        <v>0</v>
      </c>
      <c r="E31" s="2777">
        <f>E27+E30</f>
        <v>1048.8</v>
      </c>
      <c r="F31" s="2778">
        <f>F27+F30</f>
        <v>1048.8</v>
      </c>
      <c r="G31" s="2779">
        <f>G27+G30</f>
        <v>0</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46044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3869</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3652</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办公</v>
      </c>
      <c r="B6" s="1300" t="str">
        <f>IF(A6=0,"","经营性")</f>
        <v>经营性</v>
      </c>
      <c r="C6" s="1301" t="s">
        <v>3</v>
      </c>
      <c r="D6" s="3693">
        <f>SUMIF(项目基本情况!C$12:I$12,C6,项目基本情况!C$14:I$14)</f>
        <v>50</v>
      </c>
      <c r="E6" s="598">
        <f>IF(B6="","",SUMIF(项目基本情况!C$12:I$12,C6,项目基本情况!C$13:I$13))</f>
        <v>57353</v>
      </c>
      <c r="F6" s="3695">
        <f>SUMIF(项目基本情况!C$12:I$12,C6,项目基本情况!C$15:I$15)</f>
        <v>30.98</v>
      </c>
      <c r="G6" s="3696">
        <f t="shared" ref="G6:G13" si="0">IF(ISERROR(ROUND(POWER(1+H6,D6-F6)*(POWER(1+H6,F6)-1)/(POWER(1+H6,D6)-1),4)),0,ROUND(POWER(1+H6,D6-F6)*(POWER(1+H6,F6)-1)/(POWER(1+H6,D6)-1),4))</f>
        <v>0.85389999999999999</v>
      </c>
      <c r="H6" s="3697">
        <v>0.05</v>
      </c>
      <c r="I6" s="3697">
        <v>5.5E-2</v>
      </c>
      <c r="J6" s="3698">
        <v>7.0000000000000007E-2</v>
      </c>
      <c r="K6" s="3678">
        <f>SUMIF('数据-汇总表'!C$19:C$33,A6,'数据-汇总表'!E$19:E$33)</f>
        <v>1048.8</v>
      </c>
      <c r="L6" s="3679">
        <v>2750</v>
      </c>
      <c r="M6" s="3680">
        <f t="shared" ref="M6:M14" si="1">ROUND(K6*L6/10000,0)</f>
        <v>288</v>
      </c>
      <c r="N6" s="3681">
        <v>0.62</v>
      </c>
      <c r="O6" s="3680" t="str">
        <f>IF($N$5="成新度","——",ROUND(M6*N6,0))</f>
        <v>——</v>
      </c>
      <c r="P6" s="3375" t="str">
        <f>IF($N$5="成新度","——",M6-O6)</f>
        <v>——</v>
      </c>
      <c r="Q6" s="3682">
        <v>0.1</v>
      </c>
      <c r="R6" s="3673">
        <f ca="1">SUMIF('数据-汇总表'!C$19:C$33,A6,'数据-汇总表'!R$19:R$27)</f>
        <v>0</v>
      </c>
      <c r="S6" s="2757">
        <f>IF('数据-汇总表'!$I$17="按面积比例",SUMIF('数据-汇总表'!C$19:C$33,A6,'数据-汇总表'!K$19:K$33),SUMIF('数据-汇总表'!C$19:C$33,A6,'数据-汇总表'!N$19:N$33))</f>
        <v>0</v>
      </c>
      <c r="T6" s="3674">
        <f>ROUND($L$14*S6/10000,0)</f>
        <v>0</v>
      </c>
      <c r="U6" s="2608"/>
      <c r="V6" s="49"/>
      <c r="W6" s="49"/>
      <c r="X6" s="742"/>
      <c r="Y6" s="50"/>
      <c r="Z6" s="2751"/>
      <c r="AA6" s="48"/>
      <c r="AB6" s="48"/>
      <c r="AC6" s="742"/>
      <c r="AD6" s="51"/>
      <c r="AE6" s="3732">
        <f ca="1">IF(AN6="",0,SUMIF(INDIRECT("'"&amp;AN6&amp;"'"&amp;"!E:E"),$AE$5,INDIRECT("'"&amp;AN6&amp;"'"&amp;"!F:F")))</f>
        <v>0</v>
      </c>
      <c r="AF6" s="2753"/>
      <c r="AG6" s="3733">
        <f>IF(AF6="",0,AE6-AF6)</f>
        <v>0</v>
      </c>
      <c r="AH6" s="2754"/>
      <c r="AI6" s="2756"/>
      <c r="AJ6" s="2753"/>
      <c r="AK6" s="52"/>
      <c r="AL6" s="53"/>
      <c r="AM6" s="54"/>
      <c r="AN6" s="1302"/>
      <c r="AO6" s="2757" t="e">
        <f ca="1">SUMIF(INDIRECT("'"&amp;AN6&amp;"'"&amp;"!A:A"),"总价",INDIRECT("'"&amp;AN6&amp;"'"&amp;"!B:B"))</f>
        <v>#REF!</v>
      </c>
      <c r="AP6" s="2757">
        <f>IF(C6="住宅",K6*L6,0)</f>
        <v>0</v>
      </c>
      <c r="AQ6" s="2757">
        <f>ROUND($L$14*$N$14*S6/10000,0)</f>
        <v>0</v>
      </c>
      <c r="AR6" s="2757">
        <f>ROUND($L$14*(1-$N$14)*S6/10000,0)</f>
        <v>0</v>
      </c>
      <c r="AS6" s="3742">
        <f>ROUND(1-1/(1+H6)^F6,3)</f>
        <v>0.77900000000000003</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t="str">
        <f t="shared" ref="O7:O14" si="3">IF($N$5="成新度","——",ROUND(M7*N7,0))</f>
        <v>——</v>
      </c>
      <c r="P7" s="3375" t="str">
        <f t="shared" ref="P7:P14" si="4">IF($N$5="成新度","——",M7-O7)</f>
        <v>——</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t="str">
        <f t="shared" si="3"/>
        <v>——</v>
      </c>
      <c r="P8" s="3375" t="str">
        <f t="shared" si="4"/>
        <v>——</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t="str">
        <f t="shared" si="3"/>
        <v>——</v>
      </c>
      <c r="P9" s="3375" t="str">
        <f t="shared" si="4"/>
        <v>——</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t="str">
        <f t="shared" si="3"/>
        <v>——</v>
      </c>
      <c r="P10" s="3375" t="str">
        <f t="shared" si="4"/>
        <v>——</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t="str">
        <f t="shared" si="3"/>
        <v>——</v>
      </c>
      <c r="P11" s="3375" t="str">
        <f t="shared" si="4"/>
        <v>——</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t="str">
        <f t="shared" si="3"/>
        <v>——</v>
      </c>
      <c r="P12" s="3375" t="str">
        <f t="shared" si="4"/>
        <v>——</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t="str">
        <f t="shared" si="3"/>
        <v>——</v>
      </c>
      <c r="P13" s="3375" t="str">
        <f t="shared" si="4"/>
        <v>——</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0</v>
      </c>
      <c r="L14" s="3684"/>
      <c r="M14" s="3680">
        <f t="shared" si="1"/>
        <v>0</v>
      </c>
      <c r="N14" s="3685"/>
      <c r="O14" s="3680" t="str">
        <f t="shared" si="3"/>
        <v>——</v>
      </c>
      <c r="P14" s="3375" t="str">
        <f t="shared" si="4"/>
        <v>——</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5"/>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0.85389999999999999</v>
      </c>
      <c r="H16" s="3702">
        <f>ROUND(SUMPRODUCT(H6:H13,K6:K13)/SUMPRODUCT((H6:H13&gt;0)*(K6:K13)),3)</f>
        <v>0.05</v>
      </c>
      <c r="I16" s="3703"/>
      <c r="J16" s="3703"/>
      <c r="K16" s="3689">
        <f>SUM(K6:K15)</f>
        <v>1048.8</v>
      </c>
      <c r="L16" s="3690">
        <f>ROUND(M16*10000/SUM(K6:K14),0)</f>
        <v>2746</v>
      </c>
      <c r="M16" s="3690">
        <f>SUM(M6:M14)</f>
        <v>288</v>
      </c>
      <c r="N16" s="3691">
        <f>ROUND(SUMPRODUCT(M6:M14,N6:N14)/M16,3)</f>
        <v>0.62</v>
      </c>
      <c r="O16" s="3690">
        <f>SUM(O6:O14)</f>
        <v>0</v>
      </c>
      <c r="P16" s="3690">
        <f>SUM(P6:P14)</f>
        <v>0</v>
      </c>
      <c r="Q16" s="3692">
        <f>ROUND(SUMPRODUCT(Q6:Q13,K6:K13)/SUMPRODUCT((Q6:Q13&gt;0)*(K6:K13)),2)</f>
        <v>0.1</v>
      </c>
      <c r="R16" s="3675">
        <f ca="1">SUM(R6:R13)</f>
        <v>0</v>
      </c>
      <c r="S16" s="3676">
        <f>SUM(S6:S13)</f>
        <v>0</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0.77900000000000003</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2209</v>
      </c>
      <c r="D19" s="2033"/>
      <c r="E19" s="2020"/>
      <c r="F19" s="2020"/>
      <c r="G19" s="2020"/>
      <c r="H19" s="2020"/>
      <c r="I19" s="2020"/>
      <c r="J19" s="2020"/>
      <c r="K19" s="2031"/>
      <c r="L19" s="2031"/>
      <c r="M19" s="2030">
        <v>1993</v>
      </c>
      <c r="N19" s="2030"/>
      <c r="O19" s="2030"/>
      <c r="P19" s="2030"/>
      <c r="Q19" s="2030"/>
      <c r="R19" s="2030"/>
      <c r="S19" s="2030"/>
      <c r="T19" s="2030"/>
      <c r="U19" s="2030"/>
      <c r="V19" s="2030"/>
      <c r="W19" s="2030"/>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2207</v>
      </c>
      <c r="D20" s="2033"/>
      <c r="E20" s="2020"/>
      <c r="F20" s="2020"/>
      <c r="G20" s="2020"/>
      <c r="H20" s="2020"/>
      <c r="I20" s="2020"/>
      <c r="J20" s="2020"/>
      <c r="K20" s="2031"/>
      <c r="L20" s="2031"/>
      <c r="M20" s="2030">
        <f>ROUND(1-(2026-M19)/50,2)</f>
        <v>0.34</v>
      </c>
      <c r="N20" s="2030">
        <v>0.8</v>
      </c>
      <c r="O20" s="2030">
        <f>M20*0.4+N20*0.6</f>
        <v>0.61599999999999999</v>
      </c>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1.5</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v>3000</v>
      </c>
      <c r="M22" s="2030">
        <v>1.0900000000000001</v>
      </c>
      <c r="N22" s="2030">
        <f>L22/M22</f>
        <v>2752.2935779816512</v>
      </c>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1.5</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v>160</v>
      </c>
      <c r="C27" s="2141" t="s">
        <v>2211</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200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2201</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200</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200</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3282</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2202</v>
      </c>
      <c r="D34" s="2041" t="s">
        <v>2208</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v>200</v>
      </c>
      <c r="C35" s="2143" t="s">
        <v>2203</v>
      </c>
      <c r="D35" s="2036"/>
      <c r="E35" s="2021"/>
      <c r="F35" s="2021"/>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3308</v>
      </c>
      <c r="B36" s="3714">
        <v>0.01</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3309</v>
      </c>
      <c r="B37" s="3715">
        <v>0.01</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3283</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0.01</v>
      </c>
      <c r="C39" s="2143" t="s">
        <v>3284</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2217</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3301</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0.12000000000000001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7.0000000000000007E-2</v>
      </c>
      <c r="C45" s="2143" t="s">
        <v>3285</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2204</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2205</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2212</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2204</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2206</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0</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c r="C54" s="2021" t="s">
        <v>1230</v>
      </c>
      <c r="D54" s="2144" t="s">
        <v>2210</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68" t="s">
        <v>2193</v>
      </c>
      <c r="B1" s="4269"/>
      <c r="C1" s="4269"/>
      <c r="D1" s="4269"/>
      <c r="E1" s="4269"/>
      <c r="F1" s="4269"/>
      <c r="G1" s="4269"/>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2190</v>
      </c>
      <c r="D2" s="1306"/>
      <c r="E2" s="1892"/>
      <c r="F2" s="1895"/>
      <c r="G2" s="1894" t="s">
        <v>2191</v>
      </c>
      <c r="H2" s="572"/>
      <c r="I2" s="572"/>
      <c r="J2" s="572"/>
      <c r="K2" s="572"/>
      <c r="L2" s="572"/>
      <c r="M2" s="572"/>
      <c r="N2" s="572"/>
      <c r="O2" s="572"/>
      <c r="P2" s="572"/>
      <c r="Q2" s="572"/>
    </row>
    <row r="3" spans="1:29" ht="24">
      <c r="A3" s="1879" t="s">
        <v>2192</v>
      </c>
      <c r="B3" s="1896" t="s">
        <v>2168</v>
      </c>
      <c r="C3" s="1897"/>
      <c r="D3" s="1898"/>
      <c r="E3" s="1880" t="s">
        <v>2192</v>
      </c>
      <c r="F3" s="1899" t="s">
        <v>2169</v>
      </c>
      <c r="G3" s="1900"/>
      <c r="H3" s="572"/>
      <c r="I3" s="572"/>
      <c r="J3" s="572"/>
      <c r="K3" s="572"/>
      <c r="L3" s="572"/>
      <c r="M3" s="572"/>
      <c r="N3" s="572"/>
      <c r="O3" s="572"/>
      <c r="P3" s="572"/>
      <c r="Q3" s="572"/>
    </row>
    <row r="4" spans="1:29">
      <c r="A4" s="1880"/>
      <c r="B4" s="224" t="s">
        <v>2170</v>
      </c>
      <c r="C4" s="1901"/>
      <c r="D4" s="1898"/>
      <c r="E4" s="1902"/>
      <c r="F4" s="997" t="s">
        <v>2171</v>
      </c>
      <c r="G4" s="1903"/>
      <c r="H4" s="572"/>
      <c r="I4" s="572"/>
      <c r="J4" s="572"/>
      <c r="K4" s="572"/>
      <c r="L4" s="572"/>
      <c r="M4" s="572"/>
      <c r="N4" s="572"/>
      <c r="O4" s="572"/>
      <c r="P4" s="572"/>
      <c r="Q4" s="572"/>
    </row>
    <row r="5" spans="1:29">
      <c r="A5" s="1880"/>
      <c r="B5" s="224" t="s">
        <v>2172</v>
      </c>
      <c r="C5" s="1901"/>
      <c r="D5" s="1898"/>
      <c r="E5" s="1902"/>
      <c r="F5" s="224" t="s">
        <v>2173</v>
      </c>
      <c r="G5" s="1903"/>
      <c r="H5" s="572"/>
      <c r="I5" s="572"/>
      <c r="J5" s="572"/>
      <c r="K5" s="572"/>
      <c r="L5" s="572"/>
      <c r="M5" s="572"/>
      <c r="N5" s="572"/>
      <c r="O5" s="572"/>
      <c r="P5" s="572"/>
      <c r="Q5" s="572"/>
    </row>
    <row r="6" spans="1:29">
      <c r="A6" s="1880"/>
      <c r="B6" s="224" t="s">
        <v>2174</v>
      </c>
      <c r="C6" s="1903"/>
      <c r="D6" s="1898"/>
      <c r="E6" s="1902"/>
      <c r="F6" s="224" t="s">
        <v>2175</v>
      </c>
      <c r="G6" s="1903"/>
      <c r="H6" s="572"/>
      <c r="I6" s="572"/>
      <c r="J6" s="572"/>
      <c r="K6" s="572"/>
      <c r="L6" s="572"/>
      <c r="M6" s="572"/>
      <c r="N6" s="572"/>
      <c r="O6" s="572"/>
      <c r="P6" s="572"/>
      <c r="Q6" s="572"/>
    </row>
    <row r="7" spans="1:29" ht="15" thickBot="1">
      <c r="A7" s="1880"/>
      <c r="B7" s="224" t="s">
        <v>2173</v>
      </c>
      <c r="C7" s="1903"/>
      <c r="D7" s="1877"/>
      <c r="E7" s="1904"/>
      <c r="F7" s="1905" t="s">
        <v>2176</v>
      </c>
      <c r="G7" s="1906"/>
      <c r="H7" s="572"/>
      <c r="I7" s="572"/>
      <c r="J7" s="572"/>
      <c r="K7" s="572"/>
      <c r="L7" s="572"/>
      <c r="M7" s="572"/>
      <c r="N7" s="572"/>
      <c r="O7" s="572"/>
      <c r="P7" s="572"/>
      <c r="Q7" s="572"/>
    </row>
    <row r="8" spans="1:29">
      <c r="A8" s="1880"/>
      <c r="B8" s="224" t="s">
        <v>2175</v>
      </c>
      <c r="C8" s="1903"/>
      <c r="D8" s="1877"/>
      <c r="E8" s="1877"/>
      <c r="F8" s="62"/>
      <c r="G8" s="62"/>
      <c r="H8" s="572"/>
      <c r="I8" s="572"/>
      <c r="J8" s="572"/>
      <c r="K8" s="572"/>
      <c r="L8" s="572"/>
      <c r="M8" s="572"/>
      <c r="N8" s="572"/>
      <c r="O8" s="572"/>
      <c r="P8" s="572"/>
      <c r="Q8" s="572"/>
    </row>
    <row r="9" spans="1:29">
      <c r="A9" s="1880"/>
      <c r="B9" s="224" t="s">
        <v>2177</v>
      </c>
      <c r="C9" s="1901"/>
      <c r="D9" s="1898"/>
      <c r="E9" s="1877"/>
      <c r="F9" s="62"/>
      <c r="G9" s="62"/>
      <c r="H9" s="572"/>
      <c r="I9" s="572"/>
      <c r="J9" s="572"/>
      <c r="K9" s="572"/>
      <c r="L9" s="572"/>
      <c r="M9" s="572"/>
      <c r="N9" s="572"/>
      <c r="O9" s="572"/>
      <c r="P9" s="572"/>
      <c r="Q9" s="572"/>
    </row>
    <row r="10" spans="1:29" ht="15" thickBot="1">
      <c r="A10" s="1881"/>
      <c r="B10" s="1907" t="s">
        <v>2178</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2194</v>
      </c>
      <c r="B13" s="1912"/>
      <c r="C13" s="1912"/>
      <c r="D13" s="1911"/>
      <c r="E13" s="1912"/>
      <c r="F13" s="1912"/>
      <c r="G13" s="1912"/>
    </row>
    <row r="14" spans="1:29" ht="15" thickBot="1">
      <c r="A14" s="1917"/>
      <c r="B14" s="1917"/>
      <c r="C14" s="1918" t="s">
        <v>2179</v>
      </c>
      <c r="D14" s="1898"/>
      <c r="E14" s="1919"/>
      <c r="F14" s="1919"/>
      <c r="G14" s="1894" t="s">
        <v>2180</v>
      </c>
    </row>
    <row r="15" spans="1:29" ht="24">
      <c r="A15" s="1882" t="s">
        <v>2181</v>
      </c>
      <c r="B15" s="1920" t="s">
        <v>2168</v>
      </c>
      <c r="C15" s="1921">
        <f>C3</f>
        <v>0</v>
      </c>
      <c r="D15" s="1898"/>
      <c r="E15" s="1883" t="s">
        <v>2182</v>
      </c>
      <c r="F15" s="1920" t="s">
        <v>2183</v>
      </c>
      <c r="G15" s="1922">
        <f>G3</f>
        <v>0</v>
      </c>
    </row>
    <row r="16" spans="1:29">
      <c r="A16" s="1884"/>
      <c r="B16" s="1923" t="s">
        <v>2170</v>
      </c>
      <c r="C16" s="1924">
        <f>C4</f>
        <v>0</v>
      </c>
      <c r="D16" s="1898"/>
      <c r="E16" s="1885"/>
      <c r="F16" s="1925" t="s">
        <v>2171</v>
      </c>
      <c r="G16" s="1926">
        <f>G4</f>
        <v>0</v>
      </c>
    </row>
    <row r="17" spans="1:17">
      <c r="A17" s="1884"/>
      <c r="B17" s="1923" t="s">
        <v>2172</v>
      </c>
      <c r="C17" s="1924">
        <f>C5</f>
        <v>0</v>
      </c>
      <c r="D17" s="1877"/>
      <c r="E17" s="1885"/>
      <c r="F17" s="1925" t="s">
        <v>2184</v>
      </c>
      <c r="G17" s="1927"/>
    </row>
    <row r="18" spans="1:17">
      <c r="A18" s="1884"/>
      <c r="B18" s="1925" t="s">
        <v>2174</v>
      </c>
      <c r="C18" s="1926">
        <f>C6</f>
        <v>0</v>
      </c>
      <c r="D18" s="1877"/>
      <c r="E18" s="1885"/>
      <c r="F18" s="1925" t="s">
        <v>2176</v>
      </c>
      <c r="G18" s="1926">
        <f>G7</f>
        <v>0</v>
      </c>
    </row>
    <row r="19" spans="1:17">
      <c r="A19" s="1884"/>
      <c r="B19" s="1925" t="s">
        <v>2185</v>
      </c>
      <c r="C19" s="1927"/>
      <c r="D19" s="1898"/>
      <c r="E19" s="1885"/>
      <c r="F19" s="224" t="s">
        <v>2173</v>
      </c>
      <c r="G19" s="1926">
        <f>G5</f>
        <v>0</v>
      </c>
    </row>
    <row r="20" spans="1:17">
      <c r="A20" s="1884"/>
      <c r="B20" s="1925" t="s">
        <v>2186</v>
      </c>
      <c r="C20" s="1924">
        <f>C9</f>
        <v>0</v>
      </c>
      <c r="D20" s="1877"/>
      <c r="E20" s="1885"/>
      <c r="F20" s="224" t="s">
        <v>2175</v>
      </c>
      <c r="G20" s="1926">
        <f>G6</f>
        <v>0</v>
      </c>
    </row>
    <row r="21" spans="1:17">
      <c r="A21" s="1884"/>
      <c r="B21" s="224" t="s">
        <v>2173</v>
      </c>
      <c r="C21" s="1926">
        <f>C7</f>
        <v>0</v>
      </c>
      <c r="D21" s="1898"/>
      <c r="E21" s="1885"/>
      <c r="F21" s="1925" t="s">
        <v>2187</v>
      </c>
      <c r="G21" s="1928"/>
    </row>
    <row r="22" spans="1:17" ht="13.5" customHeight="1">
      <c r="A22" s="1884"/>
      <c r="B22" s="224" t="s">
        <v>2175</v>
      </c>
      <c r="C22" s="1926">
        <f>C8</f>
        <v>0</v>
      </c>
      <c r="D22" s="1898"/>
      <c r="E22" s="1885"/>
      <c r="F22" s="1925" t="s">
        <v>2178</v>
      </c>
      <c r="G22" s="1927"/>
    </row>
    <row r="23" spans="1:17" s="572" customFormat="1" ht="15" thickBot="1">
      <c r="A23" s="1884"/>
      <c r="B23" s="1925" t="s">
        <v>2187</v>
      </c>
      <c r="C23" s="1928"/>
      <c r="D23" s="1323"/>
      <c r="E23" s="1886"/>
      <c r="F23" s="1929" t="s">
        <v>2188</v>
      </c>
      <c r="G23" s="1930"/>
      <c r="H23" s="1909"/>
      <c r="I23" s="1909"/>
      <c r="J23" s="1909"/>
      <c r="K23" s="1909"/>
      <c r="L23" s="1909"/>
      <c r="M23" s="1909"/>
      <c r="N23" s="1909"/>
      <c r="O23" s="1909"/>
      <c r="P23" s="1909"/>
      <c r="Q23" s="1909"/>
    </row>
    <row r="24" spans="1:17" s="572" customFormat="1" ht="15" thickBot="1">
      <c r="A24" s="1887"/>
      <c r="B24" s="1929" t="s">
        <v>2189</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1048.8</v>
      </c>
      <c r="C1" s="2043"/>
      <c r="D1" s="2043"/>
      <c r="E1" s="2043"/>
      <c r="F1" s="2043"/>
      <c r="G1" s="2044"/>
      <c r="H1" s="2044"/>
      <c r="I1" s="2044"/>
      <c r="J1" s="2044"/>
      <c r="K1" s="2044"/>
    </row>
    <row r="2" spans="1:11" ht="16.5">
      <c r="A2" s="1932" t="s">
        <v>641</v>
      </c>
      <c r="B2" s="2736">
        <f>SUM(C14:C23)</f>
        <v>0</v>
      </c>
      <c r="C2" s="2043"/>
      <c r="D2" s="2043"/>
      <c r="E2" s="2043"/>
      <c r="F2" s="2043"/>
      <c r="G2" s="2044"/>
      <c r="H2" s="2044"/>
      <c r="I2" s="2044"/>
      <c r="J2" s="2044"/>
      <c r="K2" s="2044"/>
    </row>
    <row r="3" spans="1:11" ht="16.5">
      <c r="A3" s="1932" t="s">
        <v>650</v>
      </c>
      <c r="B3" s="1934">
        <f>项目基本情况!D3</f>
        <v>46044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SUM(D14:D23)</f>
        <v>0</v>
      </c>
      <c r="C5" s="2736">
        <f>ROUND(B5*10000/$B$1,0)</f>
        <v>0</v>
      </c>
      <c r="D5" s="2736" t="e">
        <f>ROUND(B5*10000/$B$2,0)</f>
        <v>#DIV/0!</v>
      </c>
      <c r="E5" s="2043"/>
      <c r="F5" s="2044"/>
      <c r="G5" s="2044"/>
      <c r="H5" s="2044"/>
      <c r="I5" s="2044"/>
      <c r="J5" s="2044"/>
      <c r="K5" s="2044"/>
    </row>
    <row r="6" spans="1:11" ht="16.5">
      <c r="A6" s="1932" t="s">
        <v>644</v>
      </c>
      <c r="B6" s="2736">
        <f>SUM(G14:G23)</f>
        <v>0</v>
      </c>
      <c r="C6" s="2736">
        <f>ROUND(B6*10000/$B$1,0)</f>
        <v>0</v>
      </c>
      <c r="D6" s="2736" t="e">
        <f>ROUND(B6*10000/$B$2,0)</f>
        <v>#DIV/0!</v>
      </c>
      <c r="E6" s="2043"/>
      <c r="F6" s="2044"/>
      <c r="G6" s="2044"/>
      <c r="H6" s="2044"/>
      <c r="I6" s="2044"/>
      <c r="J6" s="2044"/>
      <c r="K6" s="2044"/>
    </row>
    <row r="7" spans="1:11" ht="16.5">
      <c r="A7" s="1932" t="s">
        <v>652</v>
      </c>
      <c r="B7" s="2736">
        <f>SUM(H14:H23)</f>
        <v>0</v>
      </c>
      <c r="C7" s="2736" t="str">
        <f>IF(B7=H14,结果表!H110,ROUND(B7*10000/$B$1,0))</f>
        <v>——</v>
      </c>
      <c r="D7" s="2736" t="e">
        <f>ROUND(B7*10000/$B$2,0)</f>
        <v>#DIV/0!</v>
      </c>
      <c r="E7" s="2043"/>
      <c r="F7" s="2044"/>
      <c r="G7" s="2044"/>
      <c r="H7" s="2044"/>
      <c r="I7" s="2044"/>
      <c r="J7" s="2044"/>
      <c r="K7" s="2044"/>
    </row>
    <row r="8" spans="1:11" ht="16.5">
      <c r="A8" s="1932" t="s">
        <v>581</v>
      </c>
      <c r="B8" s="2736">
        <f>SUM(I14:I23)</f>
        <v>0</v>
      </c>
      <c r="C8" s="2736" t="str">
        <f>IF(B8=I14,结果表!H112,ROUND(B8*10000/$B$1,0))</f>
        <v>——</v>
      </c>
      <c r="D8" s="2736" t="e">
        <f>ROUND(B8*10000/$B$2,0)</f>
        <v>#DIV/0!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1203</v>
      </c>
      <c r="C10" s="1932" t="s">
        <v>3255</v>
      </c>
      <c r="D10" s="1932" t="s">
        <v>3256</v>
      </c>
      <c r="E10" s="2738">
        <f>'比较法-办公'!C49</f>
        <v>2.2000000000000002</v>
      </c>
      <c r="F10" s="2621" t="s">
        <v>3257</v>
      </c>
      <c r="G10" s="2618">
        <v>7.0000000000000007E-2</v>
      </c>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'数据-汇总表'!F19</f>
        <v>1048.8</v>
      </c>
      <c r="C14" s="2733"/>
      <c r="D14" s="2733"/>
      <c r="E14" s="2733">
        <f>ROUND(D14*10000/B14,0)</f>
        <v>0</v>
      </c>
      <c r="F14" s="2733" t="e">
        <f>ROUND(D14*10000/C14,0)</f>
        <v>#DIV/0!</v>
      </c>
      <c r="G14" s="2733"/>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20" zoomScaleNormal="100" zoomScaleSheetLayoutView="120" zoomScalePageLayoutView="80" workbookViewId="0">
      <selection activeCell="P57" sqref="P57"/>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c r="H1" s="1330" t="str">
        <f>IF(G1="现房","——","估价对象范围")</f>
        <v>估价对象范围</v>
      </c>
      <c r="I1" s="1331"/>
    </row>
    <row r="2" spans="1:12" ht="21.75" customHeight="1" thickBot="1">
      <c r="A2" s="4349" t="str">
        <f>项目基本情况!S2</f>
        <v>北京市房地产</v>
      </c>
      <c r="B2" s="4350"/>
      <c r="C2" s="4350"/>
      <c r="D2" s="4350"/>
      <c r="E2" s="4350"/>
      <c r="F2" s="4350"/>
      <c r="G2" s="4350"/>
      <c r="H2" s="4350"/>
      <c r="I2" s="4351"/>
    </row>
    <row r="3" spans="1:12" ht="12.75">
      <c r="A3" s="4353" t="s">
        <v>1248</v>
      </c>
      <c r="B3" s="4354"/>
      <c r="C3" s="4354"/>
      <c r="D3" s="4354"/>
      <c r="E3" s="4354"/>
      <c r="F3" s="4354"/>
      <c r="G3" s="4354"/>
      <c r="H3" s="4354"/>
      <c r="I3" s="4354"/>
    </row>
    <row r="4" spans="1:12" ht="14.25">
      <c r="A4" s="1333" t="s">
        <v>1249</v>
      </c>
      <c r="B4" s="1334" t="s">
        <v>1250</v>
      </c>
      <c r="C4" s="4038"/>
      <c r="D4" s="4038"/>
      <c r="E4" s="4358" t="s">
        <v>1251</v>
      </c>
      <c r="F4" s="4359"/>
      <c r="G4" s="4359"/>
      <c r="H4" s="4359"/>
      <c r="I4" s="4360"/>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287" t="s">
        <v>1252</v>
      </c>
      <c r="B5" s="4352">
        <v>25</v>
      </c>
      <c r="C5" s="4355"/>
      <c r="D5" s="4343"/>
      <c r="E5" s="64" t="s">
        <v>1253</v>
      </c>
      <c r="F5" s="1335"/>
      <c r="G5" s="1335"/>
      <c r="H5" s="1335"/>
      <c r="I5" s="997"/>
    </row>
    <row r="6" spans="1:12" ht="12.75">
      <c r="A6" s="4287"/>
      <c r="B6" s="4352"/>
      <c r="C6" s="4357"/>
      <c r="D6" s="4343"/>
      <c r="E6" s="64" t="s">
        <v>1254</v>
      </c>
      <c r="F6" s="1335"/>
      <c r="G6" s="1335"/>
      <c r="H6" s="1335"/>
      <c r="I6" s="997"/>
    </row>
    <row r="7" spans="1:12" ht="12.75">
      <c r="A7" s="4287"/>
      <c r="B7" s="4352"/>
      <c r="C7" s="4356"/>
      <c r="D7" s="4343"/>
      <c r="E7" s="64" t="s">
        <v>1255</v>
      </c>
      <c r="F7" s="1335"/>
      <c r="G7" s="1335"/>
      <c r="H7" s="1335"/>
      <c r="I7" s="997"/>
    </row>
    <row r="8" spans="1:12" ht="12.75">
      <c r="A8" s="4287" t="s">
        <v>1256</v>
      </c>
      <c r="B8" s="4352">
        <v>15</v>
      </c>
      <c r="C8" s="4355"/>
      <c r="D8" s="4343"/>
      <c r="E8" s="64" t="s">
        <v>1257</v>
      </c>
      <c r="F8" s="1335"/>
      <c r="G8" s="1335"/>
      <c r="H8" s="1335"/>
      <c r="I8" s="997"/>
    </row>
    <row r="9" spans="1:12" ht="12.75">
      <c r="A9" s="4287"/>
      <c r="B9" s="4352"/>
      <c r="C9" s="4356"/>
      <c r="D9" s="4343"/>
      <c r="E9" s="64" t="s">
        <v>1258</v>
      </c>
      <c r="F9" s="1335"/>
      <c r="G9" s="1335"/>
      <c r="H9" s="1335"/>
      <c r="I9" s="997"/>
    </row>
    <row r="10" spans="1:12" ht="12.75">
      <c r="A10" s="4287" t="s">
        <v>1259</v>
      </c>
      <c r="B10" s="4352">
        <v>15</v>
      </c>
      <c r="C10" s="4355"/>
      <c r="D10" s="4343"/>
      <c r="E10" s="64" t="s">
        <v>1260</v>
      </c>
      <c r="F10" s="1335"/>
      <c r="G10" s="1335"/>
      <c r="H10" s="1335"/>
      <c r="I10" s="997"/>
    </row>
    <row r="11" spans="1:12" ht="12.75">
      <c r="A11" s="4287"/>
      <c r="B11" s="4352"/>
      <c r="C11" s="4356"/>
      <c r="D11" s="4343"/>
      <c r="E11" s="64" t="s">
        <v>1261</v>
      </c>
      <c r="F11" s="1335"/>
      <c r="G11" s="1335"/>
      <c r="H11" s="1335"/>
      <c r="I11" s="997"/>
    </row>
    <row r="12" spans="1:12" ht="12.75">
      <c r="A12" s="4287" t="s">
        <v>1262</v>
      </c>
      <c r="B12" s="4352">
        <v>15</v>
      </c>
      <c r="C12" s="4355"/>
      <c r="D12" s="4343"/>
      <c r="E12" s="64" t="s">
        <v>1263</v>
      </c>
      <c r="F12" s="1335"/>
      <c r="G12" s="1335"/>
      <c r="H12" s="1335"/>
      <c r="I12" s="997"/>
    </row>
    <row r="13" spans="1:12" ht="12.75">
      <c r="A13" s="4287"/>
      <c r="B13" s="4352"/>
      <c r="C13" s="4356"/>
      <c r="D13" s="4343"/>
      <c r="E13" s="64" t="s">
        <v>1264</v>
      </c>
      <c r="F13" s="1335"/>
      <c r="G13" s="1335"/>
      <c r="H13" s="1335"/>
      <c r="I13" s="997"/>
    </row>
    <row r="14" spans="1:12" ht="12.75">
      <c r="A14" s="4287" t="s">
        <v>1265</v>
      </c>
      <c r="B14" s="4352">
        <v>30</v>
      </c>
      <c r="C14" s="4355"/>
      <c r="D14" s="4343"/>
      <c r="E14" s="64" t="s">
        <v>1266</v>
      </c>
      <c r="F14" s="1335"/>
      <c r="G14" s="1335"/>
      <c r="H14" s="1335"/>
      <c r="I14" s="997"/>
    </row>
    <row r="15" spans="1:12" ht="12.75">
      <c r="A15" s="4287"/>
      <c r="B15" s="4352"/>
      <c r="C15" s="4357"/>
      <c r="D15" s="4343"/>
      <c r="E15" s="64" t="s">
        <v>1267</v>
      </c>
      <c r="F15" s="1335"/>
      <c r="G15" s="1335"/>
      <c r="H15" s="1335"/>
      <c r="I15" s="997"/>
    </row>
    <row r="16" spans="1:12" ht="12.75">
      <c r="A16" s="4287"/>
      <c r="B16" s="4352"/>
      <c r="C16" s="4356"/>
      <c r="D16" s="4343"/>
      <c r="E16" s="64" t="s">
        <v>1268</v>
      </c>
      <c r="F16" s="1335"/>
      <c r="G16" s="1335"/>
      <c r="H16" s="1335"/>
      <c r="I16" s="997"/>
    </row>
    <row r="17" spans="1:36" ht="15">
      <c r="A17" s="1336" t="s">
        <v>1269</v>
      </c>
      <c r="B17" s="4037"/>
      <c r="C17" s="2780">
        <f>SUM(C5:C16)</f>
        <v>0</v>
      </c>
      <c r="D17" s="2780">
        <f>SUM(D5:D16)</f>
        <v>0</v>
      </c>
      <c r="E17" s="62"/>
      <c r="F17" s="62"/>
      <c r="G17" s="62"/>
      <c r="H17" s="62"/>
      <c r="I17" s="62"/>
      <c r="K17" s="204"/>
      <c r="L17" s="204" t="s">
        <v>1270</v>
      </c>
      <c r="M17" s="204" t="s">
        <v>1271</v>
      </c>
    </row>
    <row r="18" spans="1:36" ht="31.9" customHeight="1" thickBot="1">
      <c r="A18" s="1337" t="s">
        <v>1272</v>
      </c>
      <c r="B18" s="1260"/>
      <c r="C18" s="2766" t="e">
        <f>ROUND(C17/SUM(C17:D17),2)</f>
        <v>#DIV/0!</v>
      </c>
      <c r="D18" s="2766" t="e">
        <f>1-C18</f>
        <v>#DIV/0!</v>
      </c>
      <c r="E18" s="4366" t="s">
        <v>2047</v>
      </c>
      <c r="F18" s="4367"/>
      <c r="G18" s="4367"/>
      <c r="H18" s="4367"/>
      <c r="I18" s="4367"/>
      <c r="K18" s="204" t="s">
        <v>1273</v>
      </c>
      <c r="L18" s="2910">
        <f>IF(C1="",'数据-汇总表'!E3,SUMIF(项目类型,C1,'数据-汇总表'!E17:E26)+SUMIF(项目类型,C1,'数据-汇总表'!I17:I26))</f>
        <v>1048.8</v>
      </c>
      <c r="M18" s="2910">
        <f>IF(C1="",'数据-汇总表'!E3,SUMIF(项目类型,C1,'数据-汇总表'!E17:E26))</f>
        <v>1048.8</v>
      </c>
    </row>
    <row r="19" spans="1:36" ht="15">
      <c r="A19" s="1338" t="s">
        <v>1274</v>
      </c>
      <c r="B19" s="1339" t="s">
        <v>1275</v>
      </c>
      <c r="C19" s="4033" t="e">
        <f ca="1">SUMIF(INDIRECT("'"&amp;C4&amp;"'"&amp;"!A:A"),结果表!B19,INDIRECT("'"&amp;C4&amp;"'"&amp;"!B:B"))</f>
        <v>#REF!</v>
      </c>
      <c r="D19" s="4034" t="e">
        <f ca="1">SUMIF(INDIRECT("'"&amp;D4&amp;"'"&amp;"!A:A"),结果表!B19,INDIRECT("'"&amp;D4&amp;"'"&amp;"!B:B"))</f>
        <v>#REF!</v>
      </c>
      <c r="E19" s="1338" t="s">
        <v>1276</v>
      </c>
      <c r="F19" s="1339" t="s">
        <v>1275</v>
      </c>
      <c r="G19" s="3374" t="e">
        <f ca="1">ROUND(C19*$C$18+D19*$D$18,0)</f>
        <v>#REF!</v>
      </c>
      <c r="H19" s="1340" t="s">
        <v>1277</v>
      </c>
      <c r="I19" s="62"/>
      <c r="K19" s="204" t="s">
        <v>1278</v>
      </c>
      <c r="L19" s="2910">
        <f>IF(C1="",'数据-汇总表'!D3,SUMIF(项目类型,C1,'数据-汇总表'!D17:D26)+SUMIF(项目类型,C1,'数据-汇总表'!H17:H27))</f>
        <v>0</v>
      </c>
      <c r="M19" s="2910">
        <f>IF(C1="",'数据-汇总表'!D3,SUMIF(项目类型,C1,'数据-汇总表'!D17:D26))</f>
        <v>0</v>
      </c>
    </row>
    <row r="20" spans="1:36" ht="15">
      <c r="A20" s="1341"/>
      <c r="B20" s="38" t="s">
        <v>1279</v>
      </c>
      <c r="C20" s="3223" t="e">
        <f ca="1">SUMIF(INDIRECT("'"&amp;C4&amp;"'"&amp;"!A:A"),结果表!B20,INDIRECT("'"&amp;C4&amp;"'"&amp;"!B:B"))</f>
        <v>#REF!</v>
      </c>
      <c r="D20" s="2820" t="e">
        <f ca="1">SUMIF(INDIRECT("'"&amp;D4&amp;"'"&amp;"!A:A"),结果表!B20,INDIRECT("'"&amp;D4&amp;"'"&amp;"!B:B"))</f>
        <v>#REF!</v>
      </c>
      <c r="E20" s="1341"/>
      <c r="F20" s="38" t="s">
        <v>1279</v>
      </c>
      <c r="G20" s="3375" t="e">
        <f ca="1">ROUND(C20*$C$18+D20*$D$18,0)</f>
        <v>#REF!</v>
      </c>
      <c r="H20" s="578" t="s">
        <v>1280</v>
      </c>
      <c r="I20" s="62"/>
    </row>
    <row r="21" spans="1:36" ht="15" customHeight="1" thickBot="1">
      <c r="A21" s="330"/>
      <c r="B21" s="3838" t="s">
        <v>3674</v>
      </c>
      <c r="C21" s="4035" t="e">
        <f ca="1">SUMIF(INDIRECT("'"&amp;C4&amp;"'"&amp;"!A:A"),结果表!B21,INDIRECT("'"&amp;C4&amp;"'"&amp;"!B:B"))</f>
        <v>#REF!</v>
      </c>
      <c r="D21" s="4036" t="e">
        <f ca="1">SUMIF(INDIRECT("'"&amp;D4&amp;"'"&amp;"!A:A"),结果表!B21,INDIRECT("'"&amp;D4&amp;"'"&amp;"!B:B"))</f>
        <v>#REF!</v>
      </c>
      <c r="E21" s="1341"/>
      <c r="F21" s="39" t="s">
        <v>1281</v>
      </c>
      <c r="G21" s="3375" t="e">
        <f ca="1">ROUND(C21*$C$18+D21*$D$18,0)</f>
        <v>#REF!</v>
      </c>
      <c r="H21" s="578" t="s">
        <v>1280</v>
      </c>
      <c r="I21" s="62"/>
    </row>
    <row r="22" spans="1:36" ht="15" thickBot="1">
      <c r="A22" s="1278" t="s">
        <v>1282</v>
      </c>
      <c r="B22" s="1342"/>
      <c r="C22" s="2739"/>
      <c r="D22" s="3376" t="e">
        <f ca="1">IF(C19&lt;D19,D19/C19-1,C19/D19-1)</f>
        <v>#REF!</v>
      </c>
      <c r="E22" s="3828"/>
      <c r="F22" s="3831"/>
      <c r="G22" s="3829" t="e">
        <f ca="1">ROUND(G19/('数据-汇总表'!D3/666.67),0)</f>
        <v>#REF!</v>
      </c>
      <c r="H22" s="3830" t="s">
        <v>3672</v>
      </c>
      <c r="I22" s="62"/>
    </row>
    <row r="23" spans="1:36" ht="13.5" thickBot="1">
      <c r="A23" s="492"/>
      <c r="B23" s="492"/>
      <c r="C23" s="492"/>
      <c r="D23" s="492"/>
      <c r="E23" s="62"/>
      <c r="F23" s="62"/>
      <c r="G23" s="62"/>
      <c r="H23" s="62"/>
      <c r="I23" s="62"/>
    </row>
    <row r="24" spans="1:36" ht="14.25">
      <c r="A24" s="4386" t="s">
        <v>1283</v>
      </c>
      <c r="B24" s="1339" t="s">
        <v>1275</v>
      </c>
      <c r="C24" s="66">
        <f>IF(B30=0,0,D30)</f>
        <v>0</v>
      </c>
      <c r="D24" s="1343"/>
      <c r="E24" s="62"/>
      <c r="F24" s="62"/>
      <c r="G24" s="62"/>
      <c r="H24" s="62"/>
      <c r="I24" s="62"/>
    </row>
    <row r="25" spans="1:36" ht="14.25">
      <c r="A25" s="4387"/>
      <c r="B25" s="3839" t="s">
        <v>3675</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2048</v>
      </c>
      <c r="F30" s="62"/>
      <c r="G30" s="62"/>
      <c r="H30" s="62"/>
      <c r="I30" s="62"/>
    </row>
    <row r="31" spans="1:36" s="1779" customFormat="1" ht="26.45" customHeight="1" thickTop="1" thickBot="1">
      <c r="A31" s="1774"/>
      <c r="B31" s="1775"/>
      <c r="C31" s="1775"/>
      <c r="D31" s="1775"/>
      <c r="E31" s="1775"/>
      <c r="F31" s="1775"/>
      <c r="G31" s="1775"/>
      <c r="H31" s="1775"/>
      <c r="I31" s="1776" t="s">
        <v>2049</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t="e">
        <f ca="1">IF(D32="总价",G19-C24,G20-C25)</f>
        <v>#REF!</v>
      </c>
      <c r="D32" s="1347"/>
      <c r="E32" s="62"/>
      <c r="F32" s="62"/>
      <c r="G32" s="62"/>
      <c r="H32" s="62"/>
      <c r="I32" s="62"/>
    </row>
    <row r="33" spans="1:19" ht="15">
      <c r="A33" s="567" t="s">
        <v>1290</v>
      </c>
      <c r="B33" s="64"/>
      <c r="C33" s="1348"/>
      <c r="D33" s="1349"/>
      <c r="E33" s="1350" t="s">
        <v>1291</v>
      </c>
      <c r="F33" s="1351" t="str">
        <f>IF(D32="楼面单价","取值（单价）","取值（总价）")</f>
        <v>取值（总价）</v>
      </c>
      <c r="G33" s="62"/>
      <c r="H33" s="62"/>
      <c r="I33" s="62"/>
    </row>
    <row r="34" spans="1:19" ht="15">
      <c r="A34" s="1352"/>
      <c r="B34" s="1353" t="s">
        <v>1292</v>
      </c>
      <c r="C34" s="4041" t="e">
        <f ca="1">IF(C33="自定义",F34,C32-C35)</f>
        <v>#REF!</v>
      </c>
      <c r="D34" s="4039" t="e">
        <f ca="1">IF(C33="自定义",ROUND(C34/C32,3),IF(C33="收益比率",SUMIF(INDIRECT("'"&amp;D33&amp;"'"&amp;"!b:b"),"土地收益比率",INDIRECT("'"&amp;D33&amp;"'"&amp;"!c:c")),SUMIF(INDIRECT("'"&amp;D33&amp;"'"&amp;"!b:b"),"土地成本比率",INDIRECT("'"&amp;D33&amp;"'"&amp;"!c:c"))))</f>
        <v>#REF!</v>
      </c>
      <c r="E34" s="1354" t="s">
        <v>1293</v>
      </c>
      <c r="F34" s="2769"/>
      <c r="G34" s="62"/>
      <c r="H34" s="62"/>
      <c r="I34" s="62"/>
    </row>
    <row r="35" spans="1:19" ht="15.75" thickBot="1">
      <c r="A35" s="1355"/>
      <c r="B35" s="1356" t="s">
        <v>1294</v>
      </c>
      <c r="C35" s="4042" t="e">
        <f ca="1">IF(C33="自定义",F35,ROUND(C32*D35,0))</f>
        <v>#REF!</v>
      </c>
      <c r="D35" s="4040" t="e">
        <f ca="1">IF(C33="自定义",ROUND(C35/C32,3),IF(C33="收益比率",SUMIF(INDIRECT("'"&amp;D33&amp;"'"&amp;"!b:b"),"建筑物收益比率",INDIRECT("'"&amp;D33&amp;"'"&amp;"!c:c")),SUMIF(INDIRECT("'"&amp;D33&amp;"'"&amp;"!b:b"),"建筑物成本比率",INDIRECT("'"&amp;D33&amp;"'"&amp;"!c:c"))))</f>
        <v>#REF!</v>
      </c>
      <c r="E35" s="1357" t="s">
        <v>1295</v>
      </c>
      <c r="F35" s="4044"/>
      <c r="G35" s="62"/>
      <c r="H35" s="62"/>
      <c r="I35" s="62"/>
    </row>
    <row r="36" spans="1:19" ht="15.75" thickBot="1">
      <c r="A36" s="4344" t="s">
        <v>1296</v>
      </c>
      <c r="B36" s="1358" t="s">
        <v>1297</v>
      </c>
      <c r="C36" s="2741"/>
      <c r="D36" s="1359"/>
      <c r="E36" s="1281"/>
      <c r="F36" s="1360"/>
      <c r="G36" s="62"/>
      <c r="H36" s="62"/>
      <c r="I36" s="62"/>
    </row>
    <row r="37" spans="1:19" ht="15.75" thickBot="1">
      <c r="A37" s="4345"/>
      <c r="B37" s="1269" t="s">
        <v>1298</v>
      </c>
      <c r="C37" s="2742"/>
      <c r="D37" s="826"/>
      <c r="E37" s="826"/>
      <c r="F37" s="1360"/>
      <c r="G37" s="62"/>
      <c r="H37" s="62"/>
      <c r="I37" s="62"/>
    </row>
    <row r="38" spans="1:19" ht="15.75" thickBot="1">
      <c r="A38" s="4346"/>
      <c r="B38" s="1361" t="s">
        <v>1299</v>
      </c>
      <c r="C38" s="2743"/>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c r="C40" s="3545"/>
      <c r="D40" s="3545"/>
      <c r="E40" s="2769"/>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383" t="s">
        <v>1310</v>
      </c>
      <c r="B45" s="4384"/>
      <c r="C45" s="4385"/>
      <c r="D45" s="2744" t="e">
        <f ca="1">ROUND(H101*F45,0)</f>
        <v>#REF!</v>
      </c>
      <c r="E45" s="74" t="s">
        <v>1311</v>
      </c>
      <c r="F45" s="75">
        <v>1</v>
      </c>
      <c r="G45" s="76" t="s">
        <v>1312</v>
      </c>
      <c r="H45" s="62"/>
      <c r="I45" s="62"/>
      <c r="J45" s="4272" t="s">
        <v>1313</v>
      </c>
      <c r="K45" s="4272"/>
      <c r="L45" s="4272"/>
      <c r="M45" s="4272"/>
      <c r="N45" s="4272"/>
      <c r="O45" s="4272"/>
    </row>
    <row r="46" spans="1:19" ht="14.25" customHeight="1">
      <c r="A46" s="4380" t="s">
        <v>1314</v>
      </c>
      <c r="B46" s="4381"/>
      <c r="C46" s="4381"/>
      <c r="D46" s="4381"/>
      <c r="E46" s="4381"/>
      <c r="F46" s="4381"/>
      <c r="G46" s="4382"/>
      <c r="H46" s="1374"/>
      <c r="I46" s="77"/>
      <c r="J46" s="1940">
        <v>1</v>
      </c>
      <c r="K46" s="4273" t="s">
        <v>1315</v>
      </c>
      <c r="L46" s="4273"/>
      <c r="M46" s="4274"/>
      <c r="N46" s="4274"/>
      <c r="O46" s="4274"/>
    </row>
    <row r="47" spans="1:19" ht="12" customHeight="1">
      <c r="A47" s="78" t="s">
        <v>1316</v>
      </c>
      <c r="B47" s="79"/>
      <c r="C47" s="80"/>
      <c r="D47" s="786" t="s">
        <v>1317</v>
      </c>
      <c r="E47" s="204" t="s">
        <v>1318</v>
      </c>
      <c r="F47" s="81" t="s">
        <v>1319</v>
      </c>
      <c r="G47" s="1955" t="s">
        <v>1320</v>
      </c>
      <c r="H47" s="1956"/>
      <c r="I47" s="77"/>
      <c r="J47" s="1940">
        <v>2</v>
      </c>
      <c r="K47" s="4273" t="s">
        <v>1321</v>
      </c>
      <c r="L47" s="4273"/>
      <c r="M47" s="4275">
        <f>'数据-取费表'!B2</f>
        <v>46044</v>
      </c>
      <c r="N47" s="4275"/>
      <c r="O47" s="4275"/>
    </row>
    <row r="48" spans="1:19" ht="25.5">
      <c r="A48" s="4347" t="s">
        <v>1322</v>
      </c>
      <c r="B48" s="4348"/>
      <c r="C48" s="4348"/>
      <c r="D48" s="4029">
        <f>ROUND(IF(H48="情况1",0,IF(H48="情况2",D52,IF(H48="情况3",D53,IF(H48="情况4",D54))))*(1+'数据-取费表'!B44),0)</f>
        <v>0</v>
      </c>
      <c r="E48" s="971" t="str">
        <f>IF(H48="情况4","(销售额-原购置价)×税（费）率","销售额×税（费）率")</f>
        <v>销售额×税（费）率</v>
      </c>
      <c r="F48" s="4018">
        <f>IF(H48="情况1","免征",'数据-取费表'!B42)</f>
        <v>0</v>
      </c>
      <c r="G48" s="1957" t="s">
        <v>1323</v>
      </c>
      <c r="H48" s="1958"/>
      <c r="I48" s="1374"/>
      <c r="J48" s="1940">
        <v>3</v>
      </c>
      <c r="K48" s="4273" t="s">
        <v>1324</v>
      </c>
      <c r="L48" s="4273"/>
      <c r="M48" s="4276" t="e">
        <f ca="1">H101</f>
        <v>#REF!</v>
      </c>
      <c r="N48" s="4276"/>
      <c r="O48" s="4276"/>
      <c r="R48" s="3855" t="s">
        <v>3689</v>
      </c>
      <c r="S48" s="3856"/>
    </row>
    <row r="49" spans="1:35" ht="25.5" customHeight="1">
      <c r="A49" s="4019" t="s">
        <v>1325</v>
      </c>
      <c r="B49" s="4330" t="s">
        <v>1326</v>
      </c>
      <c r="C49" s="4330"/>
      <c r="D49" s="4026">
        <v>0</v>
      </c>
      <c r="E49" s="225" t="s">
        <v>1327</v>
      </c>
      <c r="F49" s="4012" t="s">
        <v>26</v>
      </c>
      <c r="G49" s="4313"/>
      <c r="H49" s="3850" t="s">
        <v>2050</v>
      </c>
      <c r="I49" s="3851"/>
      <c r="J49" s="1940">
        <v>4</v>
      </c>
      <c r="K49" s="4273" t="str">
        <f>IF(项目基本情况!E8="房地产抵押价值","房地产抵押价值","抵押担保权已注销时的房地产抵押价值")</f>
        <v>房地产抵押价值</v>
      </c>
      <c r="L49" s="4273"/>
      <c r="M49" s="4276" t="e">
        <f ca="1">IF(项目基本情况!E8="房地产抵押价值",H107,H109)</f>
        <v>#REF!</v>
      </c>
      <c r="N49" s="4276"/>
      <c r="O49" s="4276"/>
      <c r="R49" s="3857" t="s">
        <v>3690</v>
      </c>
      <c r="S49" s="3855" t="s">
        <v>3691</v>
      </c>
    </row>
    <row r="50" spans="1:35" ht="25.5" customHeight="1">
      <c r="A50" s="4020"/>
      <c r="B50" s="4330" t="s">
        <v>1328</v>
      </c>
      <c r="C50" s="4330"/>
      <c r="D50" s="4027"/>
      <c r="E50" s="232"/>
      <c r="F50" s="4012"/>
      <c r="G50" s="4314"/>
      <c r="H50" s="1382" t="s">
        <v>2051</v>
      </c>
      <c r="I50" s="3851"/>
      <c r="J50" s="4272" t="s">
        <v>1329</v>
      </c>
      <c r="K50" s="4272"/>
      <c r="L50" s="4272"/>
      <c r="M50" s="4272"/>
      <c r="N50" s="4272"/>
      <c r="O50" s="4272"/>
      <c r="R50" s="3857" t="s">
        <v>3692</v>
      </c>
      <c r="S50" s="3855" t="s">
        <v>3693</v>
      </c>
    </row>
    <row r="51" spans="1:35" ht="20.45" customHeight="1">
      <c r="A51" s="4021"/>
      <c r="B51" s="4330" t="s">
        <v>1330</v>
      </c>
      <c r="C51" s="4330"/>
      <c r="D51" s="4028"/>
      <c r="E51" s="228"/>
      <c r="F51" s="4012"/>
      <c r="G51" s="4315"/>
      <c r="H51" s="1382" t="s">
        <v>2052</v>
      </c>
      <c r="I51" s="3851"/>
      <c r="J51" s="1941" t="s">
        <v>1331</v>
      </c>
      <c r="K51" s="4273" t="s">
        <v>1332</v>
      </c>
      <c r="L51" s="4273"/>
      <c r="M51" s="1941" t="s">
        <v>1333</v>
      </c>
      <c r="N51" s="1941" t="s">
        <v>1334</v>
      </c>
      <c r="O51" s="1941" t="s">
        <v>1335</v>
      </c>
      <c r="R51" s="3857" t="s">
        <v>3694</v>
      </c>
      <c r="S51" s="3856" t="s">
        <v>3695</v>
      </c>
    </row>
    <row r="52" spans="1:35" ht="24" customHeight="1">
      <c r="A52" s="1789" t="s">
        <v>1336</v>
      </c>
      <c r="B52" s="4330" t="s">
        <v>1337</v>
      </c>
      <c r="C52" s="4330"/>
      <c r="D52" s="4028" t="e">
        <f ca="1">ROUND(D45*F52/(1+F52),0)</f>
        <v>#REF!</v>
      </c>
      <c r="E52" s="971" t="s">
        <v>1338</v>
      </c>
      <c r="F52" s="1959">
        <v>0.03</v>
      </c>
      <c r="G52" s="966" t="s">
        <v>3738</v>
      </c>
      <c r="H52" s="1953"/>
      <c r="I52" s="1375"/>
      <c r="J52" s="1940">
        <v>1</v>
      </c>
      <c r="K52" s="4308" t="s">
        <v>1339</v>
      </c>
      <c r="L52" s="4308"/>
      <c r="M52" s="4091">
        <f>D48</f>
        <v>0</v>
      </c>
      <c r="N52" s="1940" t="str">
        <f>E48</f>
        <v>销售额×税（费）率</v>
      </c>
      <c r="O52" s="4093">
        <f>F48</f>
        <v>0</v>
      </c>
      <c r="R52" s="3855" t="s">
        <v>3696</v>
      </c>
      <c r="S52" s="3855" t="s">
        <v>3700</v>
      </c>
    </row>
    <row r="53" spans="1:35" ht="12" customHeight="1">
      <c r="A53" s="1789" t="s">
        <v>1340</v>
      </c>
      <c r="B53" s="4331" t="s">
        <v>2198</v>
      </c>
      <c r="C53" s="4332"/>
      <c r="D53" s="4028" t="e">
        <f ca="1">IF(G53="2016年5月1日之前项目",ROUND(D45*F53/(1+F53),0),H63)</f>
        <v>#REF!</v>
      </c>
      <c r="E53" s="971" t="str">
        <f>IF(G53="2016年5月1日之前项目","全额计税","进销项计算")</f>
        <v>进销项计算</v>
      </c>
      <c r="F53" s="1959">
        <f>IF(G53="2016年5月1日之前项目",5%,9%)</f>
        <v>0.09</v>
      </c>
      <c r="G53" s="4022"/>
      <c r="H53" s="1953"/>
      <c r="I53" s="1375"/>
      <c r="J53" s="1940">
        <v>2</v>
      </c>
      <c r="K53" s="4308" t="s">
        <v>1341</v>
      </c>
      <c r="L53" s="4308"/>
      <c r="M53" s="4091" t="e">
        <f t="shared" ref="M53:O54" ca="1" si="0">D55</f>
        <v>#REF!</v>
      </c>
      <c r="N53" s="1940" t="str">
        <f t="shared" si="0"/>
        <v>销售额×税（费）率</v>
      </c>
      <c r="O53" s="4093" t="str">
        <f t="shared" si="0"/>
        <v>免征</v>
      </c>
      <c r="R53" s="3855" t="s">
        <v>3697</v>
      </c>
      <c r="S53" s="3856" t="s">
        <v>3704</v>
      </c>
    </row>
    <row r="54" spans="1:35" ht="12" customHeight="1">
      <c r="A54" s="1789" t="s">
        <v>1342</v>
      </c>
      <c r="B54" s="4331" t="s">
        <v>2199</v>
      </c>
      <c r="C54" s="4332"/>
      <c r="D54" s="4028" t="e">
        <f ca="1">IF(G54="2016年5月1日之前项目",C68,H63)</f>
        <v>#REF!</v>
      </c>
      <c r="E54" s="4070" t="str">
        <f>IF(G54="2016年5月1日之前项目","差额计税","进销项计算")</f>
        <v>进销项计算</v>
      </c>
      <c r="F54" s="1959">
        <f>IF(G54="2016年5月1日之前项目",5%,9%)</f>
        <v>0.09</v>
      </c>
      <c r="G54" s="4022"/>
      <c r="H54" s="1961"/>
      <c r="I54" s="1375"/>
      <c r="J54" s="1940">
        <v>3</v>
      </c>
      <c r="K54" s="4308" t="s">
        <v>1343</v>
      </c>
      <c r="L54" s="4308"/>
      <c r="M54" s="4091" t="e">
        <f t="shared" ca="1" si="0"/>
        <v>#REF!</v>
      </c>
      <c r="N54" s="1940" t="str">
        <f t="shared" si="0"/>
        <v>增值额×税（费）率</v>
      </c>
      <c r="O54" s="4094" t="str">
        <f t="shared" si="0"/>
        <v>免征</v>
      </c>
      <c r="P54" s="62"/>
      <c r="R54" s="3857" t="s">
        <v>3698</v>
      </c>
      <c r="S54" s="3856" t="s">
        <v>3701</v>
      </c>
    </row>
    <row r="55" spans="1:35" ht="24" customHeight="1">
      <c r="A55" s="4361" t="s">
        <v>1344</v>
      </c>
      <c r="B55" s="4348"/>
      <c r="C55" s="4348"/>
      <c r="D55" s="4029" t="e">
        <f ca="1">IF(H55="个人住宅",0,ROUND(D45*I55,0))</f>
        <v>#REF!</v>
      </c>
      <c r="E55" s="971" t="s">
        <v>1345</v>
      </c>
      <c r="F55" s="1959" t="str">
        <f>IF(H55="正常",I55,"免征")</f>
        <v>免征</v>
      </c>
      <c r="G55" s="1960"/>
      <c r="H55" s="1958"/>
      <c r="I55" s="82">
        <f>'数据-取费表'!B50</f>
        <v>5.0000000000000001E-4</v>
      </c>
      <c r="J55" s="1940">
        <f>IF(H59="非个人房产","",4)</f>
        <v>4</v>
      </c>
      <c r="K55" s="4308" t="str">
        <f>IF(H59="非个人房产","——","个人所得税")</f>
        <v>个人所得税</v>
      </c>
      <c r="L55" s="4308"/>
      <c r="M55" s="4092" t="e">
        <f ca="1">D59</f>
        <v>#REF!</v>
      </c>
      <c r="N55" s="1558" t="str">
        <f>E59</f>
        <v>差额计税</v>
      </c>
      <c r="O55" s="4095">
        <f>F59</f>
        <v>0.01</v>
      </c>
      <c r="R55" s="3857" t="s">
        <v>3699</v>
      </c>
      <c r="S55" s="3856" t="s">
        <v>3702</v>
      </c>
    </row>
    <row r="56" spans="1:35" ht="24.75">
      <c r="A56" s="4361" t="s">
        <v>1346</v>
      </c>
      <c r="B56" s="4348"/>
      <c r="C56" s="4348"/>
      <c r="D56" s="4029" t="e">
        <f ca="1">IF(H56="个人住宅",D57,IF(H56="正常",D58,ROUND(D45*F56,0)))</f>
        <v>#REF!</v>
      </c>
      <c r="E56" s="971" t="s">
        <v>1347</v>
      </c>
      <c r="F56" s="1959" t="str">
        <f>IF(H56="正常",F58,IF(H56="按预征率计算",5%,"免征"))</f>
        <v>免征</v>
      </c>
      <c r="G56" s="1962" t="s">
        <v>1348</v>
      </c>
      <c r="H56" s="1963"/>
      <c r="I56" s="1376"/>
      <c r="J56" s="1940" t="str">
        <f>IF(项目基本情况!K6="上海银行",IF(J55="",4,J55+1),"")</f>
        <v/>
      </c>
      <c r="K56" s="4279" t="str">
        <f>IF(项目基本情况!K6="上海银行","其他处置费用","")</f>
        <v/>
      </c>
      <c r="L56" s="4280"/>
      <c r="M56" s="4091" t="str">
        <f>IF(项目基本情况!K6="上海银行",M69,"")</f>
        <v/>
      </c>
      <c r="N56" s="4279" t="str">
        <f>IF(项目基本情况!K6="上海银行","包含处置中涉及的律师、诉讼、拍卖、评估等费用","")</f>
        <v/>
      </c>
      <c r="O56" s="4283"/>
      <c r="R56" s="3856"/>
      <c r="S56" s="3856" t="s">
        <v>3703</v>
      </c>
    </row>
    <row r="57" spans="1:35" ht="12.75">
      <c r="A57" s="1789" t="s">
        <v>1325</v>
      </c>
      <c r="B57" s="4331" t="s">
        <v>1349</v>
      </c>
      <c r="C57" s="4332"/>
      <c r="D57" s="4026">
        <v>0</v>
      </c>
      <c r="E57" s="225" t="s">
        <v>1327</v>
      </c>
      <c r="F57" s="204"/>
      <c r="G57" s="1960"/>
      <c r="H57" s="1964"/>
      <c r="I57" s="1376"/>
      <c r="J57" s="4308">
        <f>IF(AND(J55="",J56=""),4,IF(项目基本情况!K6="上海银行",结果表!J56+1,结果表!J55+1))</f>
        <v>5</v>
      </c>
      <c r="K57" s="4308" t="s">
        <v>1350</v>
      </c>
      <c r="L57" s="1942" t="s">
        <v>1351</v>
      </c>
      <c r="M57" s="1943"/>
      <c r="N57" s="2745">
        <f ca="1">SUMIF(M52:M56,"&lt;9e307")</f>
        <v>0</v>
      </c>
      <c r="O57" s="1944"/>
      <c r="P57" s="2046" t="e">
        <f ca="1">N57/M49</f>
        <v>#REF!</v>
      </c>
      <c r="R57" s="4371" t="s">
        <v>3750</v>
      </c>
      <c r="S57" s="4372"/>
    </row>
    <row r="58" spans="1:35" ht="24.75">
      <c r="A58" s="1789" t="s">
        <v>1336</v>
      </c>
      <c r="B58" s="4331" t="s">
        <v>1352</v>
      </c>
      <c r="C58" s="4330"/>
      <c r="D58" s="4029" t="e">
        <f ca="1">IF(H58="转让取得",C81,C97)</f>
        <v>#REF!</v>
      </c>
      <c r="E58" s="971" t="s">
        <v>1347</v>
      </c>
      <c r="F58" s="204" t="s">
        <v>26</v>
      </c>
      <c r="G58" s="1960"/>
      <c r="H58" s="1963"/>
      <c r="I58" s="1376"/>
      <c r="J58" s="4308"/>
      <c r="K58" s="4308"/>
      <c r="L58" s="1942" t="s">
        <v>1353</v>
      </c>
      <c r="M58" s="1945"/>
      <c r="N58" s="1946" t="str">
        <f ca="1">NUMBERSTRING(INT(N57*10000),2)&amp;"元整"</f>
        <v>零元整</v>
      </c>
      <c r="O58" s="1947"/>
      <c r="R58" s="4373"/>
      <c r="S58" s="4374"/>
    </row>
    <row r="59" spans="1:35" ht="24.75" thickBot="1">
      <c r="A59" s="4311" t="s">
        <v>1354</v>
      </c>
      <c r="B59" s="4312"/>
      <c r="C59" s="4312"/>
      <c r="D59" s="4030" t="e">
        <f ca="1">IF(H59="非个人房产","——",IF(H59="个人住宅（满五唯一有凭证）",0,IF(H59="个人其他（无凭证）",ROUND(D45/(1+'数据-取费表'!C43)*F59,0),ROUND(C67*F59,0))))</f>
        <v>#REF!</v>
      </c>
      <c r="E59" s="3596" t="str">
        <f>IF(H59="非个人房产","——",IF(H59="个人其他（无凭证）","销售额×税（费）率",IF(H59="个人住宅（满五唯一有凭证）","免征","差额计税")))</f>
        <v>差额计税</v>
      </c>
      <c r="F59" s="3852">
        <f>IF(OR(H59="非个人房产",H59="个人住宅（满五唯一有凭证）"),"——",IF(H59="个人其他（有凭证）",20%,1%))</f>
        <v>0.01</v>
      </c>
      <c r="G59" s="1965" t="s">
        <v>1348</v>
      </c>
      <c r="H59" s="3853"/>
      <c r="I59" s="3854" t="s">
        <v>2053</v>
      </c>
      <c r="J59" s="4309">
        <f>J57+1</f>
        <v>6</v>
      </c>
      <c r="K59" s="4308" t="s">
        <v>1355</v>
      </c>
      <c r="L59" s="1940" t="s">
        <v>1351</v>
      </c>
      <c r="M59" s="1948"/>
      <c r="N59" s="2746" t="e">
        <f ca="1">M49-N57</f>
        <v>#REF!</v>
      </c>
      <c r="O59" s="1949"/>
      <c r="R59" s="3855" t="s">
        <v>3705</v>
      </c>
      <c r="S59" s="3855" t="s">
        <v>3706</v>
      </c>
    </row>
    <row r="60" spans="1:35" ht="12" customHeight="1" thickBot="1">
      <c r="A60" s="1377"/>
      <c r="B60" s="492"/>
      <c r="C60" s="492"/>
      <c r="D60" s="492"/>
      <c r="E60" s="1183"/>
      <c r="F60" s="1376"/>
      <c r="G60" s="1376"/>
      <c r="H60" s="77"/>
      <c r="I60" s="62"/>
      <c r="J60" s="4310"/>
      <c r="K60" s="4308"/>
      <c r="L60" s="1942" t="s">
        <v>1353</v>
      </c>
      <c r="M60" s="1945"/>
      <c r="N60" s="1946" t="e">
        <f ca="1">NUMBERSTRING(INT(N59*10000),2)&amp;"元整"</f>
        <v>#REF!</v>
      </c>
      <c r="O60" s="1947"/>
      <c r="R60" s="3855" t="s">
        <v>3707</v>
      </c>
      <c r="S60" s="3855" t="s">
        <v>3749</v>
      </c>
    </row>
    <row r="61" spans="1:35" ht="14.25" thickBot="1">
      <c r="A61" s="4378" t="s">
        <v>3747</v>
      </c>
      <c r="B61" s="4379"/>
      <c r="C61" s="4379"/>
      <c r="D61" s="4379"/>
      <c r="E61" s="4079"/>
      <c r="F61" s="4368" t="s">
        <v>3748</v>
      </c>
      <c r="G61" s="4369"/>
      <c r="H61" s="4369"/>
      <c r="I61" s="4370"/>
      <c r="J61" s="4023">
        <f>J59+1</f>
        <v>7</v>
      </c>
      <c r="K61" s="4308" t="s">
        <v>1356</v>
      </c>
      <c r="L61" s="4308"/>
      <c r="M61" s="1950"/>
      <c r="N61" s="2747" t="e">
        <f ca="1">ROUND(N59*10000/'数据-汇总表'!E3,0)</f>
        <v>#REF!</v>
      </c>
      <c r="O61" s="1951"/>
    </row>
    <row r="62" spans="1:35" ht="13.5" customHeight="1">
      <c r="A62" s="4086" t="s">
        <v>3761</v>
      </c>
      <c r="B62" s="4087" t="s">
        <v>3762</v>
      </c>
      <c r="C62" s="2513" t="s">
        <v>3760</v>
      </c>
      <c r="D62" s="4073" t="s">
        <v>3751</v>
      </c>
      <c r="E62" s="4080" t="s">
        <v>3753</v>
      </c>
      <c r="F62" s="4098" t="s">
        <v>3763</v>
      </c>
      <c r="G62" s="4099" t="s">
        <v>3742</v>
      </c>
      <c r="H62" s="4100" t="s">
        <v>3764</v>
      </c>
      <c r="I62" s="4101" t="s">
        <v>3744</v>
      </c>
    </row>
    <row r="63" spans="1:35" ht="12.75">
      <c r="A63" s="88" t="s">
        <v>328</v>
      </c>
      <c r="B63" s="4082" t="s">
        <v>3755</v>
      </c>
      <c r="C63" s="4088" t="e">
        <f ca="1">ROUND(C64+C65,0)</f>
        <v>#REF!</v>
      </c>
      <c r="D63" s="4074"/>
      <c r="E63" s="4375" t="s">
        <v>3752</v>
      </c>
      <c r="F63" s="1789">
        <v>1</v>
      </c>
      <c r="G63" s="2961" t="s">
        <v>3739</v>
      </c>
      <c r="H63" s="4102" t="e">
        <f ca="1">H64-H66</f>
        <v>#REF!</v>
      </c>
      <c r="I63" s="2888"/>
      <c r="J63" s="4281" t="s">
        <v>1360</v>
      </c>
      <c r="K63" s="960" t="s">
        <v>1361</v>
      </c>
      <c r="L63" s="4096" t="e">
        <f ca="1">IF(M49&gt;10000,M49*0.5%,IF(AND(M49&gt;1000,M49&lt;=10000),M49*1%,IF(AND(M49&gt;100,M49&lt;=1000),M49*3%,IF(AND(M49&gt;10,M49&lt;=100),M49*5%,M49*8%))))</f>
        <v>#REF!</v>
      </c>
      <c r="M63" s="2910" t="e">
        <f ca="1">ROUND(L63,1)</f>
        <v>#REF!</v>
      </c>
      <c r="N63" s="1952"/>
      <c r="Z63" s="1332"/>
      <c r="AI63" s="1275"/>
    </row>
    <row r="64" spans="1:35" ht="14.25" customHeight="1">
      <c r="A64" s="84" t="s">
        <v>323</v>
      </c>
      <c r="B64" s="4083" t="s">
        <v>3756</v>
      </c>
      <c r="C64" s="4071" t="e">
        <f ca="1">D45</f>
        <v>#REF!</v>
      </c>
      <c r="D64" s="4075"/>
      <c r="E64" s="4376"/>
      <c r="F64" s="1789">
        <v>2</v>
      </c>
      <c r="G64" s="2961" t="s">
        <v>3740</v>
      </c>
      <c r="H64" s="4102" t="e">
        <f ca="1">ROUND(H65*I64/(1+I64),0)</f>
        <v>#REF!</v>
      </c>
      <c r="I64" s="4103">
        <v>0.09</v>
      </c>
      <c r="J64" s="4281"/>
      <c r="K64" s="960" t="s">
        <v>1362</v>
      </c>
      <c r="L64" s="4096" t="e">
        <f ca="1">IF(M49&gt;2000,M49*0.5%,IF(AND(M49&gt;1000,M49&lt;=2000),M49*0.6%,IF(AND(M49&gt;500,M49&lt;=1000),M49*0.7%,IF(AND(M49&gt;200,M49&lt;=500),M49*0.8%,IF(AND(M49&gt;100,M49&lt;=200),M49*0.9%,IF(AND(M49&gt;50,M49&lt;=100),M49*1%,IF(AND(M49&gt;20,M49&lt;=50),M49*1.5%,IF(AND(M49&gt;10,M49&lt;=20),M49*2%,IF(AND(M49&gt;1,M49&lt;=10),M49*2.5%)))))))))</f>
        <v>#REF!</v>
      </c>
      <c r="M64" s="2910" t="e">
        <f t="shared" ref="M64:M65" ca="1" si="1">ROUND(L64,1)</f>
        <v>#REF!</v>
      </c>
      <c r="N64" s="1953" t="s">
        <v>1363</v>
      </c>
      <c r="Z64" s="1332"/>
      <c r="AI64" s="1275"/>
    </row>
    <row r="65" spans="1:35" ht="14.25" customHeight="1">
      <c r="A65" s="84" t="s">
        <v>324</v>
      </c>
      <c r="B65" s="4083" t="s">
        <v>3757</v>
      </c>
      <c r="C65" s="4072"/>
      <c r="D65" s="4076"/>
      <c r="E65" s="4376"/>
      <c r="F65" s="84" t="s">
        <v>323</v>
      </c>
      <c r="G65" s="4104" t="s">
        <v>3743</v>
      </c>
      <c r="H65" s="4102" t="e">
        <f ca="1">D45</f>
        <v>#REF!</v>
      </c>
      <c r="I65" s="2888"/>
      <c r="J65" s="4281"/>
      <c r="K65" s="960" t="s">
        <v>1364</v>
      </c>
      <c r="L65" s="4096" t="e">
        <f ca="1">IF(M49&gt;1000,M49*0.1%,IF(AND(M49&gt;500,M49&lt;=1000),M49*0.5%,IF(AND(M49&gt;50,M49&lt;=500),M49*1%,IF(AND(M49&gt;1,M49&lt;=50),M49*1.5%))))</f>
        <v>#REF!</v>
      </c>
      <c r="M65" s="2910" t="e">
        <f t="shared" ca="1" si="1"/>
        <v>#REF!</v>
      </c>
      <c r="N65" s="1953" t="s">
        <v>1363</v>
      </c>
      <c r="Z65" s="1332"/>
      <c r="AI65" s="1275"/>
    </row>
    <row r="66" spans="1:35" ht="14.25" customHeight="1">
      <c r="A66" s="88" t="s">
        <v>325</v>
      </c>
      <c r="B66" s="4084" t="s">
        <v>3758</v>
      </c>
      <c r="C66" s="4089"/>
      <c r="D66" s="4077"/>
      <c r="E66" s="4376"/>
      <c r="F66" s="2563">
        <v>3</v>
      </c>
      <c r="G66" s="2961" t="s">
        <v>3741</v>
      </c>
      <c r="H66" s="2911">
        <f>ROUND(H67*I67,0)+ROUND(H68*I68,0)</f>
        <v>0</v>
      </c>
      <c r="I66" s="2888"/>
      <c r="J66" s="4281"/>
      <c r="K66" s="960" t="s">
        <v>1365</v>
      </c>
      <c r="L66" s="4096" t="e">
        <f ca="1">M49*0.5%</f>
        <v>#REF!</v>
      </c>
      <c r="M66" s="2910" t="e">
        <f ca="1">IF(L66&gt;0.5,0.5,ROUND(L66,0))</f>
        <v>#REF!</v>
      </c>
      <c r="N66" s="1953" t="s">
        <v>1366</v>
      </c>
      <c r="Z66" s="1332"/>
      <c r="AI66" s="1275"/>
    </row>
    <row r="67" spans="1:35" ht="14.25" customHeight="1">
      <c r="A67" s="88" t="s">
        <v>326</v>
      </c>
      <c r="B67" s="4081" t="s">
        <v>3754</v>
      </c>
      <c r="C67" s="4071" t="e">
        <f ca="1">C63-C66</f>
        <v>#REF!</v>
      </c>
      <c r="D67" s="4076"/>
      <c r="E67" s="4376"/>
      <c r="F67" s="84" t="s">
        <v>323</v>
      </c>
      <c r="G67" s="4104" t="s">
        <v>3745</v>
      </c>
      <c r="H67" s="2916"/>
      <c r="I67" s="4103">
        <v>0.09</v>
      </c>
      <c r="J67" s="4281"/>
      <c r="K67" s="960" t="s">
        <v>1367</v>
      </c>
      <c r="L67" s="4096" t="e">
        <f ca="1">IF(M49&gt;=10000,(8.25+(M49-10000)*0.01%),IF(AND(M49&gt;=8000,M49&lt;10000),(7.85+(M49-8000)*0.02%),IF(AND(M49&gt;=5000,M49&lt;8000),(6.65+(M49-5000)*0.04%),IF(AND(M49&gt;=2000,M49&lt;5000),(4.25+(PM49-2000)*0.08%),IF(AND(M49&gt;=1000,M49&lt;2000),(2.75+(M49-1000)*0.15%),IF(AND(M49&gt;=100,M49&lt;1000),(0.5+(M49-100)*0.25%),IF(AND(M49&gt;0,M49&lt;100),M49*0.5%)))))))</f>
        <v>#REF!</v>
      </c>
      <c r="M67" s="2910" t="e">
        <f ca="1">ROUND(L67*0.9,1)</f>
        <v>#REF!</v>
      </c>
      <c r="N67" s="1952"/>
      <c r="Z67" s="1332"/>
      <c r="AI67" s="1275"/>
    </row>
    <row r="68" spans="1:35" ht="14.25" customHeight="1" thickBot="1">
      <c r="A68" s="90" t="s">
        <v>327</v>
      </c>
      <c r="B68" s="4085" t="s">
        <v>3759</v>
      </c>
      <c r="C68" s="4090" t="e">
        <f ca="1">IF(C67&lt;=0,0,ROUND(C67*D68,0))</f>
        <v>#REF!</v>
      </c>
      <c r="D68" s="4078">
        <v>0.05</v>
      </c>
      <c r="E68" s="4377"/>
      <c r="F68" s="4097" t="s">
        <v>324</v>
      </c>
      <c r="G68" s="4105" t="s">
        <v>3746</v>
      </c>
      <c r="H68" s="2921"/>
      <c r="I68" s="4106">
        <v>0.06</v>
      </c>
      <c r="J68" s="4281"/>
      <c r="K68" s="960" t="s">
        <v>1368</v>
      </c>
      <c r="L68" s="4096" t="e">
        <f ca="1">IF(M49&gt;10000,M49*0.5%,IF(AND(M49&gt;5000,M49&lt;=10000),M49*1%,IF(AND(M49&gt;1000,M49&lt;=5000),M49*2%,IF(AND(M49&gt;200,M49&lt;=1000),M49*3%,M49*5%))))</f>
        <v>#REF!</v>
      </c>
      <c r="M68" s="2910" t="e">
        <f ca="1">ROUND(L68,1)</f>
        <v>#REF!</v>
      </c>
      <c r="N68" s="1952"/>
      <c r="Z68" s="1332"/>
      <c r="AI68" s="1275"/>
    </row>
    <row r="69" spans="1:35" ht="16.5" customHeight="1">
      <c r="A69" s="1378"/>
      <c r="B69" s="1379"/>
      <c r="C69" s="1380"/>
      <c r="D69" s="1381"/>
      <c r="E69" s="1382"/>
      <c r="F69" s="1183"/>
      <c r="G69" s="1183"/>
      <c r="H69" s="1184"/>
      <c r="I69" s="492"/>
      <c r="J69" s="4282"/>
      <c r="K69" s="960" t="s">
        <v>1369</v>
      </c>
      <c r="L69" s="4096"/>
      <c r="M69" s="2910" t="e">
        <f ca="1">ROUND(SUM(M63:M68),0)</f>
        <v>#REF!</v>
      </c>
      <c r="N69" s="1954" t="e">
        <f ca="1">M69/M49</f>
        <v>#REF!</v>
      </c>
      <c r="Z69" s="1332"/>
      <c r="AI69" s="1275"/>
    </row>
    <row r="70" spans="1:35" s="491" customFormat="1" ht="15" thickBot="1">
      <c r="A70" s="4334" t="s">
        <v>1370</v>
      </c>
      <c r="B70" s="4335"/>
      <c r="C70" s="4335"/>
      <c r="D70" s="4335"/>
      <c r="E70" s="4335"/>
      <c r="F70" s="4335"/>
      <c r="G70" s="4335"/>
      <c r="H70" s="4335"/>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26" t="s">
        <v>1357</v>
      </c>
      <c r="B71" s="4327"/>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t="e">
        <f ca="1">ROUND(D45/(1+D72),0)</f>
        <v>#REF!</v>
      </c>
      <c r="D72" s="4024">
        <v>0.09</v>
      </c>
      <c r="E72" s="9" t="s">
        <v>3737</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t="e">
        <f ca="1">C74+C78</f>
        <v>#REF!</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8">
        <f>ROUND(IF(G77="2016年5月1日后购买",C75/(1+D72)+C76+C77,C75+C76+C77),0)</f>
        <v>0</v>
      </c>
      <c r="D74" s="4025" t="s">
        <v>24</v>
      </c>
      <c r="E74" s="9" t="s">
        <v>3737</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8">
        <f>IF(F75="购房发票",ROUND(C75*H75*D76,0),0)</f>
        <v>0</v>
      </c>
      <c r="D76" s="4050">
        <v>0.05</v>
      </c>
      <c r="E76" s="4331" t="s">
        <v>1378</v>
      </c>
      <c r="F76" s="4330"/>
      <c r="G76" s="4330"/>
      <c r="H76" s="4333"/>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8">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8" t="e">
        <f ca="1">ROUND(C72*D78,0)</f>
        <v>#REF!</v>
      </c>
      <c r="D78" s="4052">
        <f>'数据-取费表'!B44</f>
        <v>0.12000000000000001</v>
      </c>
      <c r="E78" s="4323" t="s">
        <v>1382</v>
      </c>
      <c r="F78" s="4324"/>
      <c r="G78" s="4324"/>
      <c r="H78" s="4325"/>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t="e">
        <f ca="1">C72-C73</f>
        <v>#REF!</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t="e">
        <f ca="1">IF(C79&lt;=0,0,C79/C73)</f>
        <v>#REF!</v>
      </c>
      <c r="D80" s="4025" t="s">
        <v>24</v>
      </c>
      <c r="E80" s="9" t="e">
        <f ca="1">IF(C80&gt;=200%,"增值额超过扣除项目金额200%",IF(C80&gt;=100%,"增值额超过扣除项目金额100%，未超过200%",IF(C80&gt;=50%,"增值额超过扣除项目金额50%，未超过100%",IF(C80&lt;50%,"增值额未超过扣除项目金额50%"))))</f>
        <v>#REF!</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t="e">
        <f ca="1">ROUND(IF(C79&lt;=0,0,IF(C80&gt;=200%,C79*60%-C73*35%,IF(C80&gt;=100%,C79*50%-C73*15%,IF(C80&gt;=50%,C79*40%-C73*5%,IF(C80&lt;50%,C79*30%,0))))),0)</f>
        <v>#REF!</v>
      </c>
      <c r="D81" s="4054" t="s">
        <v>24</v>
      </c>
      <c r="E81" s="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34" t="s">
        <v>1386</v>
      </c>
      <c r="B83" s="4335"/>
      <c r="C83" s="4335"/>
      <c r="D83" s="4335"/>
      <c r="E83" s="4335"/>
      <c r="F83" s="4335"/>
      <c r="G83" s="4335"/>
      <c r="H83" s="4335"/>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26" t="s">
        <v>1357</v>
      </c>
      <c r="B84" s="4327"/>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t="e">
        <f ca="1">ROUND(D45/(1+D85),0)</f>
        <v>#REF!</v>
      </c>
      <c r="D85" s="4024">
        <v>0.09</v>
      </c>
      <c r="E85" s="9" t="s">
        <v>3737</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t="e">
        <f ca="1">IF(H88="仅含出让金",C87+C90+C91+C92+C93+C94,C87+C91+C92+C93+C94)</f>
        <v>#REF!</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8">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3735</v>
      </c>
      <c r="I88" s="1387"/>
      <c r="J88" s="1938" t="s">
        <v>2195</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8">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284" t="s">
        <v>2045</v>
      </c>
      <c r="H90" s="4285"/>
      <c r="I90" s="1387"/>
      <c r="J90" s="1938" t="s">
        <v>2196</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8">
        <f>IF(H91="——",成本法!C9,I91)</f>
        <v>0</v>
      </c>
      <c r="D91" s="4052"/>
      <c r="E91" s="4323" t="s">
        <v>1395</v>
      </c>
      <c r="F91" s="4324"/>
      <c r="G91" s="4324"/>
      <c r="H91" s="4016" t="s">
        <v>3733</v>
      </c>
      <c r="I91" s="2750"/>
      <c r="J91" s="1384" t="s">
        <v>3734</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8">
        <f>ROUND((C87+C90+C91)*D92,0)</f>
        <v>0</v>
      </c>
      <c r="D92" s="4056"/>
      <c r="E92" s="4323" t="s">
        <v>1398</v>
      </c>
      <c r="F92" s="4324"/>
      <c r="G92" s="4324"/>
      <c r="H92" s="4325"/>
      <c r="I92" s="1387"/>
      <c r="J92" s="1939" t="s">
        <v>2197</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8" t="e">
        <f ca="1">ROUND(C85*D93,0)</f>
        <v>#REF!</v>
      </c>
      <c r="D93" s="4052">
        <f>'数据-取费表'!B44</f>
        <v>0.12000000000000001</v>
      </c>
      <c r="E93" s="4362" t="s">
        <v>3736</v>
      </c>
      <c r="F93" s="4324"/>
      <c r="G93" s="4324"/>
      <c r="H93" s="4325"/>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363" t="s">
        <v>1402</v>
      </c>
      <c r="F94" s="4364"/>
      <c r="G94" s="4364"/>
      <c r="H94" s="4365"/>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t="e">
        <f ca="1">ROUND(C85-C86,0)</f>
        <v>#REF!</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t="e">
        <f ca="1">IF(C95&lt;=0,0,C95/C86)</f>
        <v>#REF!</v>
      </c>
      <c r="D96" s="4025" t="s">
        <v>24</v>
      </c>
      <c r="E96" s="9" t="e">
        <f ca="1">IF(C96&gt;=200%,"增值额超过扣除项目金额200%",IF(C96&gt;=100%,"增值额超过扣除项目金额100%，未超过200%",IF(C96&gt;=50%,"增值额超过扣除项目金额50%，未超过100%",IF(C96&lt;50%,"增值额未超过扣除项目金额50%"))))</f>
        <v>#REF!</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t="e">
        <f ca="1">ROUND(IF(C95&lt;=0,0,IF(C96&gt;=200%,C95*60%-C86*35%,IF(C96&gt;=100%,C95*50%-C86*15%,IF(C96&gt;=50%,C95*40%-C86*5%,IF(C96&lt;50%,C95*30%,0))))),0)</f>
        <v>#REF!</v>
      </c>
      <c r="D97" s="4054" t="s">
        <v>24</v>
      </c>
      <c r="E97" s="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64" t="s">
        <v>1404</v>
      </c>
      <c r="B100" s="4265"/>
      <c r="C100" s="4265"/>
      <c r="D100" s="4286"/>
      <c r="E100" s="4265" t="s">
        <v>1405</v>
      </c>
      <c r="F100" s="4265"/>
      <c r="G100" s="4265"/>
      <c r="H100" s="4286"/>
      <c r="I100" s="62"/>
    </row>
    <row r="101" spans="1:35" ht="18.75" customHeight="1">
      <c r="A101" s="4316" t="s">
        <v>1406</v>
      </c>
      <c r="B101" s="4317"/>
      <c r="C101" s="1970">
        <f>C4</f>
        <v>0</v>
      </c>
      <c r="D101" s="1971">
        <f>D4</f>
        <v>0</v>
      </c>
      <c r="E101" s="4277" t="s">
        <v>1407</v>
      </c>
      <c r="F101" s="4278"/>
      <c r="G101" s="1391" t="s">
        <v>1408</v>
      </c>
      <c r="H101" s="2773" t="e">
        <f ca="1">H118</f>
        <v>#REF!</v>
      </c>
      <c r="I101" s="62"/>
    </row>
    <row r="102" spans="1:35" ht="18.75" customHeight="1">
      <c r="A102" s="4318" t="s">
        <v>1409</v>
      </c>
      <c r="B102" s="1969" t="s">
        <v>1408</v>
      </c>
      <c r="C102" s="4057" t="e">
        <f ca="1">IF(D32="楼面单价",ROUND(C19,0),C19)</f>
        <v>#REF!</v>
      </c>
      <c r="D102" s="4058" t="e">
        <f ca="1">IF(D32="楼面单价",ROUND(D19,0),D19)</f>
        <v>#REF!</v>
      </c>
      <c r="E102" s="4277"/>
      <c r="F102" s="4278"/>
      <c r="G102" s="1391" t="s">
        <v>1410</v>
      </c>
      <c r="H102" s="3878" t="e">
        <f ca="1">I118</f>
        <v>#REF!</v>
      </c>
      <c r="I102" s="62"/>
    </row>
    <row r="103" spans="1:35" ht="42.75" customHeight="1">
      <c r="A103" s="4318"/>
      <c r="B103" s="1969" t="s">
        <v>1410</v>
      </c>
      <c r="C103" s="4059" t="e">
        <f ca="1">C20</f>
        <v>#REF!</v>
      </c>
      <c r="D103" s="4060" t="e">
        <f ca="1">D20</f>
        <v>#REF!</v>
      </c>
      <c r="E103" s="4270" t="s">
        <v>1411</v>
      </c>
      <c r="F103" s="4271"/>
      <c r="G103" s="1392" t="s">
        <v>1412</v>
      </c>
      <c r="H103" s="2773">
        <f>IF(D36="正常操作",H104+H105+H106,H105+H106)</f>
        <v>0</v>
      </c>
      <c r="I103" s="62"/>
    </row>
    <row r="104" spans="1:35" ht="18.75" customHeight="1">
      <c r="A104" s="4318" t="s">
        <v>1413</v>
      </c>
      <c r="B104" s="1972" t="s">
        <v>1408</v>
      </c>
      <c r="C104" s="4061" t="e">
        <f ca="1">H118</f>
        <v>#REF!</v>
      </c>
      <c r="D104" s="4062"/>
      <c r="E104" s="1269" t="s">
        <v>1414</v>
      </c>
      <c r="F104" s="1266"/>
      <c r="G104" s="1392" t="s">
        <v>1412</v>
      </c>
      <c r="H104" s="4065">
        <f>IF(D36="同一抵押权人同一抵押物续贷",C36&amp;"（续贷，未扣减，详见特别提示）",C36)</f>
        <v>0</v>
      </c>
      <c r="I104" s="62"/>
    </row>
    <row r="105" spans="1:35" ht="18.75" customHeight="1" thickBot="1">
      <c r="A105" s="4328"/>
      <c r="B105" s="1973" t="s">
        <v>1410</v>
      </c>
      <c r="C105" s="4063" t="e">
        <f ca="1">I118</f>
        <v>#REF!</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0</v>
      </c>
      <c r="I106" s="62"/>
    </row>
    <row r="107" spans="1:35" ht="18.75" customHeight="1">
      <c r="A107" s="62"/>
      <c r="B107" s="62"/>
      <c r="C107" s="62"/>
      <c r="D107" s="62"/>
      <c r="E107" s="4319" t="str">
        <f>IF(项目基本情况!E8="已注销","——","3.房地产抵押价值")</f>
        <v>3.房地产抵押价值</v>
      </c>
      <c r="F107" s="4278"/>
      <c r="G107" s="1391" t="s">
        <v>1408</v>
      </c>
      <c r="H107" s="2773" t="e">
        <f ca="1">IF(E107="——","——",H101-H103)</f>
        <v>#REF!</v>
      </c>
      <c r="I107" s="62"/>
    </row>
    <row r="108" spans="1:35" ht="18.75" customHeight="1">
      <c r="A108" s="62"/>
      <c r="B108" s="62"/>
      <c r="C108" s="62"/>
      <c r="D108" s="62"/>
      <c r="E108" s="4319"/>
      <c r="F108" s="4278"/>
      <c r="G108" s="1391" t="s">
        <v>1410</v>
      </c>
      <c r="H108" s="3878" t="e">
        <f ca="1">IF(H107=H101,H102,ROUND(H107*10000/'数据-汇总表'!E3,0))</f>
        <v>#REF!</v>
      </c>
      <c r="I108" s="62"/>
    </row>
    <row r="109" spans="1:35" ht="18.75" customHeight="1">
      <c r="A109" s="62"/>
      <c r="B109" s="62"/>
      <c r="C109" s="62"/>
      <c r="D109" s="62"/>
      <c r="E109" s="4319" t="str">
        <f>IF(项目基本情况!E8="已注销及未注销","4.抵押担保权已注销时的房地产抵押价值",IF(项目基本情况!E8="已注销","3.抵押担保权已注销时的房地产抵押价值","——"))</f>
        <v>——</v>
      </c>
      <c r="F109" s="4278"/>
      <c r="G109" s="1391" t="s">
        <v>1408</v>
      </c>
      <c r="H109" s="3355" t="str">
        <f>IF(E109="——","——",H101-H105-H106)</f>
        <v>——</v>
      </c>
      <c r="I109" s="62"/>
    </row>
    <row r="110" spans="1:35" ht="18.75" customHeight="1">
      <c r="A110" s="62"/>
      <c r="B110" s="62"/>
      <c r="C110" s="62"/>
      <c r="D110" s="62"/>
      <c r="E110" s="4319"/>
      <c r="F110" s="4278"/>
      <c r="G110" s="1391" t="s">
        <v>1410</v>
      </c>
      <c r="H110" s="3878" t="str">
        <f>IF(H109="——","——",ROUND(H109*10000/'数据-汇总表'!E3,0))</f>
        <v>——</v>
      </c>
      <c r="I110" s="62"/>
    </row>
    <row r="111" spans="1:35" ht="18.75" customHeight="1">
      <c r="A111" s="62"/>
      <c r="B111" s="62"/>
      <c r="C111" s="62"/>
      <c r="D111" s="62"/>
      <c r="E111" s="4320" t="str">
        <f>IF(项目基本情况!E9="抵押净值",IF(OR(项目基本情况!E8="已注销",项目基本情况!E8="房地产抵押价值"),"4.抵押净值","5.抵押净值"),"——")</f>
        <v>——</v>
      </c>
      <c r="F111" s="4307"/>
      <c r="G111" s="1391" t="s">
        <v>1408</v>
      </c>
      <c r="H111" s="2773" t="str">
        <f>IF(E111="——","——",N59)</f>
        <v>——</v>
      </c>
      <c r="I111" s="62"/>
    </row>
    <row r="112" spans="1:35" ht="18.75" customHeight="1" thickBot="1">
      <c r="A112" s="62"/>
      <c r="B112" s="62"/>
      <c r="C112" s="62"/>
      <c r="D112" s="62"/>
      <c r="E112" s="4321"/>
      <c r="F112" s="4322"/>
      <c r="G112" s="1394" t="s">
        <v>1410</v>
      </c>
      <c r="H112" s="2789" t="str">
        <f>IF(E111="——","——",N61)</f>
        <v>——</v>
      </c>
      <c r="I112" s="62"/>
    </row>
    <row r="113" spans="1:27" ht="18.75" customHeight="1">
      <c r="A113" s="62"/>
      <c r="B113" s="62"/>
      <c r="C113" s="62"/>
      <c r="D113" s="62"/>
      <c r="E113" s="4329" t="s">
        <v>1416</v>
      </c>
      <c r="F113" s="4329"/>
      <c r="G113" s="4329"/>
      <c r="H113" s="4329"/>
      <c r="I113" s="62"/>
    </row>
    <row r="114" spans="1:27" ht="3.75" customHeight="1">
      <c r="A114" s="492"/>
      <c r="B114" s="492"/>
      <c r="C114" s="492"/>
      <c r="D114" s="492"/>
      <c r="E114" s="1377"/>
      <c r="F114" s="1377"/>
      <c r="G114" s="1377"/>
      <c r="H114" s="1377"/>
      <c r="I114" s="492"/>
    </row>
    <row r="115" spans="1:27" ht="18.75" customHeight="1">
      <c r="A115" s="4340" t="s">
        <v>1418</v>
      </c>
      <c r="B115" s="4341"/>
      <c r="C115" s="4341"/>
      <c r="D115" s="4341"/>
      <c r="E115" s="4341"/>
      <c r="F115" s="4341"/>
      <c r="G115" s="4341"/>
      <c r="H115" s="4341"/>
      <c r="I115" s="4342"/>
    </row>
    <row r="116" spans="1:27" ht="27" customHeight="1">
      <c r="A116" s="4287" t="s">
        <v>1419</v>
      </c>
      <c r="B116" s="4291" t="s">
        <v>1420</v>
      </c>
      <c r="C116" s="4291" t="s">
        <v>1421</v>
      </c>
      <c r="D116" s="4305" t="s">
        <v>1422</v>
      </c>
      <c r="E116" s="4306"/>
      <c r="F116" s="4336"/>
      <c r="G116" s="4336"/>
      <c r="H116" s="4287" t="s">
        <v>1423</v>
      </c>
      <c r="I116" s="4287"/>
      <c r="K116" s="3382"/>
      <c r="L116" s="3383" t="s">
        <v>3524</v>
      </c>
      <c r="M116" s="3383" t="s">
        <v>3525</v>
      </c>
      <c r="N116" s="3383" t="s">
        <v>3526</v>
      </c>
    </row>
    <row r="117" spans="1:27" ht="18.75" customHeight="1">
      <c r="A117" s="4287"/>
      <c r="B117" s="4292"/>
      <c r="C117" s="4292"/>
      <c r="D117" s="1787" t="s">
        <v>1424</v>
      </c>
      <c r="E117" s="1787" t="s">
        <v>1425</v>
      </c>
      <c r="F117" s="1787" t="s">
        <v>1424</v>
      </c>
      <c r="G117" s="1787" t="s">
        <v>1426</v>
      </c>
      <c r="H117" s="1787" t="s">
        <v>1424</v>
      </c>
      <c r="I117" s="1787" t="s">
        <v>1426</v>
      </c>
      <c r="K117" s="3383" t="s">
        <v>3522</v>
      </c>
      <c r="L117" s="4067" t="e">
        <f ca="1">C34</f>
        <v>#REF!</v>
      </c>
      <c r="M117" s="4068" t="e">
        <f ca="1">C35</f>
        <v>#REF!</v>
      </c>
      <c r="N117" s="4069" t="e">
        <f ca="1">C32</f>
        <v>#REF!</v>
      </c>
    </row>
    <row r="118" spans="1:27" ht="24.75" customHeight="1">
      <c r="A118" s="1974" t="str">
        <f>项目基本情况!S2</f>
        <v>北京市房地产</v>
      </c>
      <c r="B118" s="2790">
        <f>M18</f>
        <v>1048.8</v>
      </c>
      <c r="C118" s="2790">
        <f>M19</f>
        <v>0</v>
      </c>
      <c r="D118" s="2790" t="e">
        <f ca="1">ROUND(IF(D32="总价",L117,L119*B118/10000),0)</f>
        <v>#REF!</v>
      </c>
      <c r="E118" s="4066" t="e">
        <f ca="1">ROUND(IF(C33="自定义",IF(D32="楼面单价",L119,D118*10000/B118),I118-G118),0)</f>
        <v>#REF!</v>
      </c>
      <c r="F118" s="2790" t="e">
        <f ca="1">ROUND(IF(D32="总价",M117,M119*B118/10000),0)</f>
        <v>#REF!</v>
      </c>
      <c r="G118" s="4066" t="e">
        <f ca="1">ROUND(IF(D32="楼面单价",,F118*10000/B118),0)</f>
        <v>#REF!</v>
      </c>
      <c r="H118" s="2790" t="e">
        <f ca="1">ROUND(IF(D32="总价",C32,N119*B118/10000),0)</f>
        <v>#REF!</v>
      </c>
      <c r="I118" s="4066" t="e">
        <f ca="1">ROUND(IF(D32="楼面单价",C32,N117*10000/B118),0)</f>
        <v>#REF!</v>
      </c>
      <c r="K118" s="3382"/>
      <c r="L118" s="3382"/>
      <c r="M118" s="3382"/>
      <c r="N118" s="3382"/>
    </row>
    <row r="119" spans="1:27" ht="18.75" customHeight="1">
      <c r="A119" s="4287" t="s">
        <v>1427</v>
      </c>
      <c r="B119" s="4287"/>
      <c r="C119" s="4287"/>
      <c r="D119" s="4293" t="e">
        <f ca="1">NUMBERSTRING(INT(D118*10000),2)&amp;"元整"</f>
        <v>#REF!</v>
      </c>
      <c r="E119" s="4294"/>
      <c r="F119" s="4293" t="e">
        <f ca="1">NUMBERSTRING(INT(F118*10000),2)&amp;"元整"</f>
        <v>#REF!</v>
      </c>
      <c r="G119" s="4294"/>
      <c r="H119" s="4293" t="e">
        <f ca="1">NUMBERSTRING(INT(H118*10000),2)&amp;"元整"</f>
        <v>#REF!</v>
      </c>
      <c r="I119" s="4294"/>
      <c r="K119" s="3383" t="s">
        <v>3523</v>
      </c>
      <c r="L119" s="4068" t="e">
        <f ca="1">C34</f>
        <v>#REF!</v>
      </c>
      <c r="M119" s="4068" t="e">
        <f ca="1">C35</f>
        <v>#REF!</v>
      </c>
      <c r="N119" s="4069" t="e">
        <f ca="1">C32</f>
        <v>#REF!</v>
      </c>
    </row>
    <row r="120" spans="1:27" ht="18.75" customHeight="1">
      <c r="A120" s="4295" t="str">
        <f>IF(项目基本情况!B9="房地产市场价值","",MID(E103,3,LEN(E103)-2))</f>
        <v>估价师知悉的法定优先受偿款</v>
      </c>
      <c r="B120" s="4296"/>
      <c r="C120" s="4297"/>
      <c r="D120" s="4301">
        <f>H103</f>
        <v>0</v>
      </c>
      <c r="E120" s="4302"/>
      <c r="F120" s="4302"/>
      <c r="G120" s="4302"/>
      <c r="H120" s="4302"/>
      <c r="I120" s="4303"/>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37" t="s">
        <v>1427</v>
      </c>
      <c r="B121" s="4338"/>
      <c r="C121" s="4339"/>
      <c r="D121" s="4298" t="str">
        <f>IF(D120=0,"零元整",NUMBERSTRING(INT(D120*10000),2)&amp;"元整")</f>
        <v>零元整</v>
      </c>
      <c r="E121" s="4299"/>
      <c r="F121" s="4299"/>
      <c r="G121" s="4299"/>
      <c r="H121" s="4299"/>
      <c r="I121" s="4300"/>
      <c r="AA121" s="526"/>
    </row>
    <row r="122" spans="1:27" ht="18.75" customHeight="1">
      <c r="A122" s="4307" t="str">
        <f>IF(项目基本情况!B9="房地产市场价值","",MID(E107,3,LEN(E107)-2))</f>
        <v>房地产抵押价值</v>
      </c>
      <c r="B122" s="4307"/>
      <c r="C122" s="4307"/>
      <c r="D122" s="4288" t="e">
        <f ca="1">H107</f>
        <v>#REF!</v>
      </c>
      <c r="E122" s="4289"/>
      <c r="F122" s="4289"/>
      <c r="G122" s="4289"/>
      <c r="H122" s="4289"/>
      <c r="I122" s="4290"/>
      <c r="AA122" s="526"/>
    </row>
    <row r="123" spans="1:27" ht="18.75" customHeight="1">
      <c r="A123" s="4287" t="s">
        <v>1427</v>
      </c>
      <c r="B123" s="4287"/>
      <c r="C123" s="4287"/>
      <c r="D123" s="4298" t="e">
        <f ca="1">NUMBERSTRING(INT(D122*10000),2)&amp;"元整"</f>
        <v>#REF!</v>
      </c>
      <c r="E123" s="4299"/>
      <c r="F123" s="4299"/>
      <c r="G123" s="4299"/>
      <c r="H123" s="4299"/>
      <c r="I123" s="4300"/>
      <c r="AA123" s="526"/>
    </row>
    <row r="124" spans="1:27" ht="18.75" customHeight="1">
      <c r="A124" s="4307" t="str">
        <f>IF(项目基本情况!B9="房地产市场价值","",MID(E109,3,LEN(E109)-2))</f>
        <v/>
      </c>
      <c r="B124" s="4307"/>
      <c r="C124" s="4307"/>
      <c r="D124" s="4288" t="str">
        <f>H109</f>
        <v>——</v>
      </c>
      <c r="E124" s="4289"/>
      <c r="F124" s="4289"/>
      <c r="G124" s="4289"/>
      <c r="H124" s="4289"/>
      <c r="I124" s="4290"/>
      <c r="AA124" s="526"/>
    </row>
    <row r="125" spans="1:27" ht="18.75" customHeight="1">
      <c r="A125" s="4287" t="s">
        <v>1427</v>
      </c>
      <c r="B125" s="4287"/>
      <c r="C125" s="4287"/>
      <c r="D125" s="4298" t="e">
        <f>NUMBERSTRING(INT(D124*10000),2)&amp;"元整"</f>
        <v>#VALUE!</v>
      </c>
      <c r="E125" s="4299"/>
      <c r="F125" s="4299"/>
      <c r="G125" s="4299"/>
      <c r="H125" s="4299"/>
      <c r="I125" s="4300"/>
      <c r="AA125" s="526"/>
    </row>
    <row r="126" spans="1:27" ht="18.75" customHeight="1">
      <c r="A126" s="4307" t="str">
        <f>IF(项目基本情况!B9="房地产市场价值","",MID(E111,3,LEN(E111)-2))</f>
        <v/>
      </c>
      <c r="B126" s="4307"/>
      <c r="C126" s="4307"/>
      <c r="D126" s="4288" t="str">
        <f>H111</f>
        <v>——</v>
      </c>
      <c r="E126" s="4289"/>
      <c r="F126" s="4289"/>
      <c r="G126" s="4289"/>
      <c r="H126" s="4289"/>
      <c r="I126" s="4290"/>
      <c r="AA126" s="526"/>
    </row>
    <row r="127" spans="1:27" ht="18.75" customHeight="1">
      <c r="A127" s="4287" t="s">
        <v>1427</v>
      </c>
      <c r="B127" s="4287"/>
      <c r="C127" s="4287"/>
      <c r="D127" s="4298" t="e">
        <f>NUMBERSTRING(INT(D126*10000),2)&amp;"元整"</f>
        <v>#VALUE!</v>
      </c>
      <c r="E127" s="4299"/>
      <c r="F127" s="4299"/>
      <c r="G127" s="4299"/>
      <c r="H127" s="4299"/>
      <c r="I127" s="4300"/>
      <c r="AA127" s="526"/>
    </row>
    <row r="128" spans="1:27" ht="21.75" customHeight="1">
      <c r="A128" s="4304" t="s">
        <v>1428</v>
      </c>
      <c r="B128" s="4304"/>
      <c r="C128" s="4304"/>
      <c r="D128" s="4304"/>
      <c r="E128" s="4304"/>
      <c r="F128" s="4304"/>
      <c r="G128" s="4304"/>
      <c r="H128" s="4304"/>
      <c r="I128" s="4304"/>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1436</v>
      </c>
      <c r="B1" s="3072"/>
      <c r="C1" s="3774"/>
      <c r="D1" s="111"/>
      <c r="E1" s="111"/>
      <c r="F1" s="111"/>
      <c r="G1" s="819">
        <f>MATCH(B1,'数据-取费表'!A6:A16,0)+5</f>
        <v>7</v>
      </c>
    </row>
    <row r="2" spans="1:9" s="113" customFormat="1" ht="15.75">
      <c r="A2" s="114" t="s">
        <v>1437</v>
      </c>
      <c r="B2" s="2666">
        <f ca="1">IF(C1="含税",E2+C33,E2+C32)</f>
        <v>261</v>
      </c>
      <c r="C2" s="112" t="s">
        <v>1438</v>
      </c>
      <c r="D2" s="1415" t="s">
        <v>41</v>
      </c>
      <c r="E2" s="3865">
        <f ca="1">IF(D2="——",0,SUMIF(INDIRECT("'"&amp;G2&amp;"'"&amp;"!A:A"),"承租人权益价值",INDIRECT("'"&amp;G2&amp;"'"&amp;"!c:c")))</f>
        <v>0</v>
      </c>
      <c r="F2" s="1416" t="s">
        <v>1438</v>
      </c>
      <c r="G2" s="1417"/>
    </row>
    <row r="3" spans="1:9" s="113" customFormat="1" ht="16.5" thickBot="1">
      <c r="A3" s="116" t="s">
        <v>1439</v>
      </c>
      <c r="B3" s="2667">
        <f ca="1">ROUND(B2*10000/(IF(B1="",'数据-汇总表'!E3,INDIRECT("'数据-取费表'!k"&amp;$G$1))),0)</f>
        <v>2489</v>
      </c>
      <c r="C3" s="112" t="s">
        <v>1440</v>
      </c>
      <c r="D3" s="112"/>
      <c r="E3" s="2653"/>
      <c r="F3" s="112"/>
      <c r="G3" s="112"/>
    </row>
    <row r="4" spans="1:9" s="113" customFormat="1" ht="16.5" thickBot="1">
      <c r="A4" s="2714" t="s">
        <v>3345</v>
      </c>
      <c r="B4" s="2715" t="s">
        <v>3346</v>
      </c>
      <c r="C4" s="2650" t="s">
        <v>3347</v>
      </c>
      <c r="D4" s="2688" t="s">
        <v>3353</v>
      </c>
      <c r="E4" s="2689" t="s">
        <v>3354</v>
      </c>
      <c r="F4" s="2689" t="s">
        <v>3355</v>
      </c>
      <c r="G4" s="2651" t="s">
        <v>3348</v>
      </c>
    </row>
    <row r="5" spans="1:9" s="121" customFormat="1" ht="15.75">
      <c r="A5" s="2690" t="s">
        <v>3344</v>
      </c>
      <c r="B5" s="2691" t="s">
        <v>3349</v>
      </c>
      <c r="C5" s="2663">
        <f ca="1">ROUND((C6+C9+C21+C24+C25+C28)/(1-F22-C26-C29),0)</f>
        <v>406</v>
      </c>
      <c r="D5" s="2692"/>
      <c r="E5" s="2692"/>
      <c r="F5" s="2692"/>
      <c r="G5" s="2907" t="s">
        <v>3511</v>
      </c>
    </row>
    <row r="6" spans="1:9" s="2677" customFormat="1" ht="15">
      <c r="A6" s="2655" t="s">
        <v>3356</v>
      </c>
      <c r="B6" s="2718" t="s">
        <v>3357</v>
      </c>
      <c r="C6" s="2693">
        <f>C7+C8</f>
        <v>0</v>
      </c>
      <c r="D6" s="2654"/>
      <c r="E6" s="2654"/>
      <c r="F6" s="2654"/>
      <c r="G6" s="2694"/>
    </row>
    <row r="7" spans="1:9" s="127" customFormat="1">
      <c r="A7" s="2695" t="s">
        <v>1447</v>
      </c>
      <c r="B7" s="2719" t="s">
        <v>1448</v>
      </c>
      <c r="C7" s="3347"/>
      <c r="D7" s="2696"/>
      <c r="E7" s="2697"/>
      <c r="F7" s="2697"/>
      <c r="G7" s="174"/>
    </row>
    <row r="8" spans="1:9" s="127" customFormat="1">
      <c r="A8" s="2695" t="s">
        <v>1449</v>
      </c>
      <c r="B8" s="2719" t="s">
        <v>1450</v>
      </c>
      <c r="C8" s="2665">
        <f>ROUND(C7*F8,0)</f>
        <v>0</v>
      </c>
      <c r="D8" s="162"/>
      <c r="E8" s="2697"/>
      <c r="F8" s="2698">
        <f>IF(项目基本情况!B8="出让",0,'数据-取费表'!B49+'数据-取费表'!B50)</f>
        <v>3.0499999999999999E-2</v>
      </c>
      <c r="G8" s="174"/>
    </row>
    <row r="9" spans="1:9" s="2677" customFormat="1" ht="15">
      <c r="A9" s="2699" t="s">
        <v>336</v>
      </c>
      <c r="B9" s="2720" t="s">
        <v>3302</v>
      </c>
      <c r="C9" s="2678">
        <f ca="1">C10+C11+C12+C13+C19+C20</f>
        <v>350</v>
      </c>
      <c r="D9" s="2700"/>
      <c r="E9" s="2701"/>
      <c r="F9" s="2702"/>
      <c r="G9" s="2703"/>
      <c r="I9" s="127"/>
    </row>
    <row r="10" spans="1:9" s="127" customFormat="1">
      <c r="A10" s="2721" t="s">
        <v>344</v>
      </c>
      <c r="B10" s="2722" t="s">
        <v>3338</v>
      </c>
      <c r="C10" s="2665">
        <f ca="1">IF(B1="",IF(F10=100%,'数据-取费表'!M16,'数据-取费表'!O16),IF(F10=100%,INDIRECT("'数据-取费表'!m"&amp;$G$1)+INDIRECT("'数据-取费表'!t"&amp;$G$1),INDIRECT("'数据-取费表'!o"&amp;$G$1)+INDIRECT("'数据-取费表'!aq"&amp;$G$1)))</f>
        <v>288</v>
      </c>
      <c r="D10" s="2696"/>
      <c r="E10" s="162"/>
      <c r="F10" s="2704">
        <f ca="1">IF('数据-取费表'!B24=0,1,IF(B1="",'数据-取费表'!N16,INDIRECT("'数据-取费表'!n"&amp;$G$1)))</f>
        <v>1</v>
      </c>
      <c r="G10" s="174" t="s">
        <v>1475</v>
      </c>
    </row>
    <row r="11" spans="1:9" s="127" customFormat="1">
      <c r="A11" s="2721" t="s">
        <v>349</v>
      </c>
      <c r="B11" s="2722" t="s">
        <v>3339</v>
      </c>
      <c r="C11" s="2665">
        <f ca="1">ROUND(C10*F11,0)</f>
        <v>14</v>
      </c>
      <c r="D11" s="162"/>
      <c r="E11" s="162"/>
      <c r="F11" s="2676">
        <f>'数据-取费表'!B33</f>
        <v>0.05</v>
      </c>
      <c r="G11" s="3863" t="s">
        <v>3722</v>
      </c>
    </row>
    <row r="12" spans="1:9" s="127" customFormat="1">
      <c r="A12" s="2721" t="s">
        <v>350</v>
      </c>
      <c r="B12" s="2722" t="s">
        <v>3340</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1479</v>
      </c>
    </row>
    <row r="13" spans="1:9" s="127" customFormat="1">
      <c r="A13" s="2721" t="s">
        <v>3303</v>
      </c>
      <c r="B13" s="2722" t="s">
        <v>3341</v>
      </c>
      <c r="C13" s="2665">
        <f ca="1">C14+C17+C18</f>
        <v>42</v>
      </c>
      <c r="D13" s="162"/>
      <c r="E13" s="2697"/>
      <c r="F13" s="2698"/>
      <c r="G13" s="174"/>
    </row>
    <row r="14" spans="1:9" s="136" customFormat="1">
      <c r="A14" s="2648" t="s">
        <v>3304</v>
      </c>
      <c r="B14" s="2723" t="s">
        <v>3337</v>
      </c>
      <c r="C14" s="2665">
        <f>IF(G14="已包含在土地购买价格中","0",IF(B1="",'数据-取费表'!B29,IF(G15="全部缴纳",C15+C16,H15)))</f>
        <v>0</v>
      </c>
      <c r="D14" s="2705"/>
      <c r="E14" s="162"/>
      <c r="F14" s="2698"/>
      <c r="G14" s="1418"/>
    </row>
    <row r="15" spans="1:9" s="127" customFormat="1">
      <c r="A15" s="2724" t="s">
        <v>353</v>
      </c>
      <c r="B15" s="2725" t="s">
        <v>1453</v>
      </c>
      <c r="C15" s="2706">
        <f ca="1">ROUND(D15*E15/10000,0)</f>
        <v>0</v>
      </c>
      <c r="D15" s="2706">
        <f ca="1">IF(B1="",'数据-汇总表'!E5,IF(INDIRECT("'数据-取费表'!c"&amp;$G$1)="住宅",INDIRECT("'数据-取费表'!k"&amp;$G$1),0))</f>
        <v>0</v>
      </c>
      <c r="E15" s="2706">
        <f>'数据-取费表'!B27</f>
        <v>160</v>
      </c>
      <c r="F15" s="2698"/>
      <c r="G15" s="1419"/>
      <c r="H15" s="825"/>
      <c r="I15" s="1420" t="s">
        <v>1454</v>
      </c>
    </row>
    <row r="16" spans="1:9" s="127" customFormat="1">
      <c r="A16" s="2724" t="s">
        <v>354</v>
      </c>
      <c r="B16" s="2725" t="s">
        <v>1455</v>
      </c>
      <c r="C16" s="2706">
        <f ca="1">ROUND(D16*E16/10000,0)</f>
        <v>21</v>
      </c>
      <c r="D16" s="2706">
        <f ca="1">IF(B1="",'数据-汇总表'!E6,IF(INDIRECT("'数据-取费表'!c"&amp;$G$1)="住宅",INDIRECT("'数据-取费表'!s"&amp;$G$1),INDIRECT("'数据-取费表'!k"&amp;$G$1)+INDIRECT("'数据-取费表'!s"&amp;$G$1)))</f>
        <v>1048.8</v>
      </c>
      <c r="E16" s="2706">
        <f>'数据-取费表'!B28</f>
        <v>200</v>
      </c>
      <c r="F16" s="2698"/>
      <c r="G16" s="139"/>
    </row>
    <row r="17" spans="1:7" s="127" customFormat="1">
      <c r="A17" s="2648" t="s">
        <v>3305</v>
      </c>
      <c r="B17" s="2726" t="s">
        <v>3310</v>
      </c>
      <c r="C17" s="2665">
        <f ca="1">IF(G17="已包含在土地取得成本中","0",ROUND(D17*E17/10000,0))</f>
        <v>21</v>
      </c>
      <c r="D17" s="2707">
        <f ca="1">D15+D16</f>
        <v>1048.8</v>
      </c>
      <c r="E17" s="2707">
        <f>'数据-取费表'!B31</f>
        <v>200</v>
      </c>
      <c r="F17" s="2673"/>
      <c r="G17" s="1418"/>
    </row>
    <row r="18" spans="1:7" s="127" customFormat="1">
      <c r="A18" s="2727" t="s">
        <v>3306</v>
      </c>
      <c r="B18" s="2726" t="s">
        <v>1480</v>
      </c>
      <c r="C18" s="2665">
        <f ca="1">ROUND(E18*D18*F10/10000,0)</f>
        <v>21</v>
      </c>
      <c r="D18" s="2665">
        <f ca="1">D17</f>
        <v>1048.8</v>
      </c>
      <c r="E18" s="2665">
        <f>'数据-取费表'!B35</f>
        <v>200</v>
      </c>
      <c r="F18" s="2676"/>
      <c r="G18" s="174" t="s">
        <v>1481</v>
      </c>
    </row>
    <row r="19" spans="1:7" s="127" customFormat="1">
      <c r="A19" s="2721" t="s">
        <v>352</v>
      </c>
      <c r="B19" s="2722" t="s">
        <v>3342</v>
      </c>
      <c r="C19" s="2665">
        <f ca="1">ROUND(C10*F19,0)</f>
        <v>3</v>
      </c>
      <c r="D19" s="162"/>
      <c r="E19" s="162"/>
      <c r="F19" s="2676">
        <f>'数据-取费表'!B36</f>
        <v>0.01</v>
      </c>
      <c r="G19" s="174" t="s">
        <v>1477</v>
      </c>
    </row>
    <row r="20" spans="1:7" s="127" customFormat="1">
      <c r="A20" s="2721" t="s">
        <v>3307</v>
      </c>
      <c r="B20" s="2722" t="s">
        <v>3343</v>
      </c>
      <c r="C20" s="2665">
        <f ca="1">ROUND(C10*F20,0)</f>
        <v>3</v>
      </c>
      <c r="D20" s="2708"/>
      <c r="E20" s="158"/>
      <c r="F20" s="2676">
        <f>'数据-取费表'!B37</f>
        <v>0.01</v>
      </c>
      <c r="G20" s="174" t="s">
        <v>1477</v>
      </c>
    </row>
    <row r="21" spans="1:7" s="2677" customFormat="1" ht="15">
      <c r="A21" s="2655" t="s">
        <v>3358</v>
      </c>
      <c r="B21" s="2718" t="s">
        <v>3359</v>
      </c>
      <c r="C21" s="2678">
        <f ca="1">ROUND((C6+C9)*F21,0)</f>
        <v>7</v>
      </c>
      <c r="D21" s="2679"/>
      <c r="E21" s="2679"/>
      <c r="F21" s="2683">
        <f>'数据-取费表'!B38</f>
        <v>0.02</v>
      </c>
      <c r="G21" s="2680" t="s">
        <v>3360</v>
      </c>
    </row>
    <row r="22" spans="1:7" s="2677" customFormat="1" ht="15">
      <c r="A22" s="2655" t="s">
        <v>3361</v>
      </c>
      <c r="B22" s="2718" t="s">
        <v>3362</v>
      </c>
      <c r="C22" s="2681" t="str">
        <f>F22&amp;"V"</f>
        <v>0.01V</v>
      </c>
      <c r="D22" s="314"/>
      <c r="E22" s="2679"/>
      <c r="F22" s="2683">
        <f>'数据-取费表'!B39</f>
        <v>0.01</v>
      </c>
      <c r="G22" s="4013" t="s">
        <v>3724</v>
      </c>
    </row>
    <row r="23" spans="1:7" s="2677" customFormat="1" ht="15">
      <c r="A23" s="2655" t="s">
        <v>3363</v>
      </c>
      <c r="B23" s="2720" t="s">
        <v>3311</v>
      </c>
      <c r="C23" s="2656" t="str">
        <f ca="1">SUM(C24:C25)&amp;"+"&amp;C26&amp;"V"</f>
        <v>8+0.0002V</v>
      </c>
      <c r="D23" s="2682"/>
      <c r="E23" s="314"/>
      <c r="F23" s="2683">
        <f ca="1">'数据-取费表'!B41</f>
        <v>3.0599999999999999E-2</v>
      </c>
      <c r="G23" s="2680" t="str">
        <f>IF('数据-取费表'!B22&lt;=1,"单利计息","复利计息")</f>
        <v>复利计息</v>
      </c>
    </row>
    <row r="24" spans="1:7" s="127" customFormat="1">
      <c r="A24" s="2728" t="s">
        <v>1457</v>
      </c>
      <c r="B24" s="2726" t="s">
        <v>1458</v>
      </c>
      <c r="C24" s="2671">
        <f ca="1">ROUND(IF('数据-取费表'!B22&lt;=1,C6*F23*'数据-取费表'!B23,C6*(POWER((1+F23),'数据-取费表'!B23)-1)),0)</f>
        <v>0</v>
      </c>
      <c r="D24" s="151"/>
      <c r="E24" s="151"/>
      <c r="F24" s="2672"/>
      <c r="G24" s="153" t="s">
        <v>1459</v>
      </c>
    </row>
    <row r="25" spans="1:7" s="127" customFormat="1">
      <c r="A25" s="2728" t="s">
        <v>1460</v>
      </c>
      <c r="B25" s="2726" t="s">
        <v>3312</v>
      </c>
      <c r="C25" s="2671">
        <f ca="1">ROUND(IF('数据-取费表'!B22&lt;=1,(C9+C21)*F23*'数据-取费表'!B23/2,(C9+C21)*(POWER((1+F23),'数据-取费表'!B23/2)-1)),0)</f>
        <v>8</v>
      </c>
      <c r="D25" s="151"/>
      <c r="E25" s="151"/>
      <c r="F25" s="2672"/>
      <c r="G25" s="153" t="s">
        <v>1461</v>
      </c>
    </row>
    <row r="26" spans="1:7" s="127" customFormat="1">
      <c r="A26" s="2728" t="s">
        <v>348</v>
      </c>
      <c r="B26" s="2726" t="s">
        <v>1462</v>
      </c>
      <c r="C26" s="2668">
        <f ca="1">ROUND(IF('数据-取费表'!B22&lt;=1,F22*F23*'数据-取费表'!B23/2,F22*(POWER((1+F23),'数据-取费表'!B23/2)-1)),4)</f>
        <v>2.0000000000000001E-4</v>
      </c>
      <c r="D26" s="151"/>
      <c r="E26" s="154"/>
      <c r="F26" s="2672"/>
      <c r="G26" s="156"/>
    </row>
    <row r="27" spans="1:7" s="2677" customFormat="1" ht="15">
      <c r="A27" s="2655" t="s">
        <v>3364</v>
      </c>
      <c r="B27" s="2720" t="s">
        <v>3313</v>
      </c>
      <c r="C27" s="2684" t="str">
        <f ca="1">C28&amp;"+"&amp;C29&amp;"V"</f>
        <v>36+0.001V</v>
      </c>
      <c r="D27" s="2682"/>
      <c r="E27" s="314"/>
      <c r="F27" s="2685">
        <f ca="1">IF(B1="",'数据-取费表'!Q16,INDIRECT("'数据-取费表'!q"&amp;$G$1))</f>
        <v>0.1</v>
      </c>
      <c r="G27" s="2680" t="s">
        <v>3365</v>
      </c>
    </row>
    <row r="28" spans="1:7" s="127" customFormat="1">
      <c r="A28" s="2721" t="s">
        <v>344</v>
      </c>
      <c r="B28" s="2726" t="s">
        <v>1467</v>
      </c>
      <c r="C28" s="3380">
        <f ca="1">ROUND(C6*F27*'数据-取费表'!B23/'数据-取费表'!B22+(C9+C21)*F27,0)</f>
        <v>36</v>
      </c>
      <c r="D28" s="148"/>
      <c r="E28" s="149"/>
      <c r="F28" s="2673"/>
      <c r="G28" s="3381" t="s">
        <v>3521</v>
      </c>
    </row>
    <row r="29" spans="1:7" s="127" customFormat="1">
      <c r="A29" s="2721" t="s">
        <v>345</v>
      </c>
      <c r="B29" s="2726" t="s">
        <v>1468</v>
      </c>
      <c r="C29" s="2668">
        <f ca="1">ROUND(F22*F27,4)</f>
        <v>1E-3</v>
      </c>
      <c r="D29" s="148"/>
      <c r="E29" s="149"/>
      <c r="F29" s="2673"/>
      <c r="G29" s="160"/>
    </row>
    <row r="30" spans="1:7" s="2677" customFormat="1" ht="15">
      <c r="A30" s="2655" t="s">
        <v>3366</v>
      </c>
      <c r="B30" s="2718" t="s">
        <v>3367</v>
      </c>
      <c r="C30" s="2686">
        <v>0</v>
      </c>
      <c r="D30" s="314"/>
      <c r="E30" s="2657"/>
      <c r="F30" s="2683"/>
      <c r="G30" s="2687" t="s">
        <v>3314</v>
      </c>
    </row>
    <row r="31" spans="1:7" s="127" customFormat="1" ht="15.75">
      <c r="A31" s="2729">
        <v>2</v>
      </c>
      <c r="B31" s="2730" t="s">
        <v>3315</v>
      </c>
      <c r="C31" s="2669">
        <f ca="1">C57</f>
        <v>145</v>
      </c>
      <c r="D31" s="2659"/>
      <c r="E31" s="2659"/>
      <c r="F31" s="2674">
        <f>IF('数据-取费表'!B24=0,'数据-取费表'!N16,1)</f>
        <v>0.62</v>
      </c>
      <c r="G31" s="2660" t="s">
        <v>3351</v>
      </c>
    </row>
    <row r="32" spans="1:7" s="127" customFormat="1" ht="15.75">
      <c r="A32" s="2647" t="s">
        <v>3316</v>
      </c>
      <c r="B32" s="2646" t="s">
        <v>3317</v>
      </c>
      <c r="C32" s="2669">
        <f ca="1">C5-C31</f>
        <v>261</v>
      </c>
      <c r="D32" s="2659"/>
      <c r="E32" s="2659"/>
      <c r="F32" s="2658"/>
      <c r="G32" s="2661" t="s">
        <v>3350</v>
      </c>
    </row>
    <row r="33" spans="1:7" s="127" customFormat="1" ht="16.5" thickBot="1">
      <c r="A33" s="2731">
        <v>4</v>
      </c>
      <c r="B33" s="2732" t="s">
        <v>3352</v>
      </c>
      <c r="C33" s="2670">
        <f ca="1">ROUND(C32*(1+F33),0)</f>
        <v>284</v>
      </c>
      <c r="D33" s="2662"/>
      <c r="E33" s="2662"/>
      <c r="F33" s="2675">
        <f>IF(G33="其他类型公式—成本价值×（1+9%）",9%,3%)</f>
        <v>0.09</v>
      </c>
      <c r="G33" s="4015" t="s">
        <v>3732</v>
      </c>
    </row>
    <row r="34" spans="1:7" s="136" customFormat="1"/>
    <row r="35" spans="1:7" s="127" customFormat="1"/>
    <row r="36" spans="1:7" s="127" customFormat="1"/>
    <row r="37" spans="1:7" s="127" customFormat="1"/>
    <row r="38" spans="1:7" ht="15.75" thickBot="1">
      <c r="A38" s="3004" t="s">
        <v>3318</v>
      </c>
      <c r="B38" s="3005"/>
      <c r="C38" s="3005"/>
      <c r="D38" s="3005"/>
      <c r="E38" s="3005"/>
      <c r="F38" s="3005"/>
      <c r="G38" s="3006"/>
    </row>
    <row r="39" spans="1:7" ht="15.75" thickBot="1">
      <c r="A39" s="3007" t="s">
        <v>3345</v>
      </c>
      <c r="B39" s="3008" t="s">
        <v>3346</v>
      </c>
      <c r="C39" s="3009" t="s">
        <v>3347</v>
      </c>
      <c r="D39" s="3010" t="s">
        <v>3491</v>
      </c>
      <c r="E39" s="3011" t="s">
        <v>3492</v>
      </c>
      <c r="F39" s="3011" t="s">
        <v>3493</v>
      </c>
      <c r="G39" s="3012" t="s">
        <v>3348</v>
      </c>
    </row>
    <row r="40" spans="1:7" ht="15">
      <c r="A40" s="3013" t="s">
        <v>3494</v>
      </c>
      <c r="B40" s="3014" t="s">
        <v>3319</v>
      </c>
      <c r="C40" s="3015">
        <f ca="1">SUM(C41:C46)</f>
        <v>329</v>
      </c>
      <c r="D40" s="3013"/>
      <c r="E40" s="3013"/>
      <c r="F40" s="3013"/>
      <c r="G40" s="3013"/>
    </row>
    <row r="41" spans="1:7" ht="15.75">
      <c r="A41" s="2713" t="s">
        <v>3320</v>
      </c>
      <c r="B41" s="2830" t="str">
        <f t="shared" ref="B41:C43" si="0">B10</f>
        <v xml:space="preserve">  建安费用</v>
      </c>
      <c r="C41" s="2644">
        <f t="shared" ca="1" si="0"/>
        <v>288</v>
      </c>
      <c r="D41" s="2639"/>
      <c r="E41" s="2639"/>
      <c r="F41" s="2640"/>
      <c r="G41" s="2640"/>
    </row>
    <row r="42" spans="1:7" ht="15.75">
      <c r="A42" s="2713" t="s">
        <v>3321</v>
      </c>
      <c r="B42" s="2830" t="str">
        <f t="shared" si="0"/>
        <v xml:space="preserve">  前期费用</v>
      </c>
      <c r="C42" s="2644">
        <f t="shared" ca="1" si="0"/>
        <v>14</v>
      </c>
      <c r="D42" s="2639"/>
      <c r="E42" s="2639"/>
      <c r="F42" s="2640"/>
      <c r="G42" s="2640"/>
    </row>
    <row r="43" spans="1:7" ht="15.75">
      <c r="A43" s="2713" t="s">
        <v>3393</v>
      </c>
      <c r="B43" s="2717" t="str">
        <f t="shared" si="0"/>
        <v xml:space="preserve">  公共配套设施费用</v>
      </c>
      <c r="C43" s="2644">
        <f t="shared" ca="1" si="0"/>
        <v>0</v>
      </c>
      <c r="D43" s="2639"/>
      <c r="E43" s="2639"/>
      <c r="F43" s="2640"/>
      <c r="G43" s="2640"/>
    </row>
    <row r="44" spans="1:7" ht="15.75">
      <c r="A44" s="2713" t="s">
        <v>3303</v>
      </c>
      <c r="B44" s="2717" t="str">
        <f>B18</f>
        <v>红线内市政费用</v>
      </c>
      <c r="C44" s="2644">
        <f ca="1">C18</f>
        <v>21</v>
      </c>
      <c r="D44" s="2639"/>
      <c r="E44" s="2639"/>
      <c r="F44" s="2640"/>
      <c r="G44" s="2640"/>
    </row>
    <row r="45" spans="1:7" ht="15.75">
      <c r="A45" s="2728" t="s">
        <v>3322</v>
      </c>
      <c r="B45" s="2723" t="str">
        <f>B19</f>
        <v xml:space="preserve">  其他工程费</v>
      </c>
      <c r="C45" s="2649">
        <f ca="1">C19</f>
        <v>3</v>
      </c>
      <c r="D45" s="2829"/>
      <c r="E45" s="2829"/>
      <c r="F45" s="2652"/>
      <c r="G45" s="2652"/>
    </row>
    <row r="46" spans="1:7" ht="15.75">
      <c r="A46" s="2728" t="s">
        <v>3392</v>
      </c>
      <c r="B46" s="2723" t="s">
        <v>3323</v>
      </c>
      <c r="C46" s="2649">
        <f ca="1">C20</f>
        <v>3</v>
      </c>
      <c r="D46" s="2829"/>
      <c r="E46" s="2829"/>
      <c r="F46" s="2652"/>
      <c r="G46" s="2652"/>
    </row>
    <row r="47" spans="1:7" ht="15">
      <c r="A47" s="2831" t="s">
        <v>3495</v>
      </c>
      <c r="B47" s="2832" t="s">
        <v>3496</v>
      </c>
      <c r="C47" s="2833">
        <f ca="1">ROUND(C40*F47,0)</f>
        <v>7</v>
      </c>
      <c r="D47" s="2834"/>
      <c r="E47" s="2834"/>
      <c r="F47" s="2835">
        <f>F21</f>
        <v>0.02</v>
      </c>
      <c r="G47" s="2836" t="s">
        <v>3497</v>
      </c>
    </row>
    <row r="48" spans="1:7"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8+0.0002V建1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8</v>
      </c>
      <c r="D50" s="1084"/>
      <c r="E50" s="1084"/>
      <c r="F50" s="1067"/>
      <c r="G50" s="4388" t="s">
        <v>3336</v>
      </c>
    </row>
    <row r="51" spans="1:7">
      <c r="A51" s="2713" t="s">
        <v>3321</v>
      </c>
      <c r="B51" s="2717" t="s">
        <v>3326</v>
      </c>
      <c r="C51" s="2856">
        <f ca="1">ROUND(IF('数据-取费表'!B22&lt;=1,F48*F23*'数据-取费表'!B22/2,F48*(POWER((1+F23),'数据-取费表'!B22/2)-1)),4)</f>
        <v>2.0000000000000001E-4</v>
      </c>
      <c r="D51" s="1084"/>
      <c r="E51" s="1084"/>
      <c r="F51" s="1067"/>
      <c r="G51" s="4389"/>
    </row>
    <row r="52" spans="1:7" ht="15">
      <c r="A52" s="2831" t="s">
        <v>3502</v>
      </c>
      <c r="B52" s="2840" t="s">
        <v>3327</v>
      </c>
      <c r="C52" s="2841" t="str">
        <f ca="1">C53&amp;"+"&amp;C54&amp;"V建1"</f>
        <v>34+0.001V建1</v>
      </c>
      <c r="D52" s="2842"/>
      <c r="E52" s="2834"/>
      <c r="F52" s="2843">
        <f ca="1">F27</f>
        <v>0.1</v>
      </c>
      <c r="G52" s="2844" t="s">
        <v>3503</v>
      </c>
    </row>
    <row r="53" spans="1:7">
      <c r="A53" s="2713" t="s">
        <v>3324</v>
      </c>
      <c r="B53" s="2716" t="s">
        <v>3328</v>
      </c>
      <c r="C53" s="2644">
        <f ca="1">ROUND((C40+C47)*F27,0)</f>
        <v>34</v>
      </c>
      <c r="D53" s="2645"/>
      <c r="E53" s="2641"/>
      <c r="F53" s="2642"/>
      <c r="G53" s="2643"/>
    </row>
    <row r="54" spans="1:7">
      <c r="A54" s="2713" t="s">
        <v>3325</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382</v>
      </c>
      <c r="D56" s="314"/>
      <c r="E56" s="314"/>
      <c r="F56" s="2848"/>
      <c r="G56" s="2847" t="s">
        <v>3333</v>
      </c>
    </row>
    <row r="57" spans="1:7" ht="15">
      <c r="A57" s="2655" t="s">
        <v>3466</v>
      </c>
      <c r="B57" s="2849" t="s">
        <v>3330</v>
      </c>
      <c r="C57" s="2678">
        <f ca="1">ROUND(C56*(1-F57),0)</f>
        <v>145</v>
      </c>
      <c r="D57" s="314"/>
      <c r="E57" s="314"/>
      <c r="F57" s="2848">
        <f>F31</f>
        <v>0.62</v>
      </c>
      <c r="G57" s="2847" t="s">
        <v>3334</v>
      </c>
    </row>
    <row r="58" spans="1:7" ht="16.5">
      <c r="A58" s="2655" t="s">
        <v>3507</v>
      </c>
      <c r="B58" s="2845" t="s">
        <v>3508</v>
      </c>
      <c r="C58" s="2678">
        <f ca="1">C56-C57</f>
        <v>237</v>
      </c>
      <c r="D58" s="314"/>
      <c r="E58" s="314"/>
      <c r="F58" s="2848"/>
      <c r="G58" s="2847" t="s">
        <v>3335</v>
      </c>
    </row>
    <row r="59" spans="1:7" ht="15">
      <c r="A59" s="2850" t="s">
        <v>3394</v>
      </c>
      <c r="B59" s="2851" t="s">
        <v>3331</v>
      </c>
      <c r="C59" s="2852">
        <f ca="1">ROUND(C58*(1+F59),0)</f>
        <v>258</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9.1999999999999971E-2</v>
      </c>
    </row>
    <row r="64" spans="1:7" ht="21" customHeight="1">
      <c r="B64" s="72" t="s">
        <v>790</v>
      </c>
      <c r="C64" s="2711">
        <f ca="1">ROUND(C58/C32,3)</f>
        <v>0.90800000000000003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78" t="str">
        <f>项目基本情况!B1</f>
        <v>北京市房地产抵押价值预评估</v>
      </c>
      <c r="C37" s="4178"/>
      <c r="D37" s="4178"/>
      <c r="E37" s="4178"/>
      <c r="F37" s="4178"/>
      <c r="G37" s="4178"/>
      <c r="H37" s="4178"/>
      <c r="I37" s="4178"/>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1436</v>
      </c>
      <c r="B1" s="3072"/>
      <c r="C1" s="3774"/>
      <c r="D1" s="1421" t="s">
        <v>1508</v>
      </c>
      <c r="E1" s="111"/>
      <c r="F1" s="111"/>
      <c r="G1" s="819">
        <f>MATCH(B1,'数据-取费表'!A6:A16,0)+5</f>
        <v>7</v>
      </c>
      <c r="H1" s="3346" t="str">
        <f>IF(ISERROR(FIND("住宅",B1)),"非住宅","住宅")</f>
        <v>非住宅</v>
      </c>
    </row>
    <row r="2" spans="1:10" s="113" customFormat="1" ht="15.75">
      <c r="A2" s="114" t="s">
        <v>1437</v>
      </c>
      <c r="B2" s="3377">
        <f ca="1">ROUND(D3/10000,4)</f>
        <v>260.9855</v>
      </c>
      <c r="C2" s="112" t="s">
        <v>1438</v>
      </c>
      <c r="D2" s="1415" t="s">
        <v>41</v>
      </c>
      <c r="E2" s="2652">
        <f ca="1">IF(D2="——",0,SUMIF(INDIRECT("'"&amp;G2&amp;"'"&amp;"!A:A"),"承租人权益价值",INDIRECT("'"&amp;G2&amp;"'"&amp;"!c:c")))</f>
        <v>0</v>
      </c>
      <c r="F2" s="1416" t="s">
        <v>1438</v>
      </c>
      <c r="G2" s="1417"/>
    </row>
    <row r="3" spans="1:10" s="113" customFormat="1" ht="16.5" thickBot="1">
      <c r="A3" s="116" t="s">
        <v>673</v>
      </c>
      <c r="B3" s="2667">
        <f ca="1">ROUND(D3/(IF(B1="",'数据-汇总表'!E3,INDIRECT("'数据-取费表'!k"&amp;$G$1))),0)</f>
        <v>2488</v>
      </c>
      <c r="C3" s="112" t="s">
        <v>1440</v>
      </c>
      <c r="D3" s="112">
        <f ca="1">IF(C1="含税",E2+C33,E2+C32)</f>
        <v>2609855</v>
      </c>
      <c r="E3" s="2653"/>
      <c r="F3" s="112"/>
      <c r="G3" s="112"/>
    </row>
    <row r="4" spans="1:10" s="113" customFormat="1" ht="16.5" thickBot="1">
      <c r="A4" s="2714" t="s">
        <v>3345</v>
      </c>
      <c r="B4" s="2715" t="s">
        <v>3346</v>
      </c>
      <c r="C4" s="2650" t="s">
        <v>3347</v>
      </c>
      <c r="D4" s="2688" t="s">
        <v>3353</v>
      </c>
      <c r="E4" s="2689" t="s">
        <v>3354</v>
      </c>
      <c r="F4" s="2689" t="s">
        <v>3355</v>
      </c>
      <c r="G4" s="2651" t="s">
        <v>3348</v>
      </c>
    </row>
    <row r="5" spans="1:10" s="121" customFormat="1" ht="15.75">
      <c r="A5" s="2690" t="s">
        <v>3344</v>
      </c>
      <c r="B5" s="2691" t="s">
        <v>3349</v>
      </c>
      <c r="C5" s="2663">
        <f ca="1">ROUND((C6+C9+C21+C24+C25+C28)/(1-F22-C26-C29),0)</f>
        <v>4060530</v>
      </c>
      <c r="D5" s="2692"/>
      <c r="E5" s="2692"/>
      <c r="F5" s="2692"/>
      <c r="G5" s="2907" t="s">
        <v>3511</v>
      </c>
      <c r="J5" s="113"/>
    </row>
    <row r="6" spans="1:10" s="2677" customFormat="1" ht="15">
      <c r="A6" s="2655" t="s">
        <v>3356</v>
      </c>
      <c r="B6" s="2718" t="s">
        <v>3357</v>
      </c>
      <c r="C6" s="2693">
        <f>C7+C8</f>
        <v>0</v>
      </c>
      <c r="D6" s="2654"/>
      <c r="E6" s="2654"/>
      <c r="F6" s="2654"/>
      <c r="G6" s="2694"/>
      <c r="J6" s="113"/>
    </row>
    <row r="7" spans="1:10" s="127" customFormat="1" ht="15">
      <c r="A7" s="2695" t="s">
        <v>344</v>
      </c>
      <c r="B7" s="2719" t="s">
        <v>1448</v>
      </c>
      <c r="C7" s="3347"/>
      <c r="D7" s="2696"/>
      <c r="E7" s="2697"/>
      <c r="F7" s="2697"/>
      <c r="G7" s="174"/>
      <c r="J7" s="113"/>
    </row>
    <row r="8" spans="1:10" s="127" customFormat="1" ht="15">
      <c r="A8" s="2695" t="s">
        <v>345</v>
      </c>
      <c r="B8" s="2719" t="s">
        <v>1450</v>
      </c>
      <c r="C8" s="2665">
        <f>ROUND(C7*F8,0)</f>
        <v>0</v>
      </c>
      <c r="D8" s="162"/>
      <c r="E8" s="2697"/>
      <c r="F8" s="2698">
        <f>IF(项目基本情况!B8="出让",0,'数据-取费表'!B49+'数据-取费表'!B50)</f>
        <v>3.0499999999999999E-2</v>
      </c>
      <c r="G8" s="174"/>
      <c r="J8" s="113"/>
    </row>
    <row r="9" spans="1:10" s="2677" customFormat="1" ht="15">
      <c r="A9" s="2699" t="s">
        <v>336</v>
      </c>
      <c r="B9" s="2720" t="s">
        <v>3302</v>
      </c>
      <c r="C9" s="2678">
        <f ca="1">C10+C11+C12+C13+C19+C20</f>
        <v>3505614</v>
      </c>
      <c r="D9" s="2700"/>
      <c r="E9" s="2701"/>
      <c r="F9" s="2702"/>
      <c r="G9" s="2703"/>
      <c r="J9" s="113"/>
    </row>
    <row r="10" spans="1:10" s="127" customFormat="1" ht="15">
      <c r="A10" s="2721" t="s">
        <v>344</v>
      </c>
      <c r="B10" s="2722" t="s">
        <v>3338</v>
      </c>
      <c r="C10" s="2665">
        <f ca="1">ROUND(IF(B1="",SUMPRODUCT('数据-取费表'!K6:K14,'数据-取费表'!L6:L14),INDIRECT("'数据-取费表'!l"&amp;$G$1)*INDIRECT("'数据-取费表'!k"&amp;$G$1)+'数据-取费表'!L14*INDIRECT("'数据-取费表'!S"&amp;$G$1)),0)</f>
        <v>2884200</v>
      </c>
      <c r="D10" s="2696"/>
      <c r="E10" s="162"/>
      <c r="F10" s="2704">
        <f ca="1">IF('数据-取费表'!B24=0,1,IF(B1="",'数据-取费表'!N16,INDIRECT("'数据-取费表'!n"&amp;$G$1)))</f>
        <v>1</v>
      </c>
      <c r="G10" s="174" t="s">
        <v>1475</v>
      </c>
      <c r="J10" s="113"/>
    </row>
    <row r="11" spans="1:10" s="127" customFormat="1" ht="15">
      <c r="A11" s="2721" t="s">
        <v>349</v>
      </c>
      <c r="B11" s="2722" t="s">
        <v>3339</v>
      </c>
      <c r="C11" s="2665">
        <f ca="1">ROUND(C10*F11,0)</f>
        <v>144210</v>
      </c>
      <c r="D11" s="162"/>
      <c r="E11" s="162"/>
      <c r="F11" s="2676">
        <f>'数据-取费表'!B33</f>
        <v>0.05</v>
      </c>
      <c r="G11" s="174" t="s">
        <v>1477</v>
      </c>
      <c r="J11" s="113"/>
    </row>
    <row r="12" spans="1:10" s="127" customFormat="1" ht="15">
      <c r="A12" s="2721" t="s">
        <v>350</v>
      </c>
      <c r="B12" s="2722" t="s">
        <v>3340</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1479</v>
      </c>
      <c r="J12" s="113"/>
    </row>
    <row r="13" spans="1:10" s="127" customFormat="1" ht="15">
      <c r="A13" s="2721" t="s">
        <v>3303</v>
      </c>
      <c r="B13" s="2722" t="s">
        <v>3341</v>
      </c>
      <c r="C13" s="2665">
        <f ca="1">C14+C17+C18</f>
        <v>419520</v>
      </c>
      <c r="D13" s="162"/>
      <c r="E13" s="2697"/>
      <c r="F13" s="2698"/>
      <c r="G13" s="174"/>
      <c r="J13" s="113"/>
    </row>
    <row r="14" spans="1:10" s="136" customFormat="1" ht="15">
      <c r="A14" s="2648" t="s">
        <v>3304</v>
      </c>
      <c r="B14" s="2723" t="s">
        <v>3337</v>
      </c>
      <c r="C14" s="2665">
        <f>IF(G14="已包含在土地购买价格中","0",IF(B1="",'数据-取费表'!B29,IF(G15="全部缴纳",C15+C16,H15)))</f>
        <v>0</v>
      </c>
      <c r="D14" s="2705"/>
      <c r="E14" s="162"/>
      <c r="F14" s="2698"/>
      <c r="G14" s="1418"/>
      <c r="J14" s="113"/>
    </row>
    <row r="15" spans="1:10" s="127" customFormat="1" ht="15">
      <c r="A15" s="2724" t="s">
        <v>353</v>
      </c>
      <c r="B15" s="2725" t="s">
        <v>1453</v>
      </c>
      <c r="C15" s="2706">
        <f ca="1">ROUND(D15*E15,0)</f>
        <v>0</v>
      </c>
      <c r="D15" s="2706">
        <f ca="1">IF(B1="",'数据-汇总表'!E5,IF(INDIRECT("'数据-取费表'!c"&amp;$G$1)="住宅",INDIRECT("'数据-取费表'!k"&amp;$G$1),0))</f>
        <v>0</v>
      </c>
      <c r="E15" s="2706">
        <f>'数据-取费表'!B27</f>
        <v>160</v>
      </c>
      <c r="F15" s="2698"/>
      <c r="G15" s="1419"/>
      <c r="H15" s="825"/>
      <c r="I15" s="1420" t="s">
        <v>1454</v>
      </c>
      <c r="J15" s="113"/>
    </row>
    <row r="16" spans="1:10" s="127" customFormat="1" ht="15">
      <c r="A16" s="2724" t="s">
        <v>354</v>
      </c>
      <c r="B16" s="2725" t="s">
        <v>1455</v>
      </c>
      <c r="C16" s="2706">
        <f ca="1">ROUND(D16*E16,0)</f>
        <v>209760</v>
      </c>
      <c r="D16" s="2706">
        <f ca="1">IF(B1="",'数据-汇总表'!E6,IF(INDIRECT("'数据-取费表'!c"&amp;$G$1)="住宅",INDIRECT("'数据-取费表'!s"&amp;$G$1),INDIRECT("'数据-取费表'!k"&amp;$G$1)+INDIRECT("'数据-取费表'!s"&amp;$G$1)))</f>
        <v>1048.8</v>
      </c>
      <c r="E16" s="2706">
        <f>'数据-取费表'!B28</f>
        <v>200</v>
      </c>
      <c r="F16" s="2698"/>
      <c r="G16" s="139"/>
      <c r="J16" s="113"/>
    </row>
    <row r="17" spans="1:10" s="127" customFormat="1" ht="15">
      <c r="A17" s="2648" t="s">
        <v>3305</v>
      </c>
      <c r="B17" s="2726" t="s">
        <v>3310</v>
      </c>
      <c r="C17" s="2665">
        <f ca="1">IF(G17="已包含在土地取得成本中","0",ROUND(D17*E17,0))</f>
        <v>209760</v>
      </c>
      <c r="D17" s="2707">
        <f ca="1">D15+D16</f>
        <v>1048.8</v>
      </c>
      <c r="E17" s="2707">
        <f>'数据-取费表'!B31</f>
        <v>200</v>
      </c>
      <c r="F17" s="2673"/>
      <c r="G17" s="1418"/>
      <c r="J17" s="113"/>
    </row>
    <row r="18" spans="1:10" s="127" customFormat="1" ht="15">
      <c r="A18" s="2727" t="s">
        <v>3306</v>
      </c>
      <c r="B18" s="2726" t="s">
        <v>1480</v>
      </c>
      <c r="C18" s="2665">
        <f ca="1">ROUND(E18*D18*F10,0)</f>
        <v>209760</v>
      </c>
      <c r="D18" s="2665">
        <f ca="1">D17</f>
        <v>1048.8</v>
      </c>
      <c r="E18" s="2665">
        <f>'数据-取费表'!B35</f>
        <v>200</v>
      </c>
      <c r="F18" s="2676"/>
      <c r="G18" s="174" t="s">
        <v>1481</v>
      </c>
      <c r="J18" s="113"/>
    </row>
    <row r="19" spans="1:10" s="127" customFormat="1" ht="15">
      <c r="A19" s="2721" t="s">
        <v>352</v>
      </c>
      <c r="B19" s="2722" t="s">
        <v>3342</v>
      </c>
      <c r="C19" s="2665">
        <f ca="1">ROUND(C10*F19,0)</f>
        <v>28842</v>
      </c>
      <c r="D19" s="162"/>
      <c r="E19" s="162"/>
      <c r="F19" s="2676">
        <f>'数据-取费表'!B36</f>
        <v>0.01</v>
      </c>
      <c r="G19" s="174" t="s">
        <v>1477</v>
      </c>
      <c r="J19" s="113"/>
    </row>
    <row r="20" spans="1:10" s="127" customFormat="1" ht="15">
      <c r="A20" s="2721" t="s">
        <v>3307</v>
      </c>
      <c r="B20" s="2722" t="s">
        <v>3343</v>
      </c>
      <c r="C20" s="2665">
        <f ca="1">ROUND(C10*F20,0)</f>
        <v>28842</v>
      </c>
      <c r="D20" s="2708"/>
      <c r="E20" s="158"/>
      <c r="F20" s="2676">
        <f>'数据-取费表'!B37</f>
        <v>0.01</v>
      </c>
      <c r="G20" s="174" t="s">
        <v>1477</v>
      </c>
      <c r="J20" s="113"/>
    </row>
    <row r="21" spans="1:10" s="2677" customFormat="1" ht="15">
      <c r="A21" s="2655" t="s">
        <v>3358</v>
      </c>
      <c r="B21" s="2718" t="s">
        <v>3359</v>
      </c>
      <c r="C21" s="2678">
        <f ca="1">ROUND((C6+C9)*F21,0)</f>
        <v>70112</v>
      </c>
      <c r="D21" s="2679"/>
      <c r="E21" s="2679"/>
      <c r="F21" s="2683">
        <f>'数据-取费表'!B38</f>
        <v>0.02</v>
      </c>
      <c r="G21" s="2680" t="s">
        <v>3360</v>
      </c>
      <c r="J21" s="113"/>
    </row>
    <row r="22" spans="1:10" s="2677" customFormat="1" ht="15">
      <c r="A22" s="2655" t="s">
        <v>3361</v>
      </c>
      <c r="B22" s="2718" t="s">
        <v>3362</v>
      </c>
      <c r="C22" s="2681" t="str">
        <f>F22&amp;"V"</f>
        <v>0.01V</v>
      </c>
      <c r="D22" s="314"/>
      <c r="E22" s="2679"/>
      <c r="F22" s="2683">
        <f>'数据-取费表'!B39</f>
        <v>0.01</v>
      </c>
      <c r="G22" s="4013" t="s">
        <v>3724</v>
      </c>
      <c r="J22" s="113"/>
    </row>
    <row r="23" spans="1:10" s="2677" customFormat="1" ht="15">
      <c r="A23" s="2655" t="s">
        <v>3363</v>
      </c>
      <c r="B23" s="2720" t="s">
        <v>3311</v>
      </c>
      <c r="C23" s="2656" t="str">
        <f ca="1">SUM(C24:C25)&amp;"+"&amp;C26&amp;"V"</f>
        <v>81753+0.0002V</v>
      </c>
      <c r="D23" s="2682"/>
      <c r="E23" s="314"/>
      <c r="F23" s="2683">
        <f ca="1">'数据-取费表'!B41</f>
        <v>3.0599999999999999E-2</v>
      </c>
      <c r="G23" s="2680" t="str">
        <f>IF('数据-取费表'!B22&lt;=1,"单利计息","复利计息")</f>
        <v>复利计息</v>
      </c>
      <c r="J23" s="113"/>
    </row>
    <row r="24" spans="1:10" s="127" customFormat="1" ht="15">
      <c r="A24" s="2728" t="s">
        <v>344</v>
      </c>
      <c r="B24" s="2726" t="s">
        <v>1458</v>
      </c>
      <c r="C24" s="2671">
        <f ca="1">ROUND(IF('数据-取费表'!B22&lt;=1,C6*F23*'数据-取费表'!B23,C6*(POWER((1+F23),'数据-取费表'!B23)-1)),0)</f>
        <v>0</v>
      </c>
      <c r="D24" s="151"/>
      <c r="E24" s="151"/>
      <c r="F24" s="2672"/>
      <c r="G24" s="153" t="s">
        <v>1459</v>
      </c>
      <c r="J24" s="113"/>
    </row>
    <row r="25" spans="1:10" s="127" customFormat="1" ht="15">
      <c r="A25" s="2728" t="s">
        <v>345</v>
      </c>
      <c r="B25" s="2726" t="s">
        <v>3312</v>
      </c>
      <c r="C25" s="2671">
        <f ca="1">ROUND(IF('数据-取费表'!B22&lt;=1,(C9+C21)*F23*'数据-取费表'!B23/2,(C9+C21)*(POWER((1+F23),'数据-取费表'!B23/2)-1)),0)</f>
        <v>81753</v>
      </c>
      <c r="D25" s="151"/>
      <c r="E25" s="151"/>
      <c r="F25" s="2672"/>
      <c r="G25" s="153" t="s">
        <v>1461</v>
      </c>
      <c r="J25" s="113"/>
    </row>
    <row r="26" spans="1:10" s="127" customFormat="1" ht="15">
      <c r="A26" s="2728" t="s">
        <v>348</v>
      </c>
      <c r="B26" s="2726" t="s">
        <v>1462</v>
      </c>
      <c r="C26" s="2668">
        <f ca="1">ROUND(IF('数据-取费表'!B22&lt;=1,F22*F23*'数据-取费表'!B23/2,F22*(POWER((1+F23),'数据-取费表'!B23/2)-1)),4)</f>
        <v>2.0000000000000001E-4</v>
      </c>
      <c r="D26" s="151"/>
      <c r="E26" s="154"/>
      <c r="F26" s="2672"/>
      <c r="G26" s="156"/>
      <c r="J26" s="113"/>
    </row>
    <row r="27" spans="1:10" s="2677" customFormat="1" ht="15">
      <c r="A27" s="2655" t="s">
        <v>3364</v>
      </c>
      <c r="B27" s="2720" t="s">
        <v>3313</v>
      </c>
      <c r="C27" s="2684" t="str">
        <f ca="1">C28&amp;"+"&amp;C29&amp;"V"</f>
        <v>357573+0.001V</v>
      </c>
      <c r="D27" s="2682"/>
      <c r="E27" s="314"/>
      <c r="F27" s="2685">
        <f ca="1">IF(B1="",'数据-取费表'!Q16,INDIRECT("'数据-取费表'!q"&amp;$G$1))</f>
        <v>0.1</v>
      </c>
      <c r="G27" s="2680" t="s">
        <v>3365</v>
      </c>
      <c r="J27" s="113"/>
    </row>
    <row r="28" spans="1:10" s="127" customFormat="1" ht="15">
      <c r="A28" s="2721" t="s">
        <v>344</v>
      </c>
      <c r="B28" s="2726" t="s">
        <v>1467</v>
      </c>
      <c r="C28" s="3380">
        <f ca="1">ROUND(C6*F27*'数据-取费表'!B23/'数据-取费表'!B22+(C9+C21)*F27,0)</f>
        <v>357573</v>
      </c>
      <c r="D28" s="148"/>
      <c r="E28" s="149"/>
      <c r="F28" s="2673"/>
      <c r="G28" s="160"/>
      <c r="J28" s="113"/>
    </row>
    <row r="29" spans="1:10" s="127" customFormat="1" ht="15">
      <c r="A29" s="2721" t="s">
        <v>345</v>
      </c>
      <c r="B29" s="2726" t="s">
        <v>1468</v>
      </c>
      <c r="C29" s="2668">
        <f ca="1">ROUND(F22*F27,4)</f>
        <v>1E-3</v>
      </c>
      <c r="D29" s="148"/>
      <c r="E29" s="149"/>
      <c r="F29" s="2673"/>
      <c r="G29" s="160"/>
      <c r="J29" s="113"/>
    </row>
    <row r="30" spans="1:10" s="2677" customFormat="1" ht="15">
      <c r="A30" s="2655" t="s">
        <v>3366</v>
      </c>
      <c r="B30" s="2718" t="s">
        <v>3367</v>
      </c>
      <c r="C30" s="2686">
        <v>0</v>
      </c>
      <c r="D30" s="314"/>
      <c r="E30" s="2657"/>
      <c r="F30" s="2683"/>
      <c r="G30" s="2687" t="s">
        <v>3314</v>
      </c>
      <c r="J30" s="113"/>
    </row>
    <row r="31" spans="1:10" s="127" customFormat="1" ht="15.75">
      <c r="A31" s="2729">
        <v>2</v>
      </c>
      <c r="B31" s="2730" t="s">
        <v>3315</v>
      </c>
      <c r="C31" s="2669">
        <f ca="1">C57</f>
        <v>1450675</v>
      </c>
      <c r="D31" s="2659"/>
      <c r="E31" s="2659"/>
      <c r="F31" s="2674">
        <f>IF('数据-取费表'!B24=0,'数据-取费表'!N16,1)</f>
        <v>0.62</v>
      </c>
      <c r="G31" s="2660" t="s">
        <v>3351</v>
      </c>
      <c r="J31" s="113"/>
    </row>
    <row r="32" spans="1:10" s="127" customFormat="1" ht="15.75">
      <c r="A32" s="2647" t="s">
        <v>3316</v>
      </c>
      <c r="B32" s="2646" t="s">
        <v>3317</v>
      </c>
      <c r="C32" s="2669">
        <f ca="1">C5-C31</f>
        <v>2609855</v>
      </c>
      <c r="D32" s="2659"/>
      <c r="E32" s="2659"/>
      <c r="F32" s="2658"/>
      <c r="G32" s="2661" t="s">
        <v>3350</v>
      </c>
      <c r="J32" s="113"/>
    </row>
    <row r="33" spans="1:10" s="127" customFormat="1" ht="16.5" thickBot="1">
      <c r="A33" s="2731">
        <v>4</v>
      </c>
      <c r="B33" s="2732" t="s">
        <v>3352</v>
      </c>
      <c r="C33" s="2670">
        <f ca="1">ROUND(C32*(1+F33),0)</f>
        <v>2844742</v>
      </c>
      <c r="D33" s="2662"/>
      <c r="E33" s="2662"/>
      <c r="F33" s="2675">
        <f>IF(G33="其他类型公式—成本价值×（1+9%）",9%,3%)</f>
        <v>0.09</v>
      </c>
      <c r="G33" s="4015" t="s">
        <v>3732</v>
      </c>
      <c r="J33" s="113"/>
    </row>
    <row r="34" spans="1:10" s="136" customFormat="1" ht="15">
      <c r="J34" s="113"/>
    </row>
    <row r="35" spans="1:10" s="127" customFormat="1"/>
    <row r="36" spans="1:10" s="127" customFormat="1"/>
    <row r="37" spans="1:10" s="127" customFormat="1"/>
    <row r="38" spans="1:10" ht="15.75" thickBot="1">
      <c r="A38" s="3004" t="s">
        <v>3318</v>
      </c>
      <c r="B38" s="3005"/>
      <c r="C38" s="3005"/>
      <c r="D38" s="3005"/>
      <c r="E38" s="3005"/>
      <c r="F38" s="3005"/>
      <c r="G38" s="3006"/>
    </row>
    <row r="39" spans="1:10" ht="15.75" thickBot="1">
      <c r="A39" s="3007" t="s">
        <v>3345</v>
      </c>
      <c r="B39" s="3008" t="s">
        <v>3346</v>
      </c>
      <c r="C39" s="3009" t="s">
        <v>3347</v>
      </c>
      <c r="D39" s="3010" t="s">
        <v>3491</v>
      </c>
      <c r="E39" s="3011" t="s">
        <v>3492</v>
      </c>
      <c r="F39" s="3011" t="s">
        <v>3493</v>
      </c>
      <c r="G39" s="3012" t="s">
        <v>3348</v>
      </c>
    </row>
    <row r="40" spans="1:10" ht="15">
      <c r="A40" s="3013" t="s">
        <v>3494</v>
      </c>
      <c r="B40" s="3014" t="s">
        <v>3319</v>
      </c>
      <c r="C40" s="3015">
        <f ca="1">SUM(C41:C46)</f>
        <v>3295854</v>
      </c>
      <c r="D40" s="3013"/>
      <c r="E40" s="3013"/>
      <c r="F40" s="3013"/>
      <c r="G40" s="3013"/>
    </row>
    <row r="41" spans="1:10" ht="15.75">
      <c r="A41" s="2713" t="s">
        <v>3320</v>
      </c>
      <c r="B41" s="2830" t="str">
        <f t="shared" ref="B41:C43" si="0">B10</f>
        <v xml:space="preserve">  建安费用</v>
      </c>
      <c r="C41" s="2644">
        <f t="shared" ca="1" si="0"/>
        <v>2884200</v>
      </c>
      <c r="D41" s="2639"/>
      <c r="E41" s="2639"/>
      <c r="F41" s="2640"/>
      <c r="G41" s="2640"/>
    </row>
    <row r="42" spans="1:10" ht="15.75">
      <c r="A42" s="2713" t="s">
        <v>3321</v>
      </c>
      <c r="B42" s="2830" t="str">
        <f t="shared" si="0"/>
        <v xml:space="preserve">  前期费用</v>
      </c>
      <c r="C42" s="2644">
        <f t="shared" ca="1" si="0"/>
        <v>144210</v>
      </c>
      <c r="D42" s="2639"/>
      <c r="E42" s="2639"/>
      <c r="F42" s="2640"/>
      <c r="G42" s="2640"/>
    </row>
    <row r="43" spans="1:10" ht="15.75">
      <c r="A43" s="2713" t="s">
        <v>3393</v>
      </c>
      <c r="B43" s="2717" t="str">
        <f t="shared" si="0"/>
        <v xml:space="preserve">  公共配套设施费用</v>
      </c>
      <c r="C43" s="2644">
        <f t="shared" ca="1" si="0"/>
        <v>0</v>
      </c>
      <c r="D43" s="2639"/>
      <c r="E43" s="2639"/>
      <c r="F43" s="2640"/>
      <c r="G43" s="2640"/>
    </row>
    <row r="44" spans="1:10" ht="15.75">
      <c r="A44" s="2713" t="s">
        <v>3303</v>
      </c>
      <c r="B44" s="2717" t="str">
        <f>B18</f>
        <v>红线内市政费用</v>
      </c>
      <c r="C44" s="2644">
        <f ca="1">C18</f>
        <v>209760</v>
      </c>
      <c r="D44" s="2639"/>
      <c r="E44" s="2639"/>
      <c r="F44" s="2640"/>
      <c r="G44" s="2640"/>
    </row>
    <row r="45" spans="1:10" ht="15.75">
      <c r="A45" s="2728" t="s">
        <v>3322</v>
      </c>
      <c r="B45" s="2723" t="str">
        <f>B19</f>
        <v xml:space="preserve">  其他工程费</v>
      </c>
      <c r="C45" s="2649">
        <f ca="1">C19</f>
        <v>28842</v>
      </c>
      <c r="D45" s="2829"/>
      <c r="E45" s="2829"/>
      <c r="F45" s="2652"/>
      <c r="G45" s="2652"/>
    </row>
    <row r="46" spans="1:10" ht="15.75">
      <c r="A46" s="2728" t="s">
        <v>3392</v>
      </c>
      <c r="B46" s="2723" t="s">
        <v>3323</v>
      </c>
      <c r="C46" s="2649">
        <f ca="1">C20</f>
        <v>28842</v>
      </c>
      <c r="D46" s="2829"/>
      <c r="E46" s="2829"/>
      <c r="F46" s="2652"/>
      <c r="G46" s="2652"/>
    </row>
    <row r="47" spans="1:10" ht="15">
      <c r="A47" s="2831" t="s">
        <v>3495</v>
      </c>
      <c r="B47" s="2832" t="s">
        <v>3496</v>
      </c>
      <c r="C47" s="2833">
        <f ca="1">ROUND(C40*F47,0)</f>
        <v>65917</v>
      </c>
      <c r="D47" s="2834"/>
      <c r="E47" s="2834"/>
      <c r="F47" s="2835">
        <f>F21</f>
        <v>0.02</v>
      </c>
      <c r="G47" s="2836" t="s">
        <v>3497</v>
      </c>
    </row>
    <row r="48" spans="1:10"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76861+0.0002V建1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76861</v>
      </c>
      <c r="D50" s="1084"/>
      <c r="E50" s="1084"/>
      <c r="F50" s="1067"/>
      <c r="G50" s="4388" t="s">
        <v>3336</v>
      </c>
    </row>
    <row r="51" spans="1:7">
      <c r="A51" s="2713" t="s">
        <v>3321</v>
      </c>
      <c r="B51" s="2717" t="s">
        <v>3326</v>
      </c>
      <c r="C51" s="2856">
        <f ca="1">ROUND(IF('数据-取费表'!B22&lt;=1,F48*F23*'数据-取费表'!B22/2,F48*(POWER((1+F23),'数据-取费表'!B22/2)-1)),4)</f>
        <v>2.0000000000000001E-4</v>
      </c>
      <c r="D51" s="1084"/>
      <c r="E51" s="1084"/>
      <c r="F51" s="1067"/>
      <c r="G51" s="4389"/>
    </row>
    <row r="52" spans="1:7" ht="15">
      <c r="A52" s="2831" t="s">
        <v>3502</v>
      </c>
      <c r="B52" s="2840" t="s">
        <v>3327</v>
      </c>
      <c r="C52" s="2841" t="str">
        <f ca="1">C53&amp;"+"&amp;C54&amp;"V建1"</f>
        <v>336177+0.001V建1</v>
      </c>
      <c r="D52" s="2842"/>
      <c r="E52" s="2834"/>
      <c r="F52" s="2843">
        <f ca="1">F27</f>
        <v>0.1</v>
      </c>
      <c r="G52" s="2844" t="s">
        <v>3503</v>
      </c>
    </row>
    <row r="53" spans="1:7">
      <c r="A53" s="2713" t="s">
        <v>3320</v>
      </c>
      <c r="B53" s="2716" t="s">
        <v>3328</v>
      </c>
      <c r="C53" s="2644">
        <f ca="1">ROUND((C40+C47)*F27,0)</f>
        <v>336177</v>
      </c>
      <c r="D53" s="2645"/>
      <c r="E53" s="2641"/>
      <c r="F53" s="2642"/>
      <c r="G53" s="2643"/>
    </row>
    <row r="54" spans="1:7">
      <c r="A54" s="2713" t="s">
        <v>3321</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3817566</v>
      </c>
      <c r="D56" s="314"/>
      <c r="E56" s="314"/>
      <c r="F56" s="2848"/>
      <c r="G56" s="2847" t="s">
        <v>3333</v>
      </c>
    </row>
    <row r="57" spans="1:7" ht="15">
      <c r="A57" s="2655" t="s">
        <v>3466</v>
      </c>
      <c r="B57" s="2849" t="s">
        <v>3315</v>
      </c>
      <c r="C57" s="2678">
        <f ca="1">ROUND(C56*(1-F57),0)</f>
        <v>1450675</v>
      </c>
      <c r="D57" s="314"/>
      <c r="E57" s="314"/>
      <c r="F57" s="2848">
        <f>F31</f>
        <v>0.62</v>
      </c>
      <c r="G57" s="2847" t="s">
        <v>3334</v>
      </c>
    </row>
    <row r="58" spans="1:7" ht="16.5">
      <c r="A58" s="2655" t="s">
        <v>3507</v>
      </c>
      <c r="B58" s="2845" t="s">
        <v>3508</v>
      </c>
      <c r="C58" s="2678">
        <f ca="1">C56-C57</f>
        <v>2366891</v>
      </c>
      <c r="D58" s="314"/>
      <c r="E58" s="314"/>
      <c r="F58" s="2848"/>
      <c r="G58" s="2847" t="s">
        <v>3335</v>
      </c>
    </row>
    <row r="59" spans="1:7" ht="15">
      <c r="A59" s="2850" t="s">
        <v>3394</v>
      </c>
      <c r="B59" s="2851" t="s">
        <v>3331</v>
      </c>
      <c r="C59" s="2852">
        <f ca="1">ROUND(C58*(1+F59),0)</f>
        <v>2579911</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9.2999999999999972E-2</v>
      </c>
    </row>
    <row r="64" spans="1:7" ht="21" customHeight="1">
      <c r="B64" s="72" t="s">
        <v>790</v>
      </c>
      <c r="C64" s="2711">
        <f ca="1">ROUND(C58/C32,3)</f>
        <v>0.90700000000000003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5">
        <f ca="1">ROUND(IF(D2="——",C52/10000,C52/10000-E2),4)</f>
        <v>2724.2793000000001</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25975</v>
      </c>
      <c r="C3" s="112" t="s">
        <v>1440</v>
      </c>
      <c r="D3" s="112"/>
      <c r="E3" s="112"/>
      <c r="F3" s="112"/>
      <c r="G3" s="112"/>
    </row>
    <row r="4" spans="1:8" s="121" customFormat="1" ht="15.75">
      <c r="A4" s="118" t="s">
        <v>1441</v>
      </c>
      <c r="B4" s="119"/>
      <c r="C4" s="119"/>
      <c r="D4" s="119"/>
      <c r="E4" s="119"/>
      <c r="F4" s="119"/>
      <c r="G4" s="120"/>
    </row>
    <row r="5" spans="1:8" s="127" customFormat="1" ht="13.5" customHeight="1">
      <c r="A5" s="168" t="s">
        <v>1442</v>
      </c>
      <c r="B5" s="123" t="s">
        <v>1443</v>
      </c>
      <c r="C5" s="124">
        <f ca="1">C6+C7+C8</f>
        <v>20840370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c r="A8" s="562" t="s">
        <v>1451</v>
      </c>
      <c r="B8" s="128" t="s">
        <v>1452</v>
      </c>
      <c r="C8" s="133">
        <f ca="1">IF(G8="已包含在土地购买价格中",0,C9+C10)</f>
        <v>209760</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209760</v>
      </c>
      <c r="D10" s="589">
        <f ca="1">IF(B1="",'数据-汇总表'!E6,IF(INDIRECT("'数据-取费表'!c"&amp;$G$1)="住宅",INDIRECT("'数据-取费表'!s"&amp;$G$1),INDIRECT("'数据-取费表'!k"&amp;$G$1)+INDIRECT("'数据-取费表'!s"&amp;$G$1)))</f>
        <v>1048.8</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209760</v>
      </c>
      <c r="D19" s="125">
        <f ca="1">D9+D10</f>
        <v>1048.8</v>
      </c>
      <c r="E19" s="124">
        <f>'数据-取费表'!B31</f>
        <v>200</v>
      </c>
      <c r="F19" s="144"/>
      <c r="G19" s="1418"/>
    </row>
    <row r="20" spans="1:7" s="127" customFormat="1" ht="13.5" customHeight="1">
      <c r="A20" s="168" t="s">
        <v>1519</v>
      </c>
      <c r="B20" s="123" t="s">
        <v>1520</v>
      </c>
      <c r="C20" s="145">
        <f ca="1">ROUND((C5+C19)*F20,0)</f>
        <v>421003</v>
      </c>
      <c r="D20" s="145"/>
      <c r="E20" s="145"/>
      <c r="F20" s="146">
        <f>'数据-取费表'!B38</f>
        <v>0.02</v>
      </c>
      <c r="G20" s="147" t="s">
        <v>1521</v>
      </c>
    </row>
    <row r="21" spans="1:7" s="127" customFormat="1" ht="13.5" customHeight="1">
      <c r="A21" s="168" t="s">
        <v>1522</v>
      </c>
      <c r="B21" s="123" t="s">
        <v>1523</v>
      </c>
      <c r="C21" s="148">
        <f>F21</f>
        <v>0.01</v>
      </c>
      <c r="D21" s="149" t="s">
        <v>1524</v>
      </c>
      <c r="E21" s="145"/>
      <c r="F21" s="146">
        <f>'数据-取费表'!B39</f>
        <v>0.01</v>
      </c>
      <c r="G21" s="147" t="s">
        <v>1525</v>
      </c>
    </row>
    <row r="22" spans="1:7" s="127" customFormat="1" ht="13.5" customHeight="1">
      <c r="A22" s="168" t="s">
        <v>1526</v>
      </c>
      <c r="B22" s="123" t="s">
        <v>1527</v>
      </c>
      <c r="C22" s="145">
        <f ca="1">ROUND(SUM(C23:C25),0)</f>
        <v>983181</v>
      </c>
      <c r="D22" s="148">
        <f ca="1">C26</f>
        <v>2.0000000000000001E-4</v>
      </c>
      <c r="E22" s="149" t="s">
        <v>1524</v>
      </c>
      <c r="F22" s="150">
        <f ca="1">'数据-取费表'!B41</f>
        <v>3.0599999999999999E-2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963854</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9701</v>
      </c>
      <c r="D24" s="151"/>
      <c r="E24" s="151"/>
      <c r="F24" s="152"/>
      <c r="G24" s="153" t="s">
        <v>1531</v>
      </c>
    </row>
    <row r="25" spans="1:7" s="127" customFormat="1" ht="24">
      <c r="A25" s="564" t="s">
        <v>1451</v>
      </c>
      <c r="B25" s="128" t="s">
        <v>1532</v>
      </c>
      <c r="C25" s="151">
        <f ca="1">ROUND(IF('数据-取费表'!B22&lt;=1,C20*F22*'数据-取费表'!B22/2,C20*(POWER((1+F22),'数据-取费表'!B22/2)-1)),0)</f>
        <v>9626</v>
      </c>
      <c r="D25" s="151"/>
      <c r="E25" s="154"/>
      <c r="F25" s="152"/>
      <c r="G25" s="155" t="s">
        <v>1533</v>
      </c>
    </row>
    <row r="26" spans="1:7" s="127" customFormat="1">
      <c r="A26" s="564" t="s">
        <v>348</v>
      </c>
      <c r="B26" s="128" t="s">
        <v>1462</v>
      </c>
      <c r="C26" s="151">
        <f ca="1">ROUND(IF('数据-取费表'!B22&lt;=1,F21*F22*'数据-取费表'!B22/2,F21*(POWER((1+F22),'数据-取费表'!B22/2)-1)),4)</f>
        <v>2.0000000000000001E-4</v>
      </c>
      <c r="D26" s="151"/>
      <c r="E26" s="154"/>
      <c r="F26" s="152"/>
      <c r="G26" s="156"/>
    </row>
    <row r="27" spans="1:7" s="127" customFormat="1" ht="24.75">
      <c r="A27" s="168" t="s">
        <v>1463</v>
      </c>
      <c r="B27" s="157" t="s">
        <v>1464</v>
      </c>
      <c r="C27" s="158">
        <f ca="1">C28</f>
        <v>2147113</v>
      </c>
      <c r="D27" s="148">
        <f ca="1">C29</f>
        <v>1E-3</v>
      </c>
      <c r="E27" s="149" t="s">
        <v>1465</v>
      </c>
      <c r="F27" s="159">
        <f ca="1">IF(B1="",'数据-取费表'!Q16,INDIRECT("'数据-取费表'!q"&amp;$G$1))</f>
        <v>0.1</v>
      </c>
      <c r="G27" s="160" t="s">
        <v>1466</v>
      </c>
    </row>
    <row r="28" spans="1:7" s="127" customFormat="1" ht="13.5" customHeight="1">
      <c r="A28" s="564" t="s">
        <v>344</v>
      </c>
      <c r="B28" s="161" t="s">
        <v>1467</v>
      </c>
      <c r="C28" s="162">
        <f ca="1">ROUND((C5+C19+C20)*F27,0)</f>
        <v>2147113</v>
      </c>
      <c r="D28" s="148"/>
      <c r="E28" s="149"/>
      <c r="F28" s="159"/>
      <c r="G28" s="160"/>
    </row>
    <row r="29" spans="1:7" s="127" customFormat="1" ht="13.5" customHeight="1">
      <c r="A29" s="564" t="s">
        <v>345</v>
      </c>
      <c r="B29" s="161" t="s">
        <v>1468</v>
      </c>
      <c r="C29" s="151">
        <f ca="1">ROUND(C21*F27,4)</f>
        <v>1E-3</v>
      </c>
      <c r="D29" s="148"/>
      <c r="E29" s="149"/>
      <c r="F29" s="159"/>
      <c r="G29" s="160"/>
    </row>
    <row r="30" spans="1:7" s="127" customFormat="1" ht="13.5" customHeight="1">
      <c r="A30" s="168" t="s">
        <v>1469</v>
      </c>
      <c r="B30" s="123" t="s">
        <v>1470</v>
      </c>
      <c r="C30" s="148">
        <f>ROUND(F30/(1+'数据-取费表'!C43),4)</f>
        <v>5.9999999999999995E-4</v>
      </c>
      <c r="D30" s="149" t="s">
        <v>1465</v>
      </c>
      <c r="E30" s="154"/>
      <c r="F30" s="3348">
        <v>5.5999999999999995E-4</v>
      </c>
      <c r="G30" s="147" t="s">
        <v>1471</v>
      </c>
    </row>
    <row r="31" spans="1:7" ht="16.5" customHeight="1">
      <c r="A31" s="122">
        <v>1</v>
      </c>
      <c r="B31" s="123" t="s">
        <v>1472</v>
      </c>
      <c r="C31" s="124">
        <f ca="1">ROUND((C5+C19+C20+C22+C27)/(1-C21-D22-D27-C30),0)</f>
        <v>24895190</v>
      </c>
      <c r="D31" s="143"/>
      <c r="E31" s="124"/>
      <c r="F31" s="163"/>
      <c r="G31" s="147" t="s">
        <v>1473</v>
      </c>
    </row>
    <row r="32" spans="1:7" s="121" customFormat="1" ht="15.75">
      <c r="A32" s="165" t="s">
        <v>1534</v>
      </c>
      <c r="B32" s="166"/>
      <c r="C32" s="166"/>
      <c r="D32" s="166"/>
      <c r="E32" s="166"/>
      <c r="F32" s="166"/>
      <c r="G32" s="167"/>
    </row>
    <row r="33" spans="1:7" s="127" customFormat="1" ht="13.5" customHeight="1">
      <c r="A33" s="168" t="s">
        <v>335</v>
      </c>
      <c r="B33" s="123" t="s">
        <v>1535</v>
      </c>
      <c r="C33" s="169">
        <f ca="1">SUM(C34:C38)</f>
        <v>3267012</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2884200</v>
      </c>
      <c r="D34" s="130"/>
      <c r="E34" s="133"/>
      <c r="F34" s="170"/>
      <c r="G34" s="132"/>
    </row>
    <row r="35" spans="1:7" ht="13.5" customHeight="1">
      <c r="A35" s="564" t="s">
        <v>349</v>
      </c>
      <c r="B35" s="128" t="s">
        <v>1476</v>
      </c>
      <c r="C35" s="133">
        <f ca="1">ROUND(C34*F35,0)</f>
        <v>144210</v>
      </c>
      <c r="D35" s="133"/>
      <c r="E35" s="133"/>
      <c r="F35" s="172">
        <f>'数据-取费表'!B33</f>
        <v>0.05</v>
      </c>
      <c r="G35" s="132" t="s">
        <v>1477</v>
      </c>
    </row>
    <row r="36" spans="1:7" ht="24">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209760</v>
      </c>
      <c r="D37" s="130">
        <f ca="1">D19</f>
        <v>1048.8</v>
      </c>
      <c r="E37" s="162">
        <f>'数据-取费表'!B35</f>
        <v>200</v>
      </c>
      <c r="F37" s="172"/>
      <c r="G37" s="174"/>
    </row>
    <row r="38" spans="1:7" ht="13.5" customHeight="1">
      <c r="A38" s="564" t="s">
        <v>352</v>
      </c>
      <c r="B38" s="128" t="s">
        <v>1482</v>
      </c>
      <c r="C38" s="133">
        <f ca="1">ROUND(C34*F38,0)</f>
        <v>28842</v>
      </c>
      <c r="D38" s="133"/>
      <c r="E38" s="133"/>
      <c r="F38" s="172">
        <f>'数据-取费表'!B36</f>
        <v>0.01</v>
      </c>
      <c r="G38" s="132" t="s">
        <v>1477</v>
      </c>
    </row>
    <row r="39" spans="1:7" s="127" customFormat="1" ht="13.5" customHeight="1">
      <c r="A39" s="168" t="s">
        <v>1483</v>
      </c>
      <c r="B39" s="123" t="s">
        <v>1484</v>
      </c>
      <c r="C39" s="145">
        <f ca="1">ROUND(C33*F20,0)</f>
        <v>65340</v>
      </c>
      <c r="D39" s="145"/>
      <c r="E39" s="145"/>
      <c r="F39" s="146">
        <f>F20</f>
        <v>0.02</v>
      </c>
      <c r="G39" s="147" t="s">
        <v>1485</v>
      </c>
    </row>
    <row r="40" spans="1:7" s="127" customFormat="1" ht="13.5" customHeight="1">
      <c r="A40" s="168" t="s">
        <v>1486</v>
      </c>
      <c r="B40" s="123" t="s">
        <v>1487</v>
      </c>
      <c r="C40" s="148">
        <f>F21</f>
        <v>0.01</v>
      </c>
      <c r="D40" s="149" t="s">
        <v>1488</v>
      </c>
      <c r="E40" s="145"/>
      <c r="F40" s="146">
        <f>F21</f>
        <v>0.01</v>
      </c>
      <c r="G40" s="147" t="s">
        <v>1489</v>
      </c>
    </row>
    <row r="41" spans="1:7" s="127" customFormat="1" ht="13.5" customHeight="1">
      <c r="A41" s="168" t="s">
        <v>1490</v>
      </c>
      <c r="B41" s="123" t="s">
        <v>1491</v>
      </c>
      <c r="C41" s="145">
        <f ca="1">ROUND(SUM(C42:C43),0)</f>
        <v>76189</v>
      </c>
      <c r="D41" s="148">
        <f ca="1">C44</f>
        <v>2.0000000000000001E-4</v>
      </c>
      <c r="E41" s="149" t="s">
        <v>1488</v>
      </c>
      <c r="F41" s="150">
        <f ca="1">F22</f>
        <v>3.0599999999999999E-2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74695</v>
      </c>
      <c r="D42" s="151"/>
      <c r="E42" s="151"/>
      <c r="F42" s="152"/>
      <c r="G42" s="4388" t="s">
        <v>1536</v>
      </c>
    </row>
    <row r="43" spans="1:7" ht="13.5" customHeight="1">
      <c r="A43" s="564" t="s">
        <v>345</v>
      </c>
      <c r="B43" s="128" t="s">
        <v>1493</v>
      </c>
      <c r="C43" s="151">
        <f ca="1">ROUND(IF('数据-取费表'!B22&lt;=1,C39*F22*'数据-取费表'!B20/2,C39*(POWER((1+F22),'数据-取费表'!B20/2)-1)),0)</f>
        <v>1494</v>
      </c>
      <c r="D43" s="151"/>
      <c r="E43" s="151"/>
      <c r="F43" s="152"/>
      <c r="G43" s="4390"/>
    </row>
    <row r="44" spans="1:7" ht="13.5" customHeight="1">
      <c r="A44" s="564" t="s">
        <v>346</v>
      </c>
      <c r="B44" s="128" t="s">
        <v>1494</v>
      </c>
      <c r="C44" s="151">
        <f ca="1">ROUND(IF('数据-取费表'!B22&lt;=1,C40*F22*'数据-取费表'!B20/2,C40*(POWER((1+F22),'数据-取费表'!B20/2)-1)),4)</f>
        <v>2.0000000000000001E-4</v>
      </c>
      <c r="D44" s="151"/>
      <c r="E44" s="151"/>
      <c r="F44" s="152"/>
      <c r="G44" s="4389"/>
    </row>
    <row r="45" spans="1:7" s="127" customFormat="1" ht="13.5" customHeight="1">
      <c r="A45" s="168" t="s">
        <v>1495</v>
      </c>
      <c r="B45" s="157" t="s">
        <v>1464</v>
      </c>
      <c r="C45" s="158">
        <f ca="1">C46</f>
        <v>333235</v>
      </c>
      <c r="D45" s="148">
        <f ca="1">C47</f>
        <v>1E-3</v>
      </c>
      <c r="E45" s="149" t="s">
        <v>1488</v>
      </c>
      <c r="F45" s="159">
        <f ca="1">F27</f>
        <v>0.1</v>
      </c>
      <c r="G45" s="160" t="s">
        <v>1496</v>
      </c>
    </row>
    <row r="46" spans="1:7" s="127" customFormat="1" ht="13.5" customHeight="1">
      <c r="A46" s="564" t="s">
        <v>344</v>
      </c>
      <c r="B46" s="161" t="s">
        <v>1497</v>
      </c>
      <c r="C46" s="162">
        <f ca="1">ROUND((C33+C39)*F27,0)</f>
        <v>333235</v>
      </c>
      <c r="D46" s="176"/>
      <c r="E46" s="149"/>
      <c r="F46" s="159"/>
      <c r="G46" s="160"/>
    </row>
    <row r="47" spans="1:7" s="127" customFormat="1" ht="13.5" customHeight="1">
      <c r="A47" s="564" t="s">
        <v>345</v>
      </c>
      <c r="B47" s="161" t="s">
        <v>1498</v>
      </c>
      <c r="C47" s="151">
        <f ca="1">ROUND(C40*F27,4)</f>
        <v>1E-3</v>
      </c>
      <c r="D47" s="176"/>
      <c r="E47" s="149"/>
      <c r="F47" s="159"/>
      <c r="G47" s="160"/>
    </row>
    <row r="48" spans="1:7" s="127" customFormat="1" ht="13.5" customHeight="1">
      <c r="A48" s="168" t="s">
        <v>1463</v>
      </c>
      <c r="B48" s="123" t="s">
        <v>1499</v>
      </c>
      <c r="C48" s="175">
        <f>ROUND(F30/(1+'数据-取费表'!C43),4)</f>
        <v>5.9999999999999995E-4</v>
      </c>
      <c r="D48" s="149" t="s">
        <v>1488</v>
      </c>
      <c r="E48" s="145"/>
      <c r="F48" s="3349">
        <f>F30</f>
        <v>5.5999999999999995E-4</v>
      </c>
      <c r="G48" s="147" t="s">
        <v>1500</v>
      </c>
    </row>
    <row r="49" spans="1:7" ht="16.5" customHeight="1">
      <c r="A49" s="168" t="s">
        <v>1469</v>
      </c>
      <c r="B49" s="123" t="s">
        <v>1537</v>
      </c>
      <c r="C49" s="145">
        <f ca="1">ROUND((C33+C39+C41+C45)/(1-C40-D41-D45-C48),0)</f>
        <v>3786456</v>
      </c>
      <c r="D49" s="145"/>
      <c r="E49" s="145"/>
      <c r="F49" s="177"/>
      <c r="G49" s="147" t="s">
        <v>1501</v>
      </c>
    </row>
    <row r="50" spans="1:7" s="171" customFormat="1">
      <c r="A50" s="168" t="s">
        <v>1502</v>
      </c>
      <c r="B50" s="123" t="s">
        <v>1503</v>
      </c>
      <c r="C50" s="145"/>
      <c r="D50" s="145"/>
      <c r="E50" s="145"/>
      <c r="F50" s="177">
        <f>IF('数据-取费表'!B24=0,'数据-取费表'!N16,1)</f>
        <v>0.62</v>
      </c>
      <c r="G50" s="160"/>
    </row>
    <row r="51" spans="1:7" ht="16.5" customHeight="1">
      <c r="A51" s="168" t="s">
        <v>1504</v>
      </c>
      <c r="B51" s="123" t="s">
        <v>1538</v>
      </c>
      <c r="C51" s="145">
        <f ca="1">ROUND(C49*F50,0)</f>
        <v>2347603</v>
      </c>
      <c r="D51" s="145"/>
      <c r="E51" s="145"/>
      <c r="F51" s="177"/>
      <c r="G51" s="147" t="s">
        <v>1505</v>
      </c>
    </row>
    <row r="52" spans="1:7" s="121" customFormat="1" ht="16.5" thickBot="1">
      <c r="A52" s="178" t="s">
        <v>1506</v>
      </c>
      <c r="B52" s="179"/>
      <c r="C52" s="180">
        <f ca="1">C31+C51</f>
        <v>27242793</v>
      </c>
      <c r="D52" s="179"/>
      <c r="E52" s="179"/>
      <c r="F52" s="179"/>
      <c r="G52" s="181"/>
    </row>
    <row r="55" spans="1:7" ht="15">
      <c r="B55" s="183" t="s">
        <v>1507</v>
      </c>
      <c r="C55" s="184"/>
    </row>
    <row r="56" spans="1:7">
      <c r="B56" s="186" t="s">
        <v>789</v>
      </c>
      <c r="C56" s="188">
        <f ca="1">1-C57</f>
        <v>0.91400000000000003</v>
      </c>
    </row>
    <row r="57" spans="1:7">
      <c r="B57" s="186" t="s">
        <v>790</v>
      </c>
      <c r="C57" s="187">
        <f ca="1">ROUND(C51/C52,3)</f>
        <v>8.5999999999999993E-2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t="s">
        <v>41</v>
      </c>
      <c r="E1" s="988" t="s">
        <v>665</v>
      </c>
      <c r="F1" s="3866">
        <f ca="1">J58</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5" t="e">
        <f ca="1">IF(D2="含税",C28+J29+L51,C25+J28+L51)</f>
        <v>#DIV/0!</v>
      </c>
      <c r="C2" s="1005" t="s">
        <v>792</v>
      </c>
      <c r="D2" s="3773"/>
      <c r="E2" s="1010"/>
      <c r="F2" s="1011"/>
      <c r="G2" s="2060"/>
      <c r="H2" s="2050"/>
      <c r="I2" s="2050"/>
      <c r="J2" s="2050"/>
      <c r="K2" s="2051"/>
      <c r="L2" s="2050"/>
      <c r="M2" s="2050"/>
    </row>
    <row r="3" spans="1:37" ht="18" customHeight="1" thickBot="1">
      <c r="A3" s="1012" t="s">
        <v>793</v>
      </c>
      <c r="B3" s="2979">
        <f ca="1">IF(ISERROR(B2*10000/F29),0,ROUND(B2*10000/F29,0))</f>
        <v>0</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771"/>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2925" t="s">
        <v>3425</v>
      </c>
      <c r="M6" s="3868">
        <f ca="1">INDIRECT("'数据-取费表'!z"&amp;$G$1)</f>
        <v>0</v>
      </c>
    </row>
    <row r="7" spans="1:37" ht="18" customHeight="1">
      <c r="A7" s="4408" t="s">
        <v>391</v>
      </c>
      <c r="B7" s="4393" t="s">
        <v>3428</v>
      </c>
      <c r="C7" s="4395">
        <f ca="1">ROUND(F6*F7*F8/10000,0)</f>
        <v>0</v>
      </c>
      <c r="D7" s="4410" t="s">
        <v>3514</v>
      </c>
      <c r="E7" s="776" t="s">
        <v>684</v>
      </c>
      <c r="F7" s="3867">
        <f ca="1">IF(INDIRECT("'数据-取费表'!ah"&amp;$G$1)="",INDIRECT("'数据-取费表'!k"&amp;$G$1),INDIRECT("'数据-取费表'!ah"&amp;$G$1))</f>
        <v>0</v>
      </c>
      <c r="G7" s="1008"/>
      <c r="H7" s="4408" t="s">
        <v>391</v>
      </c>
      <c r="I7" s="4393" t="s">
        <v>3428</v>
      </c>
      <c r="J7" s="4404">
        <f ca="1">ROUND(M6*M8*M7/10000,0)</f>
        <v>0</v>
      </c>
      <c r="K7" s="4396" t="s">
        <v>3430</v>
      </c>
      <c r="L7" s="204" t="s">
        <v>684</v>
      </c>
      <c r="M7" s="3869">
        <f ca="1">F7</f>
        <v>0</v>
      </c>
    </row>
    <row r="8" spans="1:37" ht="18" customHeight="1">
      <c r="A8" s="4409"/>
      <c r="B8" s="4394"/>
      <c r="C8" s="4395"/>
      <c r="D8" s="4410"/>
      <c r="E8" s="204" t="s">
        <v>685</v>
      </c>
      <c r="F8" s="3867">
        <f ca="1">INDIRECT("'数据-取费表'!ai"&amp;$G$1)</f>
        <v>0</v>
      </c>
      <c r="G8" s="1008"/>
      <c r="H8" s="4409"/>
      <c r="I8" s="4394"/>
      <c r="J8" s="4404"/>
      <c r="K8" s="4396"/>
      <c r="L8" s="204" t="s">
        <v>685</v>
      </c>
      <c r="M8" s="3869">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0</v>
      </c>
      <c r="D10" s="76" t="s">
        <v>2033</v>
      </c>
      <c r="E10" s="215" t="s">
        <v>688</v>
      </c>
      <c r="F10" s="811"/>
      <c r="G10" s="1008"/>
      <c r="H10" s="769" t="s">
        <v>396</v>
      </c>
      <c r="I10" s="990" t="s">
        <v>687</v>
      </c>
      <c r="J10" s="2966">
        <f ca="1">ROUND(IF(M10="押一",J6/12*M11,IF(M10="押二",J6/12*2*M11,IF(M10="押三",J6/12*3*M11,J11*M11))),0)</f>
        <v>0</v>
      </c>
      <c r="K10" s="76" t="s">
        <v>2032</v>
      </c>
      <c r="L10" s="215" t="s">
        <v>688</v>
      </c>
      <c r="M10" s="811"/>
    </row>
    <row r="11" spans="1:37" ht="18" customHeight="1">
      <c r="A11" s="210"/>
      <c r="B11" s="3350" t="s">
        <v>3520</v>
      </c>
      <c r="C11" s="2931"/>
      <c r="D11" s="992"/>
      <c r="E11" s="215" t="s">
        <v>689</v>
      </c>
      <c r="F11" s="3073">
        <f ca="1">'数据-取费表'!B40</f>
        <v>1.4999999999999999E-2</v>
      </c>
      <c r="G11" s="1008"/>
      <c r="H11" s="777"/>
      <c r="I11" s="991" t="s">
        <v>666</v>
      </c>
      <c r="J11" s="2931"/>
      <c r="K11" s="492"/>
      <c r="L11" s="215" t="s">
        <v>689</v>
      </c>
      <c r="M11" s="601">
        <f ca="1">'数据-取费表'!B40</f>
        <v>1.4999999999999999E-2</v>
      </c>
    </row>
    <row r="12" spans="1:37" ht="18" customHeight="1" thickBot="1">
      <c r="A12" s="782" t="s">
        <v>431</v>
      </c>
      <c r="B12" s="993" t="s">
        <v>690</v>
      </c>
      <c r="C12" s="2967"/>
      <c r="D12" s="784"/>
      <c r="E12" s="789"/>
      <c r="F12" s="785"/>
      <c r="G12" s="1008"/>
      <c r="H12" s="782" t="s">
        <v>431</v>
      </c>
      <c r="I12" s="993" t="s">
        <v>690</v>
      </c>
      <c r="J12" s="2968"/>
      <c r="K12" s="797"/>
      <c r="L12" s="789"/>
      <c r="M12" s="785"/>
    </row>
    <row r="13" spans="1:37" ht="18" customHeight="1" thickTop="1">
      <c r="A13" s="778" t="s">
        <v>3725</v>
      </c>
      <c r="B13" s="779" t="s">
        <v>701</v>
      </c>
      <c r="C13" s="2932">
        <f ca="1">ROUND(C14+C21+C22+C23,0)</f>
        <v>0</v>
      </c>
      <c r="D13" s="786" t="s">
        <v>702</v>
      </c>
      <c r="E13" s="787"/>
      <c r="F13" s="772"/>
      <c r="G13" s="1008"/>
      <c r="H13" s="778" t="s">
        <v>3725</v>
      </c>
      <c r="I13" s="779" t="s">
        <v>701</v>
      </c>
      <c r="J13" s="2969">
        <f ca="1">ROUND(J14+J21+J22+J23,0)</f>
        <v>0</v>
      </c>
      <c r="K13" s="972" t="s">
        <v>3484</v>
      </c>
      <c r="L13" s="787"/>
      <c r="M13" s="772"/>
    </row>
    <row r="14" spans="1:37" ht="18" customHeight="1">
      <c r="A14" s="709" t="s">
        <v>392</v>
      </c>
      <c r="B14" s="204" t="s">
        <v>706</v>
      </c>
      <c r="C14" s="2933">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971" t="s">
        <v>708</v>
      </c>
      <c r="M14" s="1780" t="str">
        <f>IF(项目基本情况!B11="企业","",IF('数据-取费表'!B10="住宅",IF(M6*M7*M8/12/(1+'数据-取费表'!F30)&gt;100000,4%,2.5%),IF(M6*M7*M8/12/(1+'数据-取费表'!F30)&gt;100000,12%,7%)))</f>
        <v/>
      </c>
    </row>
    <row r="15" spans="1:37" s="1019" customFormat="1" ht="18" customHeight="1">
      <c r="A15" s="2908" t="s">
        <v>3434</v>
      </c>
      <c r="B15" s="2925" t="s">
        <v>3435</v>
      </c>
      <c r="C15" s="2910">
        <f ca="1">ROUND((C16-C17)*(1+F15),2)</f>
        <v>0</v>
      </c>
      <c r="D15" s="2961" t="s">
        <v>3483</v>
      </c>
      <c r="E15" s="204" t="s">
        <v>3472</v>
      </c>
      <c r="F15" s="2995">
        <f>'数据-取费表'!B44</f>
        <v>0.12000000000000001</v>
      </c>
      <c r="G15" s="1018"/>
      <c r="H15" s="709" t="s">
        <v>391</v>
      </c>
      <c r="I15" s="2925" t="s">
        <v>3435</v>
      </c>
      <c r="J15" s="2910">
        <f ca="1">ROUND((J16-J17)*(1+M15),2)</f>
        <v>0</v>
      </c>
      <c r="K15" s="1067"/>
      <c r="L15" s="204" t="s">
        <v>3472</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937">
        <f ca="1">ROUND(C6*F16,2)</f>
        <v>0</v>
      </c>
      <c r="D16" s="1067"/>
      <c r="E16" s="2938" t="s">
        <v>3438</v>
      </c>
      <c r="F16" s="2995">
        <v>0.09</v>
      </c>
      <c r="G16" s="1008"/>
      <c r="H16" s="2648" t="s">
        <v>3304</v>
      </c>
      <c r="I16" s="2930" t="s">
        <v>3436</v>
      </c>
      <c r="J16" s="2937">
        <f ca="1">ROUND(J6*M16,2)</f>
        <v>0</v>
      </c>
      <c r="K16" s="2939" t="s">
        <v>3439</v>
      </c>
      <c r="L16" s="2938" t="s">
        <v>3438</v>
      </c>
      <c r="M16" s="231">
        <v>0.09</v>
      </c>
    </row>
    <row r="17" spans="1:37" s="1019" customFormat="1" ht="18" customHeight="1">
      <c r="A17" s="2648" t="s">
        <v>3305</v>
      </c>
      <c r="B17" s="2930" t="s">
        <v>3437</v>
      </c>
      <c r="C17" s="2962">
        <f ca="1">ROUND(C21*F16+((C22+C23)*F17),2)</f>
        <v>0</v>
      </c>
      <c r="D17" s="2939" t="s">
        <v>3439</v>
      </c>
      <c r="E17" s="2939"/>
      <c r="F17" s="2995">
        <v>0.06</v>
      </c>
      <c r="G17" s="1018"/>
      <c r="H17" s="2648" t="s">
        <v>3305</v>
      </c>
      <c r="I17" s="2930" t="s">
        <v>3437</v>
      </c>
      <c r="J17" s="2962">
        <f ca="1">ROUND(J21*M16+((J22+J23)*M17),2)</f>
        <v>0</v>
      </c>
      <c r="K17" s="3570"/>
      <c r="L17" s="2939"/>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4">
        <f ca="1">IF(AND(项目基本情况!B11="自然人",M52="住宅"),"——",ROUND(F19*F20/10000,2))</f>
        <v>0</v>
      </c>
      <c r="D19" s="225" t="s">
        <v>718</v>
      </c>
      <c r="E19" s="204" t="s">
        <v>719</v>
      </c>
      <c r="F19" s="2997">
        <f>'数据-取费表'!B53</f>
        <v>0</v>
      </c>
      <c r="G19" s="1008"/>
      <c r="H19" s="709" t="s">
        <v>667</v>
      </c>
      <c r="I19" s="73" t="s">
        <v>717</v>
      </c>
      <c r="J19" s="2934">
        <f ca="1">ROUND(M19*M20/10000,2)</f>
        <v>0</v>
      </c>
      <c r="K19" s="225" t="s">
        <v>718</v>
      </c>
      <c r="L19" s="204" t="s">
        <v>719</v>
      </c>
      <c r="M19" s="226">
        <f>'数据-取费表'!B53</f>
        <v>0</v>
      </c>
    </row>
    <row r="20" spans="1:37" s="1019" customFormat="1" ht="18" customHeight="1">
      <c r="A20" s="227"/>
      <c r="B20" s="800"/>
      <c r="C20" s="2935"/>
      <c r="D20" s="228"/>
      <c r="E20" s="204" t="s">
        <v>723</v>
      </c>
      <c r="F20" s="2991">
        <f ca="1">INDIRECT("'数据-取费表'!r"&amp;$G$1)</f>
        <v>0</v>
      </c>
      <c r="G20" s="1018"/>
      <c r="H20" s="227"/>
      <c r="I20" s="213"/>
      <c r="J20" s="2935"/>
      <c r="K20" s="228"/>
      <c r="L20" s="204" t="s">
        <v>723</v>
      </c>
      <c r="M20" s="205">
        <f ca="1">INDIRECT("'数据-取费表'!r"&amp;$G$1)</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0</v>
      </c>
      <c r="D21" s="971" t="s">
        <v>3473</v>
      </c>
      <c r="E21" s="204" t="s">
        <v>699</v>
      </c>
      <c r="F21" s="2998">
        <f ca="1">INDIRECT("'数据-取费表'!Ak"&amp;$G$1)</f>
        <v>0</v>
      </c>
      <c r="G21" s="1018"/>
      <c r="H21" s="709" t="s">
        <v>396</v>
      </c>
      <c r="I21" s="204" t="s">
        <v>725</v>
      </c>
      <c r="J21" s="2910">
        <f ca="1">ROUND(J31*M21,2)</f>
        <v>0</v>
      </c>
      <c r="K21" s="971" t="s">
        <v>726</v>
      </c>
      <c r="L21" s="204" t="s">
        <v>699</v>
      </c>
      <c r="M21" s="229">
        <f ca="1">INDIRECT("'数据-取费表'!Ak"&amp;$G$1)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0</v>
      </c>
      <c r="D22" s="971" t="s">
        <v>3481</v>
      </c>
      <c r="E22" s="204" t="s">
        <v>731</v>
      </c>
      <c r="F22" s="2999">
        <f ca="1">INDIRECT("'数据-取费表'!Al"&amp;$G$1)</f>
        <v>0</v>
      </c>
      <c r="G22" s="1008"/>
      <c r="H22" s="709" t="s">
        <v>431</v>
      </c>
      <c r="I22" s="204" t="s">
        <v>729</v>
      </c>
      <c r="J22" s="2910">
        <f ca="1">ROUND(J33*M22,2)</f>
        <v>0</v>
      </c>
      <c r="K22" s="971" t="s">
        <v>730</v>
      </c>
      <c r="L22" s="204" t="s">
        <v>731</v>
      </c>
      <c r="M22" s="230">
        <f ca="1">INDIRECT("'数据-取费表'!Al"&amp;$G$1)</f>
        <v>0</v>
      </c>
    </row>
    <row r="23" spans="1:37" s="1019" customFormat="1" ht="18" customHeight="1" thickBot="1">
      <c r="A23" s="788" t="s">
        <v>671</v>
      </c>
      <c r="B23" s="789" t="s">
        <v>715</v>
      </c>
      <c r="C23" s="2936">
        <f ca="1">ROUND(C5*F23,2)</f>
        <v>0</v>
      </c>
      <c r="D23" s="791" t="s">
        <v>735</v>
      </c>
      <c r="E23" s="789" t="s">
        <v>731</v>
      </c>
      <c r="F23" s="3074">
        <f ca="1">INDIRECT("'数据-取费表'!Am"&amp;$G$1)</f>
        <v>0</v>
      </c>
      <c r="G23" s="1018"/>
      <c r="H23" s="788" t="s">
        <v>671</v>
      </c>
      <c r="I23" s="789" t="s">
        <v>715</v>
      </c>
      <c r="J23" s="2936">
        <f ca="1">ROUND(J5*M23,2)</f>
        <v>0</v>
      </c>
      <c r="K23" s="791" t="s">
        <v>735</v>
      </c>
      <c r="L23" s="789" t="s">
        <v>731</v>
      </c>
      <c r="M23" s="785">
        <f ca="1">INDIRECT("'数据-取费表'!Am"&amp;$G$1)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3726</v>
      </c>
      <c r="B24" s="793" t="s">
        <v>759</v>
      </c>
      <c r="C24" s="2932">
        <f ca="1">C5-C13</f>
        <v>0</v>
      </c>
      <c r="D24" s="794" t="s">
        <v>760</v>
      </c>
      <c r="E24" s="795"/>
      <c r="F24" s="796"/>
      <c r="G24" s="1018"/>
      <c r="H24" s="778" t="s">
        <v>3316</v>
      </c>
      <c r="I24" s="793" t="s">
        <v>739</v>
      </c>
      <c r="J24" s="2969">
        <f ca="1">J5-J13</f>
        <v>0</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6" t="s">
        <v>761</v>
      </c>
      <c r="C25" s="4407" t="e">
        <f ca="1">ROUND(C24*(1-((1+F27)/(1+F25))^F26)/(F25-F27),0)</f>
        <v>#DIV/0!</v>
      </c>
      <c r="D25" s="225" t="s">
        <v>745</v>
      </c>
      <c r="E25" s="204" t="s">
        <v>746</v>
      </c>
      <c r="F25" s="3000">
        <f ca="1">INDIRECT("'数据-取费表'!I"&amp;$G$1)</f>
        <v>0</v>
      </c>
      <c r="G25" s="1008"/>
      <c r="H25" s="4397" t="s">
        <v>3727</v>
      </c>
      <c r="I25" s="4400" t="s">
        <v>744</v>
      </c>
      <c r="J25" s="4403">
        <f ca="1">IF(J5&lt;&gt;0,ROUND(J24*(1-((1+M27)/(1+M25))^M26)/(M25-M27),0),0)</f>
        <v>0</v>
      </c>
      <c r="K25" s="225" t="s">
        <v>745</v>
      </c>
      <c r="L25" s="215" t="s">
        <v>746</v>
      </c>
      <c r="M25" s="216">
        <f ca="1">INDIRECT("'数据-取费表'!I"&amp;$G$1)</f>
        <v>0</v>
      </c>
    </row>
    <row r="26" spans="1:37">
      <c r="A26" s="3018"/>
      <c r="B26" s="4406"/>
      <c r="C26" s="4407"/>
      <c r="D26" s="232" t="s">
        <v>762</v>
      </c>
      <c r="E26" s="204" t="s">
        <v>750</v>
      </c>
      <c r="F26" s="3002">
        <f ca="1">IF(INDIRECT("'数据-取费表'!af"&amp;$G$1)=0,INDIRECT("'数据-取费表'!ae"&amp;$G$1),INDIRECT("'数据-取费表'!af"&amp;$G$1))</f>
        <v>0</v>
      </c>
      <c r="G26" s="1008"/>
      <c r="H26" s="4398"/>
      <c r="I26" s="4401"/>
      <c r="J26" s="4404"/>
      <c r="K26" s="971" t="s">
        <v>749</v>
      </c>
      <c r="L26" s="204" t="s">
        <v>750</v>
      </c>
      <c r="M26" s="233">
        <f ca="1">INDIRECT("'数据-取费表'!ag"&amp;$G$1)</f>
        <v>0</v>
      </c>
    </row>
    <row r="27" spans="1:37" ht="18" customHeight="1">
      <c r="A27" s="1054"/>
      <c r="B27" s="4406"/>
      <c r="C27" s="4407"/>
      <c r="D27" s="228"/>
      <c r="E27" s="204" t="s">
        <v>753</v>
      </c>
      <c r="F27" s="3000">
        <f ca="1">INDIRECT("'数据-取费表'!v"&amp;$G$1)</f>
        <v>0</v>
      </c>
      <c r="G27" s="1008"/>
      <c r="H27" s="4399"/>
      <c r="I27" s="4402"/>
      <c r="J27" s="4405"/>
      <c r="K27" s="971"/>
      <c r="L27" s="204" t="s">
        <v>753</v>
      </c>
      <c r="M27" s="214">
        <f ca="1">INDIRECT("'数据-取费表'!aa"&amp;$G$1)</f>
        <v>0</v>
      </c>
    </row>
    <row r="28" spans="1:37" s="1019" customFormat="1" ht="18" customHeight="1" thickBot="1">
      <c r="A28" s="3018" t="s">
        <v>3728</v>
      </c>
      <c r="B28" s="2940" t="s">
        <v>3512</v>
      </c>
      <c r="C28" s="3031" t="e">
        <f ca="1">ROUND(C25*(1+F28),0)</f>
        <v>#DIV/0!</v>
      </c>
      <c r="D28" s="3566"/>
      <c r="E28" s="3567" t="str">
        <f>IF(D28="其他类型公式—收益价值×（1+9%）","销项税率","征收率")</f>
        <v>征收率</v>
      </c>
      <c r="F28" s="3568">
        <f>IF(D28="其他类型公式—收益价值×（1+9%）",9%,3%)</f>
        <v>0.03</v>
      </c>
      <c r="G28" s="1018"/>
      <c r="H28" s="217" t="s">
        <v>3728</v>
      </c>
      <c r="I28" s="2943" t="s">
        <v>755</v>
      </c>
      <c r="J28" s="2965">
        <f ca="1">ROUND(J25/(1+F25)^F26,0)</f>
        <v>0</v>
      </c>
      <c r="K28" s="72" t="s">
        <v>756</v>
      </c>
      <c r="L28" s="204"/>
      <c r="M28" s="233">
        <f ca="1">INDIRECT("'数据-取费表'!k"&amp;$G$1)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t="e">
        <f ca="1">ROUND(C28*10000/F29,0)</f>
        <v>#DIV/0!</v>
      </c>
      <c r="D29" s="237" t="s">
        <v>3516</v>
      </c>
      <c r="E29" s="238" t="s">
        <v>765</v>
      </c>
      <c r="F29" s="3003">
        <f ca="1">INDIRECT("'数据-取费表'!k"&amp;$G$1)</f>
        <v>0</v>
      </c>
      <c r="G29" s="1018"/>
      <c r="H29" s="234" t="s">
        <v>3729</v>
      </c>
      <c r="I29" s="3571" t="s">
        <v>3513</v>
      </c>
      <c r="J29" s="3572">
        <f ca="1">ROUND(J28*(1+F28),0)</f>
        <v>0</v>
      </c>
      <c r="K29" s="3573">
        <f>D28</f>
        <v>0</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3434</v>
      </c>
      <c r="B32" s="2872" t="s">
        <v>694</v>
      </c>
      <c r="C32" s="2806">
        <f ca="1">INDIRECT("'数据-取费表'!m"&amp;$G$1)+INDIRECT("'数据-取费表'!t"&amp;$G$1)</f>
        <v>0</v>
      </c>
      <c r="D32" s="971" t="s">
        <v>695</v>
      </c>
      <c r="E32" s="971"/>
      <c r="F32" s="233"/>
      <c r="G32" s="1008"/>
      <c r="H32" s="2972" t="s">
        <v>3487</v>
      </c>
      <c r="I32" s="2977" t="s">
        <v>3468</v>
      </c>
      <c r="J32" s="2855">
        <f ca="1">ROUND(J31*(1-M32),0)</f>
        <v>0</v>
      </c>
      <c r="K32" s="204" t="s">
        <v>3471</v>
      </c>
      <c r="L32" s="2927" t="s">
        <v>3489</v>
      </c>
      <c r="M32" s="214">
        <f ca="1">INDIRECT("'数据-取费表'!ad"&amp;$G$1)</f>
        <v>0</v>
      </c>
    </row>
    <row r="33" spans="1:13" ht="18" customHeight="1" thickBot="1">
      <c r="A33" s="2908" t="s">
        <v>3442</v>
      </c>
      <c r="B33" s="2872" t="s">
        <v>697</v>
      </c>
      <c r="C33" s="2911">
        <f ca="1">ROUND(C32*F33,0)</f>
        <v>0</v>
      </c>
      <c r="D33" s="204" t="s">
        <v>698</v>
      </c>
      <c r="E33" s="204" t="s">
        <v>699</v>
      </c>
      <c r="F33" s="2996">
        <f>'数据-取费表'!B33</f>
        <v>0.05</v>
      </c>
      <c r="G33" s="1008"/>
      <c r="H33" s="2973" t="s">
        <v>3488</v>
      </c>
      <c r="I33" s="2978" t="s">
        <v>3470</v>
      </c>
      <c r="J33" s="2979">
        <f ca="1">J31-J32</f>
        <v>0</v>
      </c>
      <c r="K33" s="2952" t="s">
        <v>3515</v>
      </c>
      <c r="L33" s="237"/>
      <c r="M33" s="2980"/>
    </row>
    <row r="34" spans="1:13" ht="18" customHeight="1">
      <c r="A34" s="2908" t="s">
        <v>3443</v>
      </c>
      <c r="B34" s="2872" t="s">
        <v>700</v>
      </c>
      <c r="C34" s="2911">
        <f ca="1">ROUND(INDIRECT("'数据-取费表'!m"&amp;$G$1)*F34,0)</f>
        <v>0</v>
      </c>
      <c r="D34" s="204" t="s">
        <v>698</v>
      </c>
      <c r="E34" s="204" t="s">
        <v>699</v>
      </c>
      <c r="F34" s="2996">
        <f ca="1">IF(INDIRECT("'数据-取费表'!c"&amp;$G$1)="住宅",'数据-取费表'!B34,0)</f>
        <v>0</v>
      </c>
      <c r="G34" s="1008"/>
    </row>
    <row r="35" spans="1:13" ht="18" customHeight="1">
      <c r="A35" s="2908" t="s">
        <v>3444</v>
      </c>
      <c r="B35" s="2872" t="s">
        <v>703</v>
      </c>
      <c r="C35" s="2911">
        <f ca="1">ROUND(F35*(F29+INDIRECT("'数据-取费表'!S"&amp;$G$1))/10000,0)</f>
        <v>0</v>
      </c>
      <c r="D35" s="204" t="s">
        <v>704</v>
      </c>
      <c r="E35" s="204" t="s">
        <v>705</v>
      </c>
      <c r="F35" s="2997">
        <f>'数据-取费表'!B35</f>
        <v>200</v>
      </c>
      <c r="G35" s="1008"/>
    </row>
    <row r="36" spans="1:13" ht="18" customHeight="1">
      <c r="A36" s="2908" t="s">
        <v>3445</v>
      </c>
      <c r="B36" s="2930" t="s">
        <v>3446</v>
      </c>
      <c r="C36" s="2911">
        <f ca="1">ROUND(C32*F36,0)</f>
        <v>0</v>
      </c>
      <c r="D36" s="204" t="s">
        <v>698</v>
      </c>
      <c r="E36" s="204" t="s">
        <v>699</v>
      </c>
      <c r="F36" s="2996">
        <f>'数据-取费表'!B36</f>
        <v>0.01</v>
      </c>
      <c r="G36" s="1008"/>
      <c r="H36" s="62"/>
      <c r="I36" s="62"/>
      <c r="J36" s="62"/>
      <c r="K36" s="1953"/>
      <c r="L36" s="62"/>
      <c r="M36" s="62"/>
    </row>
    <row r="37" spans="1:13" ht="18" customHeight="1">
      <c r="A37" s="2908" t="s">
        <v>3445</v>
      </c>
      <c r="B37" s="2930" t="s">
        <v>3447</v>
      </c>
      <c r="C37" s="2911">
        <f ca="1">ROUND(C32*F37,0)</f>
        <v>0</v>
      </c>
      <c r="D37" s="204" t="s">
        <v>698</v>
      </c>
      <c r="E37" s="204" t="s">
        <v>699</v>
      </c>
      <c r="F37" s="2996">
        <f>'数据-取费表'!B37</f>
        <v>0.01</v>
      </c>
      <c r="G37" s="1008"/>
      <c r="H37" s="62"/>
      <c r="I37" s="62"/>
      <c r="J37" s="62"/>
      <c r="K37" s="1953"/>
      <c r="L37" s="62"/>
      <c r="M37" s="62"/>
    </row>
    <row r="38" spans="1:13"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3"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3" ht="18" customHeight="1">
      <c r="A40" s="217" t="s">
        <v>3463</v>
      </c>
      <c r="B40" s="2946" t="s">
        <v>3449</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2997">
        <f>'数据-取费表'!B20</f>
        <v>1.5</v>
      </c>
      <c r="G41" s="1008"/>
      <c r="H41" s="62"/>
      <c r="I41" s="62"/>
      <c r="J41" s="62"/>
      <c r="K41" s="1953"/>
      <c r="L41" s="62"/>
      <c r="M41" s="62"/>
    </row>
    <row r="42" spans="1:13"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3" ht="18" customHeight="1">
      <c r="A43" s="217" t="s">
        <v>3464</v>
      </c>
      <c r="B43" s="2946" t="s">
        <v>3450</v>
      </c>
      <c r="C43" s="3872" t="str">
        <f ca="1">C44&amp;"+"&amp;C45&amp;"V建"</f>
        <v>0+0V建</v>
      </c>
      <c r="D43" s="2892" t="s">
        <v>3465</v>
      </c>
      <c r="E43" s="218"/>
      <c r="F43" s="2997"/>
      <c r="G43" s="1008"/>
      <c r="H43" s="62"/>
      <c r="I43" s="62"/>
      <c r="J43" s="62"/>
      <c r="K43" s="1953"/>
      <c r="L43" s="62"/>
      <c r="M43" s="62"/>
    </row>
    <row r="44" spans="1:13"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3" ht="18" customHeight="1">
      <c r="A45" s="2908" t="s">
        <v>393</v>
      </c>
      <c r="B45" s="204" t="s">
        <v>747</v>
      </c>
      <c r="C45" s="3873">
        <f ca="1">ROUND(F39*F44,4)</f>
        <v>0</v>
      </c>
      <c r="D45" s="224" t="s">
        <v>748</v>
      </c>
      <c r="E45" s="204"/>
      <c r="F45" s="2996"/>
      <c r="G45" s="1008"/>
      <c r="H45" s="62"/>
      <c r="I45" s="62"/>
      <c r="J45" s="62"/>
      <c r="K45" s="1953"/>
      <c r="L45" s="62"/>
      <c r="M45" s="62"/>
    </row>
    <row r="46" spans="1:13" ht="18" customHeight="1">
      <c r="A46" s="217" t="s">
        <v>3451</v>
      </c>
      <c r="B46" s="2943" t="s">
        <v>3452</v>
      </c>
      <c r="C46" s="3874">
        <f>ROUND(F46/(1+'数据-取费表'!C43),4)</f>
        <v>0</v>
      </c>
      <c r="D46" s="2944"/>
      <c r="E46" s="2943"/>
      <c r="F46" s="3000"/>
      <c r="G46" s="1008"/>
      <c r="H46" s="62"/>
      <c r="I46" s="62"/>
      <c r="J46" s="62"/>
      <c r="K46" s="1953"/>
      <c r="L46" s="62"/>
      <c r="M46" s="62"/>
    </row>
    <row r="47" spans="1:13" s="1008" customFormat="1" ht="18" customHeight="1">
      <c r="A47" s="217" t="s">
        <v>3453</v>
      </c>
      <c r="B47" s="2943" t="s">
        <v>3454</v>
      </c>
      <c r="C47" s="2965">
        <f ca="1">ROUND((C31+C38+C41+C44)/(1-F39-C42-C45-C46),0)</f>
        <v>0</v>
      </c>
      <c r="D47" s="2959" t="s">
        <v>3482</v>
      </c>
      <c r="E47" s="2943"/>
      <c r="F47" s="3000"/>
      <c r="K47" s="1024"/>
    </row>
    <row r="48" spans="1:13" s="1008" customFormat="1" ht="18" customHeight="1">
      <c r="A48" s="2947" t="s">
        <v>3467</v>
      </c>
      <c r="B48" s="2946" t="s">
        <v>3468</v>
      </c>
      <c r="C48" s="2965">
        <f ca="1">ROUND(C47*(1-F48),0)</f>
        <v>0</v>
      </c>
      <c r="D48" s="204" t="s">
        <v>3471</v>
      </c>
      <c r="E48" s="204" t="s">
        <v>693</v>
      </c>
      <c r="F48" s="2996">
        <f ca="1">INDIRECT("'数据-取费表'!y"&amp;$G$1)</f>
        <v>0</v>
      </c>
      <c r="K48" s="1024"/>
    </row>
    <row r="49" spans="1:18" s="1008" customFormat="1" ht="18" customHeight="1" thickBot="1">
      <c r="A49" s="2948" t="s">
        <v>3469</v>
      </c>
      <c r="B49" s="2957" t="s">
        <v>3479</v>
      </c>
      <c r="C49" s="2979">
        <f ca="1">C47-C48</f>
        <v>0</v>
      </c>
      <c r="D49" s="2952" t="s">
        <v>3515</v>
      </c>
      <c r="E49" s="235"/>
      <c r="F49" s="2953"/>
      <c r="K49" s="1024"/>
    </row>
    <row r="50" spans="1:18" s="1008" customFormat="1" ht="18" customHeight="1" thickBot="1">
      <c r="A50" s="1022"/>
      <c r="B50" s="1022"/>
      <c r="C50" s="1023"/>
      <c r="D50" s="1022"/>
      <c r="E50" s="1022"/>
      <c r="F50" s="1022"/>
      <c r="I50" s="2981" t="s">
        <v>3490</v>
      </c>
      <c r="J50" s="527"/>
      <c r="O50" s="2059" t="s">
        <v>795</v>
      </c>
      <c r="P50" s="1081"/>
      <c r="Q50" s="1081"/>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37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370" t="e">
        <f ca="1">J65</f>
        <v>#DIV/0!</v>
      </c>
      <c r="R53" s="1042" t="s">
        <v>809</v>
      </c>
    </row>
    <row r="54" spans="1:18" s="1008" customFormat="1" ht="15.75" thickBot="1">
      <c r="A54" s="702" t="s">
        <v>433</v>
      </c>
      <c r="B54" s="995" t="s">
        <v>766</v>
      </c>
      <c r="C54" s="2983">
        <f ca="1">C55-C57</f>
        <v>0</v>
      </c>
      <c r="D54" s="755" t="s">
        <v>2026</v>
      </c>
      <c r="E54" s="2956" t="s">
        <v>3478</v>
      </c>
      <c r="F54" s="3875"/>
      <c r="H54" s="524"/>
      <c r="I54" s="1043" t="s">
        <v>810</v>
      </c>
      <c r="J54" s="3356"/>
      <c r="K54" s="1045" t="s">
        <v>811</v>
      </c>
      <c r="L54" s="3362"/>
      <c r="O54" s="1049" t="s">
        <v>399</v>
      </c>
      <c r="P54" s="1041" t="s">
        <v>812</v>
      </c>
      <c r="Q54" s="3370">
        <f ca="1">C47</f>
        <v>0</v>
      </c>
      <c r="R54" s="1042" t="s">
        <v>805</v>
      </c>
    </row>
    <row r="55" spans="1:18" s="1008" customFormat="1" ht="13.5" thickBot="1">
      <c r="A55" s="703" t="s">
        <v>3476</v>
      </c>
      <c r="B55" s="2955" t="s">
        <v>3474</v>
      </c>
      <c r="C55" s="2984">
        <f ca="1">ROUND(F54*F56*F55/10000,0)</f>
        <v>0</v>
      </c>
      <c r="D55" s="680"/>
      <c r="E55" s="756" t="s">
        <v>684</v>
      </c>
      <c r="F55" s="3876">
        <f ca="1">F7</f>
        <v>0</v>
      </c>
      <c r="H55" s="524"/>
      <c r="I55" s="1043" t="s">
        <v>813</v>
      </c>
      <c r="J55" s="3367">
        <f>SUMPRODUCT((I68:I70=J52)*(J67:L67=J53)*(J68:L70))</f>
        <v>0</v>
      </c>
      <c r="K55" s="1045" t="s">
        <v>814</v>
      </c>
      <c r="L55" s="3362"/>
      <c r="M55" s="1051"/>
      <c r="O55" s="1049" t="s">
        <v>400</v>
      </c>
      <c r="P55" s="1041" t="s">
        <v>815</v>
      </c>
      <c r="Q55" s="1052" t="e">
        <f ca="1">J63</f>
        <v>#DIV/0!</v>
      </c>
      <c r="R55" s="1042"/>
    </row>
    <row r="56" spans="1:18" s="1008" customFormat="1" ht="13.5" thickBot="1">
      <c r="A56" s="704"/>
      <c r="B56" s="706"/>
      <c r="C56" s="2985"/>
      <c r="D56" s="680"/>
      <c r="E56" s="708" t="s">
        <v>685</v>
      </c>
      <c r="F56" s="3867">
        <f ca="1">F8</f>
        <v>0</v>
      </c>
      <c r="I56" s="1053" t="s">
        <v>816</v>
      </c>
      <c r="J56" s="3358">
        <f>IF(J54="",J55,J54+J55-YEAR('数据-取费表'!B2))</f>
        <v>0</v>
      </c>
      <c r="K56" s="1054" t="s">
        <v>817</v>
      </c>
      <c r="L56" s="3363">
        <f ca="1">ROUND(-PV(INDIRECT("'数据-取费表'!h"&amp;$G$1),J56,(C24-C48*C83),0),0)</f>
        <v>0</v>
      </c>
      <c r="M56" s="1056"/>
      <c r="O56" s="1049" t="s">
        <v>401</v>
      </c>
      <c r="P56" s="1041" t="s">
        <v>818</v>
      </c>
      <c r="Q56" s="1052">
        <f>J57</f>
        <v>0</v>
      </c>
      <c r="R56" s="1042"/>
    </row>
    <row r="57" spans="1:18" s="1008" customFormat="1" ht="13.5" thickBot="1">
      <c r="A57" s="704" t="s">
        <v>3477</v>
      </c>
      <c r="B57" s="2955" t="s">
        <v>3475</v>
      </c>
      <c r="C57" s="2985">
        <f ca="1">ROUND(C55*F57,0)</f>
        <v>0</v>
      </c>
      <c r="D57" s="680"/>
      <c r="E57" s="708" t="s">
        <v>686</v>
      </c>
      <c r="F57" s="2992"/>
      <c r="I57" s="1057" t="s">
        <v>819</v>
      </c>
      <c r="J57" s="1058"/>
      <c r="K57" s="1057" t="s">
        <v>820</v>
      </c>
      <c r="L57" s="1058"/>
      <c r="O57" s="1049" t="s">
        <v>402</v>
      </c>
      <c r="P57" s="1041" t="s">
        <v>821</v>
      </c>
      <c r="Q57" s="3369">
        <f ca="1">J58</f>
        <v>0</v>
      </c>
      <c r="R57" s="1042" t="s">
        <v>822</v>
      </c>
    </row>
    <row r="58" spans="1:18" s="1008" customFormat="1" ht="24.75" thickBot="1">
      <c r="A58" s="827" t="s">
        <v>434</v>
      </c>
      <c r="B58" s="997" t="s">
        <v>687</v>
      </c>
      <c r="C58" s="2965">
        <f ca="1">ROUND(IF(F58="押一",C54/12*F11,IF(F58="押二",C54/12*2*F11,IF(F58="押三",C54/12*3*F11,C59*F11))),0)</f>
        <v>0</v>
      </c>
      <c r="D58" s="76" t="s">
        <v>2032</v>
      </c>
      <c r="E58" s="215" t="s">
        <v>688</v>
      </c>
      <c r="F58" s="3877"/>
      <c r="I58" s="1059" t="s">
        <v>823</v>
      </c>
      <c r="J58" s="3359">
        <f ca="1">IF(M52="住宅",IF(D1="——",MAX(J56,L53),MAX(J56,L53-'数据-取费表'!B24)),IF(D1="——",MIN(J56,L53),MIN(J56,L53-'数据-取费表'!B24)))</f>
        <v>0</v>
      </c>
      <c r="K58" s="4391" t="s">
        <v>824</v>
      </c>
      <c r="L58" s="4392"/>
      <c r="O58" s="1040" t="s">
        <v>403</v>
      </c>
      <c r="P58" s="1041" t="s">
        <v>825</v>
      </c>
      <c r="Q58" s="3370" t="e">
        <f ca="1">Q52+Q53</f>
        <v>#DIV/0!</v>
      </c>
      <c r="R58" s="1042" t="s">
        <v>404</v>
      </c>
    </row>
    <row r="59" spans="1:18" s="1008" customFormat="1" ht="13.5" thickBot="1">
      <c r="A59" s="828"/>
      <c r="B59" s="991" t="s">
        <v>666</v>
      </c>
      <c r="C59" s="2931"/>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1005"/>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1035" t="s">
        <v>800</v>
      </c>
      <c r="R60" s="1035" t="s">
        <v>801</v>
      </c>
    </row>
    <row r="61" spans="1:18" s="1008" customFormat="1" ht="25.5" thickTop="1" thickBot="1">
      <c r="A61" s="684">
        <v>2</v>
      </c>
      <c r="B61" s="2958" t="s">
        <v>3480</v>
      </c>
      <c r="C61" s="2664">
        <f ca="1">C49</f>
        <v>0</v>
      </c>
      <c r="D61" s="1067"/>
      <c r="E61" s="1068"/>
      <c r="F61" s="1060"/>
      <c r="I61" s="1069" t="s">
        <v>829</v>
      </c>
      <c r="J61" s="1070"/>
      <c r="K61" s="1043" t="s">
        <v>830</v>
      </c>
      <c r="L61" s="3358">
        <f ca="1">IF(L53&lt;J56,"——",L53-J58)</f>
        <v>0</v>
      </c>
      <c r="O61" s="1040" t="s">
        <v>397</v>
      </c>
      <c r="P61" s="1041" t="s">
        <v>804</v>
      </c>
      <c r="Q61" s="337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369"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369">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5" t="s">
        <v>3435</v>
      </c>
      <c r="C65" s="2910">
        <f ca="1">ROUND((C66-C67)*(1+F65),2)</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80" t="e">
        <f ca="1">L63</f>
        <v>#DIV/0!</v>
      </c>
      <c r="R65" s="1042" t="s">
        <v>843</v>
      </c>
    </row>
    <row r="66" spans="1:18" s="1008" customFormat="1" ht="13.5" thickBot="1">
      <c r="A66" s="709"/>
      <c r="B66" s="2930" t="s">
        <v>3436</v>
      </c>
      <c r="C66" s="2910">
        <f ca="1">ROUND(C54*F66,2)</f>
        <v>0</v>
      </c>
      <c r="D66" s="1067"/>
      <c r="E66" s="2938" t="s">
        <v>3438</v>
      </c>
      <c r="F66" s="2995">
        <f t="shared" ref="F66:F67" si="0">F16</f>
        <v>0.09</v>
      </c>
      <c r="I66" s="1081"/>
      <c r="J66" s="1081"/>
      <c r="K66" s="1081"/>
      <c r="L66" s="1081"/>
      <c r="O66" s="1049" t="s">
        <v>402</v>
      </c>
      <c r="P66" s="1041" t="str">
        <f>K64</f>
        <v>建筑物剩余耐用年限下的土地年期修正系数Kn</v>
      </c>
      <c r="Q66" s="3880" t="e">
        <f ca="1">L64</f>
        <v>#DIV/0!</v>
      </c>
      <c r="R66" s="1042" t="s">
        <v>844</v>
      </c>
    </row>
    <row r="67" spans="1:18" s="1008" customFormat="1" ht="13.5" thickBot="1">
      <c r="A67" s="709"/>
      <c r="B67" s="2930" t="s">
        <v>3437</v>
      </c>
      <c r="C67" s="2910">
        <f ca="1">ROUND(C71*F66+((C72+C73)*F67),2)</f>
        <v>0</v>
      </c>
      <c r="D67" s="2939" t="s">
        <v>3439</v>
      </c>
      <c r="E67" s="2939"/>
      <c r="F67" s="2995">
        <f t="shared" si="0"/>
        <v>0.06</v>
      </c>
      <c r="I67" s="1082" t="s">
        <v>845</v>
      </c>
      <c r="J67" s="1083" t="s">
        <v>846</v>
      </c>
      <c r="K67" s="1083" t="s">
        <v>847</v>
      </c>
      <c r="L67" s="1083" t="s">
        <v>848</v>
      </c>
      <c r="M67" s="1084" t="s">
        <v>849</v>
      </c>
      <c r="O67" s="1040" t="s">
        <v>403</v>
      </c>
      <c r="P67" s="1041" t="s">
        <v>850</v>
      </c>
      <c r="Q67" s="3369" t="e">
        <f ca="1">Q61+Q62</f>
        <v>#DIV/0!</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6">
        <f t="shared" ref="F68:F73" si="1">F18</f>
        <v>1.2E-2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4">
        <f ca="1">IF(项目基本情况!B11="自然人","——",ROUND(F69*F70/10000,2))</f>
        <v>0</v>
      </c>
      <c r="D69" s="692" t="s">
        <v>773</v>
      </c>
      <c r="E69" s="677" t="s">
        <v>774</v>
      </c>
      <c r="F69" s="3878">
        <f t="shared" si="1"/>
        <v>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5"/>
      <c r="D70" s="693"/>
      <c r="E70" s="677" t="s">
        <v>775</v>
      </c>
      <c r="F70" s="3355">
        <f t="shared" ca="1" si="1"/>
        <v>0</v>
      </c>
      <c r="I70" s="1082" t="s">
        <v>854</v>
      </c>
      <c r="J70" s="241">
        <v>40</v>
      </c>
      <c r="K70" s="241">
        <v>30</v>
      </c>
      <c r="L70" s="241">
        <v>50</v>
      </c>
      <c r="M70" s="1085">
        <v>0.02</v>
      </c>
      <c r="O70" s="1040" t="s">
        <v>397</v>
      </c>
      <c r="P70" s="1041" t="s">
        <v>855</v>
      </c>
      <c r="Q70" s="3370" t="e">
        <f ca="1">C25+J28</f>
        <v>#DIV/0!</v>
      </c>
      <c r="R70" s="1042" t="s">
        <v>805</v>
      </c>
    </row>
    <row r="71" spans="1:18" s="1008" customFormat="1" ht="16.5" thickBot="1">
      <c r="A71" s="709" t="s">
        <v>776</v>
      </c>
      <c r="B71" s="677" t="s">
        <v>777</v>
      </c>
      <c r="C71" s="2910">
        <f ca="1">ROUND(C62*F71,2)</f>
        <v>0</v>
      </c>
      <c r="D71" s="691" t="s">
        <v>3473</v>
      </c>
      <c r="E71" s="677" t="s">
        <v>770</v>
      </c>
      <c r="F71" s="2998">
        <f t="shared" ca="1" si="1"/>
        <v>0</v>
      </c>
      <c r="O71" s="1040" t="s">
        <v>398</v>
      </c>
      <c r="P71" s="1041" t="s">
        <v>833</v>
      </c>
      <c r="Q71" s="3369" t="e">
        <f ca="1">L65</f>
        <v>#DIV/0!</v>
      </c>
      <c r="R71" s="1042" t="s">
        <v>856</v>
      </c>
    </row>
    <row r="72" spans="1:18" s="1008" customFormat="1" ht="16.5" thickBot="1">
      <c r="A72" s="709" t="s">
        <v>779</v>
      </c>
      <c r="B72" s="677" t="s">
        <v>729</v>
      </c>
      <c r="C72" s="2910">
        <f ca="1">ROUND(C61*F72,2)</f>
        <v>0</v>
      </c>
      <c r="D72" s="691" t="s">
        <v>3481</v>
      </c>
      <c r="E72" s="677" t="s">
        <v>731</v>
      </c>
      <c r="F72" s="2999">
        <f t="shared" ca="1" si="1"/>
        <v>0</v>
      </c>
      <c r="O72" s="1049" t="s">
        <v>399</v>
      </c>
      <c r="P72" s="1041" t="s">
        <v>837</v>
      </c>
      <c r="Q72" s="3370">
        <f ca="1">L56</f>
        <v>0</v>
      </c>
      <c r="R72" s="1042" t="s">
        <v>857</v>
      </c>
    </row>
    <row r="73" spans="1:18" s="1008" customFormat="1" ht="16.5" thickBot="1">
      <c r="A73" s="709" t="s">
        <v>780</v>
      </c>
      <c r="B73" s="677" t="s">
        <v>715</v>
      </c>
      <c r="C73" s="2910">
        <f ca="1">ROUND(C53*F73,2)</f>
        <v>0</v>
      </c>
      <c r="D73" s="691" t="s">
        <v>781</v>
      </c>
      <c r="E73" s="677" t="s">
        <v>699</v>
      </c>
      <c r="F73" s="3000">
        <f t="shared" ca="1" si="1"/>
        <v>0</v>
      </c>
      <c r="O73" s="1049" t="s">
        <v>400</v>
      </c>
      <c r="P73" s="1087" t="s">
        <v>858</v>
      </c>
      <c r="Q73" s="3370">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370">
        <f ca="1">C24</f>
        <v>0</v>
      </c>
      <c r="R74" s="1042" t="s">
        <v>805</v>
      </c>
    </row>
    <row r="75" spans="1:18" s="1008" customFormat="1" ht="13.5" thickBot="1">
      <c r="A75" s="3023" t="s">
        <v>389</v>
      </c>
      <c r="B75" s="675" t="s">
        <v>761</v>
      </c>
      <c r="C75" s="2970">
        <f ca="1">ROUND(C74*(1-((1+F77)/(1+F75))^F76)/(F75-F77),0)</f>
        <v>0</v>
      </c>
      <c r="D75" s="3020" t="s">
        <v>745</v>
      </c>
      <c r="E75" s="677" t="s">
        <v>746</v>
      </c>
      <c r="F75" s="3000">
        <f ca="1">F25</f>
        <v>0</v>
      </c>
      <c r="O75" s="1049" t="s">
        <v>406</v>
      </c>
      <c r="P75" s="1087" t="s">
        <v>860</v>
      </c>
      <c r="Q75" s="3370">
        <f ca="1">C48</f>
        <v>0</v>
      </c>
      <c r="R75" s="1042" t="s">
        <v>805</v>
      </c>
    </row>
    <row r="76" spans="1:18" s="1008" customFormat="1" ht="13.5" thickBot="1">
      <c r="A76" s="3024"/>
      <c r="B76" s="679"/>
      <c r="C76" s="2987"/>
      <c r="D76" s="3021" t="s">
        <v>749</v>
      </c>
      <c r="E76" s="677" t="s">
        <v>750</v>
      </c>
      <c r="F76" s="3002">
        <f ca="1">F26</f>
        <v>0</v>
      </c>
      <c r="O76" s="1049" t="s">
        <v>407</v>
      </c>
      <c r="P76" s="1087" t="s">
        <v>861</v>
      </c>
      <c r="Q76" s="1052">
        <f ca="1">C83</f>
        <v>0</v>
      </c>
      <c r="R76" s="1042"/>
    </row>
    <row r="77" spans="1:18" s="1008" customFormat="1" ht="13.5" thickBot="1">
      <c r="A77" s="1072"/>
      <c r="B77" s="3022"/>
      <c r="C77" s="3022"/>
      <c r="D77" s="3019"/>
      <c r="E77" s="677" t="s">
        <v>753</v>
      </c>
      <c r="F77" s="2992">
        <v>0.02</v>
      </c>
      <c r="O77" s="1049" t="s">
        <v>401</v>
      </c>
      <c r="P77" s="1041" t="s">
        <v>839</v>
      </c>
      <c r="Q77" s="1052">
        <f>L57</f>
        <v>0</v>
      </c>
      <c r="R77" s="1042"/>
    </row>
    <row r="78" spans="1:18" ht="16.5" thickBot="1">
      <c r="A78" s="681"/>
      <c r="B78" s="2963" t="s">
        <v>3485</v>
      </c>
      <c r="C78" s="2969">
        <f ca="1">ROUND(C75*(1+F28),0)</f>
        <v>0</v>
      </c>
      <c r="D78" s="3569">
        <f>D28</f>
        <v>0</v>
      </c>
      <c r="E78" s="1005"/>
      <c r="F78" s="1005"/>
      <c r="O78" s="1049" t="s">
        <v>402</v>
      </c>
      <c r="P78" s="1041" t="s">
        <v>842</v>
      </c>
      <c r="Q78" s="3371" t="e">
        <f ca="1">L63</f>
        <v>#DIV/0!</v>
      </c>
      <c r="R78" s="1042" t="s">
        <v>843</v>
      </c>
    </row>
    <row r="79" spans="1:18" ht="13.5" thickBot="1">
      <c r="A79" s="698" t="s">
        <v>390</v>
      </c>
      <c r="B79" s="699" t="s">
        <v>763</v>
      </c>
      <c r="C79" s="2979" t="e">
        <f ca="1">ROUND(C78*10000/F79,0)</f>
        <v>#DIV/0!</v>
      </c>
      <c r="D79" s="700" t="s">
        <v>3516</v>
      </c>
      <c r="E79" s="701" t="s">
        <v>765</v>
      </c>
      <c r="F79" s="3003">
        <f ca="1">F29</f>
        <v>0</v>
      </c>
      <c r="O79" s="1049" t="s">
        <v>409</v>
      </c>
      <c r="P79" s="1041" t="str">
        <f>K64</f>
        <v>建筑物剩余耐用年限下的土地年期修正系数Kn</v>
      </c>
      <c r="Q79" s="3371" t="e">
        <f ca="1">L64</f>
        <v>#DIV/0!</v>
      </c>
      <c r="R79" s="1042" t="s">
        <v>844</v>
      </c>
    </row>
    <row r="80" spans="1:18" ht="13.5" thickBot="1">
      <c r="A80" s="1008"/>
      <c r="B80" s="527"/>
      <c r="C80" s="527"/>
      <c r="D80" s="1008"/>
      <c r="E80" s="1008"/>
      <c r="F80" s="1008"/>
      <c r="K80" s="1024"/>
      <c r="L80" s="1008"/>
      <c r="O80" s="1040" t="s">
        <v>403</v>
      </c>
      <c r="P80" s="1041" t="s">
        <v>825</v>
      </c>
      <c r="Q80" s="3370"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c r="E1" s="988" t="s">
        <v>665</v>
      </c>
      <c r="F1" s="762">
        <f ca="1">J58</f>
        <v>0</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1"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3584"/>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3585" t="s">
        <v>3425</v>
      </c>
      <c r="M6" s="3909">
        <f ca="1">INDIRECT("'数据-取费表'!z"&amp;$G$1)</f>
        <v>0</v>
      </c>
    </row>
    <row r="7" spans="1:37" ht="18" customHeight="1">
      <c r="A7" s="4408" t="s">
        <v>391</v>
      </c>
      <c r="B7" s="4393" t="s">
        <v>3428</v>
      </c>
      <c r="C7" s="4395">
        <f ca="1">ROUND(F6*F7*F8,0)</f>
        <v>0</v>
      </c>
      <c r="D7" s="4410" t="s">
        <v>3514</v>
      </c>
      <c r="E7" s="776" t="s">
        <v>684</v>
      </c>
      <c r="F7" s="3867">
        <f ca="1">IF(INDIRECT("'数据-取费表'!ah"&amp;$G$1)="",INDIRECT("'数据-取费表'!k"&amp;$G$1),INDIRECT("'数据-取费表'!ah"&amp;$G$1))</f>
        <v>0</v>
      </c>
      <c r="G7" s="1008"/>
      <c r="H7" s="4408" t="s">
        <v>391</v>
      </c>
      <c r="I7" s="4393" t="s">
        <v>3428</v>
      </c>
      <c r="J7" s="4404">
        <f ca="1">ROUND(M6*M8*M7/10000,0)</f>
        <v>0</v>
      </c>
      <c r="K7" s="4396" t="s">
        <v>3430</v>
      </c>
      <c r="L7" s="1960" t="s">
        <v>684</v>
      </c>
      <c r="M7" s="3910">
        <f ca="1">F7</f>
        <v>0</v>
      </c>
    </row>
    <row r="8" spans="1:37" ht="18" customHeight="1">
      <c r="A8" s="4409"/>
      <c r="B8" s="4394"/>
      <c r="C8" s="4395"/>
      <c r="D8" s="4410"/>
      <c r="E8" s="204" t="s">
        <v>685</v>
      </c>
      <c r="F8" s="3867">
        <f ca="1">INDIRECT("'数据-取费表'!ai"&amp;$G$1)</f>
        <v>0</v>
      </c>
      <c r="G8" s="1008"/>
      <c r="H8" s="4409"/>
      <c r="I8" s="4394"/>
      <c r="J8" s="4404"/>
      <c r="K8" s="4396"/>
      <c r="L8" s="1960" t="s">
        <v>685</v>
      </c>
      <c r="M8" s="3910">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3385" t="s">
        <v>686</v>
      </c>
      <c r="M9" s="3896">
        <f ca="1">INDIRECT("'数据-取费表'!ab"&amp;$G$1)</f>
        <v>0</v>
      </c>
    </row>
    <row r="10" spans="1:37" ht="18" customHeight="1">
      <c r="A10" s="769" t="s">
        <v>396</v>
      </c>
      <c r="B10" s="990" t="s">
        <v>687</v>
      </c>
      <c r="C10" s="3874">
        <f ca="1">ROUND(IF(F10="押一",C6/12*F11,IF(F10="押二",C6/12*2*F11,IF(F10="押三",C6/12*3*F11,C11*F11))),0)</f>
        <v>0</v>
      </c>
      <c r="D10" s="76" t="s">
        <v>2032</v>
      </c>
      <c r="E10" s="215" t="s">
        <v>688</v>
      </c>
      <c r="F10" s="811"/>
      <c r="G10" s="1008"/>
      <c r="H10" s="769" t="s">
        <v>396</v>
      </c>
      <c r="I10" s="990" t="s">
        <v>687</v>
      </c>
      <c r="J10" s="2966">
        <f ca="1">ROUND(IF(M10="押一",J6/12*M11,IF(M10="押二",J6/12*2*M11,IF(M10="押三",J6/12*3*M11,J11*M11))),0)</f>
        <v>0</v>
      </c>
      <c r="K10" s="76" t="s">
        <v>2032</v>
      </c>
      <c r="L10" s="3385" t="s">
        <v>688</v>
      </c>
      <c r="M10" s="3897"/>
    </row>
    <row r="11" spans="1:37" ht="18" customHeight="1">
      <c r="A11" s="210"/>
      <c r="B11" s="991" t="s">
        <v>666</v>
      </c>
      <c r="C11" s="3883"/>
      <c r="D11" s="992"/>
      <c r="E11" s="215" t="s">
        <v>689</v>
      </c>
      <c r="F11" s="3073">
        <f ca="1">'数据-取费表'!B40</f>
        <v>1.4999999999999999E-2</v>
      </c>
      <c r="G11" s="1008"/>
      <c r="H11" s="777"/>
      <c r="I11" s="991" t="s">
        <v>666</v>
      </c>
      <c r="J11" s="3882"/>
      <c r="K11" s="492"/>
      <c r="L11" s="3385" t="s">
        <v>689</v>
      </c>
      <c r="M11" s="3896">
        <f ca="1">'数据-取费表'!B40</f>
        <v>1.4999999999999999E-2</v>
      </c>
    </row>
    <row r="12" spans="1:37" ht="18" customHeight="1" thickBot="1">
      <c r="A12" s="782" t="s">
        <v>431</v>
      </c>
      <c r="B12" s="993" t="s">
        <v>690</v>
      </c>
      <c r="C12" s="2968"/>
      <c r="D12" s="784"/>
      <c r="E12" s="789"/>
      <c r="F12" s="785"/>
      <c r="G12" s="1008"/>
      <c r="H12" s="782" t="s">
        <v>431</v>
      </c>
      <c r="I12" s="993" t="s">
        <v>690</v>
      </c>
      <c r="J12" s="2968"/>
      <c r="K12" s="797"/>
      <c r="L12" s="3586"/>
      <c r="M12" s="3898"/>
    </row>
    <row r="13" spans="1:37" ht="18" customHeight="1" thickTop="1">
      <c r="A13" s="778" t="s">
        <v>3725</v>
      </c>
      <c r="B13" s="779" t="s">
        <v>701</v>
      </c>
      <c r="C13" s="2969">
        <f ca="1">ROUND(C14+C21+C22+C23,0)</f>
        <v>0</v>
      </c>
      <c r="D13" s="786" t="s">
        <v>702</v>
      </c>
      <c r="E13" s="787"/>
      <c r="F13" s="772"/>
      <c r="G13" s="1008"/>
      <c r="H13" s="778" t="s">
        <v>3725</v>
      </c>
      <c r="I13" s="779" t="s">
        <v>701</v>
      </c>
      <c r="J13" s="2969">
        <f ca="1">ROUND(J14+J21+J22+J23,0)</f>
        <v>0</v>
      </c>
      <c r="K13" s="972" t="s">
        <v>3484</v>
      </c>
      <c r="L13" s="772"/>
      <c r="M13" s="3899"/>
    </row>
    <row r="14" spans="1:37" ht="18" customHeight="1">
      <c r="A14" s="709" t="s">
        <v>392</v>
      </c>
      <c r="B14" s="204" t="s">
        <v>706</v>
      </c>
      <c r="C14" s="4014">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87" t="s">
        <v>708</v>
      </c>
      <c r="M14" s="2994" t="str">
        <f>IF(项目基本情况!B11="企业","",IF('数据-取费表'!B10="住宅",IF(M6*M7*M8/12/(1+'数据-取费表'!F30)&gt;100000,4%,2.5%),IF(M6*M7*M8/12/(1+'数据-取费表'!F30)&gt;100000,12%,7%)))</f>
        <v/>
      </c>
    </row>
    <row r="15" spans="1:37" s="1019" customFormat="1" ht="18" customHeight="1">
      <c r="A15" s="2908" t="s">
        <v>391</v>
      </c>
      <c r="B15" s="2925" t="s">
        <v>3301</v>
      </c>
      <c r="C15" s="2911">
        <f ca="1">ROUND((C16-C17)*(1+F15),0)</f>
        <v>0</v>
      </c>
      <c r="D15" s="2961" t="s">
        <v>3483</v>
      </c>
      <c r="E15" s="204" t="s">
        <v>3472</v>
      </c>
      <c r="F15" s="2995">
        <f>'数据-取费表'!B44</f>
        <v>0.12000000000000001</v>
      </c>
      <c r="G15" s="1018"/>
      <c r="H15" s="709" t="s">
        <v>391</v>
      </c>
      <c r="I15" s="2925" t="s">
        <v>3301</v>
      </c>
      <c r="J15" s="2910">
        <f ca="1">ROUND((J16-J17)*(1+M15),2)</f>
        <v>0</v>
      </c>
      <c r="K15" s="1067"/>
      <c r="L15" s="1960" t="s">
        <v>3472</v>
      </c>
      <c r="M15" s="3900">
        <f>'数据-取费表'!B44</f>
        <v>0.12000000000000001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855">
        <f ca="1">ROUND(C6*F16,0)</f>
        <v>0</v>
      </c>
      <c r="D16" s="1067"/>
      <c r="E16" s="2938" t="s">
        <v>3438</v>
      </c>
      <c r="F16" s="2995">
        <v>0.09</v>
      </c>
      <c r="G16" s="1008"/>
      <c r="H16" s="2648" t="s">
        <v>3304</v>
      </c>
      <c r="I16" s="2930" t="s">
        <v>3436</v>
      </c>
      <c r="J16" s="2937">
        <f ca="1">ROUND(J6*M16,2)</f>
        <v>0</v>
      </c>
      <c r="K16" s="2939" t="s">
        <v>3439</v>
      </c>
      <c r="L16" s="3587" t="s">
        <v>3438</v>
      </c>
      <c r="M16" s="3901">
        <v>0.09</v>
      </c>
    </row>
    <row r="17" spans="1:37" s="1019" customFormat="1" ht="18" customHeight="1">
      <c r="A17" s="2648" t="s">
        <v>3305</v>
      </c>
      <c r="B17" s="2930" t="s">
        <v>3437</v>
      </c>
      <c r="C17" s="3351">
        <f ca="1">ROUND(C21*F16+((C22+C23)*F17),0)</f>
        <v>0</v>
      </c>
      <c r="D17" s="2939" t="s">
        <v>3439</v>
      </c>
      <c r="E17" s="2939"/>
      <c r="F17" s="2995">
        <v>0.06</v>
      </c>
      <c r="G17" s="1018"/>
      <c r="H17" s="2648" t="s">
        <v>3305</v>
      </c>
      <c r="I17" s="2930" t="s">
        <v>3437</v>
      </c>
      <c r="J17" s="2962">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2">
        <f ca="1">IF(AND(项目基本情况!B11="自然人",M52="住宅"),"——",ROUND(F19*F20,0))</f>
        <v>0</v>
      </c>
      <c r="D19" s="225" t="s">
        <v>718</v>
      </c>
      <c r="E19" s="204" t="s">
        <v>719</v>
      </c>
      <c r="F19" s="3878">
        <f>'数据-取费表'!B53</f>
        <v>0</v>
      </c>
      <c r="G19" s="1008"/>
      <c r="H19" s="709" t="s">
        <v>667</v>
      </c>
      <c r="I19" s="73" t="s">
        <v>717</v>
      </c>
      <c r="J19" s="2934">
        <f ca="1">ROUND(M19*M20/10000,2)</f>
        <v>0</v>
      </c>
      <c r="K19" s="225" t="s">
        <v>718</v>
      </c>
      <c r="L19" s="1960" t="s">
        <v>719</v>
      </c>
      <c r="M19" s="3908">
        <f>'数据-取费表'!B53</f>
        <v>0</v>
      </c>
    </row>
    <row r="20" spans="1:37" s="1019" customFormat="1" ht="18" customHeight="1">
      <c r="A20" s="227"/>
      <c r="B20" s="800"/>
      <c r="C20" s="3353"/>
      <c r="D20" s="228"/>
      <c r="E20" s="204" t="s">
        <v>723</v>
      </c>
      <c r="F20" s="3355">
        <f ca="1">INDIRECT("'数据-取费表'!r"&amp;$G$1)</f>
        <v>0</v>
      </c>
      <c r="G20" s="1018"/>
      <c r="H20" s="227"/>
      <c r="I20" s="213"/>
      <c r="J20" s="2935"/>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8">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3481</v>
      </c>
      <c r="E22" s="204" t="s">
        <v>699</v>
      </c>
      <c r="F22" s="2999">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4">
        <f ca="1">ROUND(C5*F23,0)</f>
        <v>0</v>
      </c>
      <c r="D23" s="791" t="s">
        <v>735</v>
      </c>
      <c r="E23" s="789" t="s">
        <v>699</v>
      </c>
      <c r="F23" s="3074">
        <f ca="1">INDIRECT("'数据-取费表'!Am"&amp;$G$1)</f>
        <v>0</v>
      </c>
      <c r="G23" s="1018"/>
      <c r="H23" s="788" t="s">
        <v>670</v>
      </c>
      <c r="I23" s="789" t="s">
        <v>715</v>
      </c>
      <c r="J23" s="2936">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3316</v>
      </c>
      <c r="B24" s="793" t="s">
        <v>759</v>
      </c>
      <c r="C24" s="2969">
        <f ca="1">C5-C13</f>
        <v>0</v>
      </c>
      <c r="D24" s="794" t="s">
        <v>740</v>
      </c>
      <c r="E24" s="795"/>
      <c r="F24" s="796"/>
      <c r="G24" s="1018"/>
      <c r="H24" s="778" t="s">
        <v>3316</v>
      </c>
      <c r="I24" s="793" t="s">
        <v>739</v>
      </c>
      <c r="J24" s="2969">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6" t="s">
        <v>761</v>
      </c>
      <c r="C25" s="4395" t="e">
        <f ca="1">ROUND(C24*(1-((1+F27)/(1+F25))^F26)/(F25-F27),0)</f>
        <v>#DIV/0!</v>
      </c>
      <c r="D25" s="225" t="s">
        <v>745</v>
      </c>
      <c r="E25" s="204" t="s">
        <v>746</v>
      </c>
      <c r="F25" s="3000">
        <f ca="1">INDIRECT("'数据-取费表'!I"&amp;$G$1)</f>
        <v>0</v>
      </c>
      <c r="G25" s="1008"/>
      <c r="H25" s="4397" t="s">
        <v>3727</v>
      </c>
      <c r="I25" s="4400" t="s">
        <v>744</v>
      </c>
      <c r="J25" s="4403">
        <f ca="1">IF(J5&lt;&gt;0,ROUND(J24*(1-((1+M27)/(1+M25))^M26)/(M25-M27),0),0)</f>
        <v>0</v>
      </c>
      <c r="K25" s="225" t="s">
        <v>745</v>
      </c>
      <c r="L25" s="3385" t="s">
        <v>746</v>
      </c>
      <c r="M25" s="3896">
        <f ca="1">INDIRECT("'数据-取费表'!I"&amp;$G$1)</f>
        <v>0</v>
      </c>
    </row>
    <row r="26" spans="1:37">
      <c r="A26" s="3018"/>
      <c r="B26" s="4406"/>
      <c r="C26" s="4395"/>
      <c r="D26" s="232" t="s">
        <v>762</v>
      </c>
      <c r="E26" s="204" t="s">
        <v>750</v>
      </c>
      <c r="F26" s="3002">
        <f ca="1">IF(INDIRECT("'数据-取费表'!af"&amp;$G$1)=0,INDIRECT("'数据-取费表'!ae"&amp;$G$1),INDIRECT("'数据-取费表'!af"&amp;$G$1))</f>
        <v>0</v>
      </c>
      <c r="G26" s="1008"/>
      <c r="H26" s="4398"/>
      <c r="I26" s="4401"/>
      <c r="J26" s="4404"/>
      <c r="K26" s="971" t="s">
        <v>749</v>
      </c>
      <c r="L26" s="1960" t="s">
        <v>750</v>
      </c>
      <c r="M26" s="3906">
        <f ca="1">INDIRECT("'数据-取费表'!ag"&amp;$G$1)</f>
        <v>0</v>
      </c>
    </row>
    <row r="27" spans="1:37" ht="18" customHeight="1">
      <c r="A27" s="1054"/>
      <c r="B27" s="4406"/>
      <c r="C27" s="4395"/>
      <c r="D27" s="228"/>
      <c r="E27" s="204" t="s">
        <v>753</v>
      </c>
      <c r="F27" s="3000">
        <f ca="1">INDIRECT("'数据-取费表'!v"&amp;$G$1)</f>
        <v>0</v>
      </c>
      <c r="G27" s="1008"/>
      <c r="H27" s="4399"/>
      <c r="I27" s="4402"/>
      <c r="J27" s="4405"/>
      <c r="K27" s="971"/>
      <c r="L27" s="1960" t="s">
        <v>753</v>
      </c>
      <c r="M27" s="3907">
        <f ca="1">INDIRECT("'数据-取费表'!aa"&amp;$G$1)</f>
        <v>0</v>
      </c>
    </row>
    <row r="28" spans="1:37" s="1019" customFormat="1" ht="18" customHeight="1" thickBot="1">
      <c r="A28" s="3018" t="s">
        <v>3728</v>
      </c>
      <c r="B28" s="2940" t="s">
        <v>3512</v>
      </c>
      <c r="C28" s="2965" t="e">
        <f ca="1">ROUND(C25*(1+F28),0)</f>
        <v>#DIV/0!</v>
      </c>
      <c r="D28" s="3566" t="s">
        <v>3731</v>
      </c>
      <c r="E28" s="3567" t="str">
        <f>IF(D28="其他类型公式—收益价值×（1+9%）","销项税率","征收率")</f>
        <v>销项税率</v>
      </c>
      <c r="F28" s="3568">
        <f>IF(D28="其他类型公式—收益价值×（1+9%）",9%,3%)</f>
        <v>0.09</v>
      </c>
      <c r="G28" s="1018"/>
      <c r="H28" s="217" t="s">
        <v>3728</v>
      </c>
      <c r="I28" s="2943" t="s">
        <v>755</v>
      </c>
      <c r="J28" s="2965">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9" t="e">
        <f ca="1">ROUND(C28/F29,0)</f>
        <v>#DIV/0!</v>
      </c>
      <c r="D29" s="237" t="s">
        <v>3516</v>
      </c>
      <c r="E29" s="238" t="s">
        <v>765</v>
      </c>
      <c r="F29" s="3003">
        <f ca="1">INDIRECT("'数据-取费表'!k"&amp;$G$1)</f>
        <v>0</v>
      </c>
      <c r="G29" s="1018"/>
      <c r="H29" s="234" t="s">
        <v>3730</v>
      </c>
      <c r="I29" s="3571" t="s">
        <v>3513</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391</v>
      </c>
      <c r="B32" s="2872" t="s">
        <v>694</v>
      </c>
      <c r="C32" s="2806">
        <f ca="1">ROUND(INDIRECT("'数据-取费表'!l"&amp;$G$1)*F29+'数据-取费表'!L14*INDIRECT("'数据-取费表'!S"&amp;$G$1),0)</f>
        <v>0</v>
      </c>
      <c r="D32" s="971" t="s">
        <v>695</v>
      </c>
      <c r="E32" s="971"/>
      <c r="F32" s="233"/>
      <c r="G32" s="1008"/>
      <c r="H32" s="2972" t="s">
        <v>396</v>
      </c>
      <c r="I32" s="2977" t="s">
        <v>3468</v>
      </c>
      <c r="J32" s="2855">
        <f ca="1">ROUND(J31*(1-M32),0)</f>
        <v>0</v>
      </c>
      <c r="K32" s="204" t="s">
        <v>3471</v>
      </c>
      <c r="L32" s="2927" t="s">
        <v>3489</v>
      </c>
      <c r="M32" s="214">
        <f ca="1">INDIRECT("'数据-取费表'!ad"&amp;$G$1)</f>
        <v>0</v>
      </c>
    </row>
    <row r="33" spans="1:17" ht="18" customHeight="1" thickBot="1">
      <c r="A33" s="2908" t="s">
        <v>3429</v>
      </c>
      <c r="B33" s="2872" t="s">
        <v>697</v>
      </c>
      <c r="C33" s="2911">
        <f ca="1">ROUND(C32*F33,0)</f>
        <v>0</v>
      </c>
      <c r="D33" s="204" t="s">
        <v>698</v>
      </c>
      <c r="E33" s="204" t="s">
        <v>699</v>
      </c>
      <c r="F33" s="2996">
        <f>'数据-取费表'!B33</f>
        <v>0.05</v>
      </c>
      <c r="G33" s="1008"/>
      <c r="H33" s="2973" t="s">
        <v>3459</v>
      </c>
      <c r="I33" s="2978" t="s">
        <v>3470</v>
      </c>
      <c r="J33" s="2979">
        <f ca="1">J31-J32</f>
        <v>0</v>
      </c>
      <c r="K33" s="2952" t="s">
        <v>3515</v>
      </c>
      <c r="L33" s="237"/>
      <c r="M33" s="2980"/>
    </row>
    <row r="34" spans="1:17" ht="18" customHeight="1">
      <c r="A34" s="2908" t="s">
        <v>667</v>
      </c>
      <c r="B34" s="2872" t="s">
        <v>700</v>
      </c>
      <c r="C34" s="2911">
        <f ca="1">ROUND(INDIRECT("'数据-取费表'!m"&amp;$G$1)*F34,0)</f>
        <v>0</v>
      </c>
      <c r="D34" s="204" t="s">
        <v>698</v>
      </c>
      <c r="E34" s="204" t="s">
        <v>699</v>
      </c>
      <c r="F34" s="2996">
        <f ca="1">IF(INDIRECT("'数据-取费表'!c"&amp;$G$1)="住宅",'数据-取费表'!B34,0)</f>
        <v>0</v>
      </c>
      <c r="G34" s="1008"/>
    </row>
    <row r="35" spans="1:17" ht="18" customHeight="1">
      <c r="A35" s="2908" t="s">
        <v>3444</v>
      </c>
      <c r="B35" s="2872" t="s">
        <v>703</v>
      </c>
      <c r="C35" s="2911">
        <f ca="1">ROUND(F35*(F29+INDIRECT("'数据-取费表'!S"&amp;$G$1)),0)</f>
        <v>0</v>
      </c>
      <c r="D35" s="204" t="s">
        <v>704</v>
      </c>
      <c r="E35" s="204" t="s">
        <v>705</v>
      </c>
      <c r="F35" s="3884">
        <f>'数据-取费表'!B35</f>
        <v>200</v>
      </c>
      <c r="G35" s="1008"/>
    </row>
    <row r="36" spans="1:17" ht="18" customHeight="1">
      <c r="A36" s="2908" t="s">
        <v>669</v>
      </c>
      <c r="B36" s="2930" t="s">
        <v>3308</v>
      </c>
      <c r="C36" s="2911">
        <f ca="1">ROUND(C32*F36,0)</f>
        <v>0</v>
      </c>
      <c r="D36" s="204" t="s">
        <v>698</v>
      </c>
      <c r="E36" s="204" t="s">
        <v>699</v>
      </c>
      <c r="F36" s="2996">
        <f>'数据-取费表'!B36</f>
        <v>0.01</v>
      </c>
      <c r="G36" s="1008"/>
      <c r="H36" s="62"/>
      <c r="I36" s="62"/>
      <c r="J36" s="62"/>
      <c r="K36" s="1953"/>
      <c r="L36" s="62"/>
      <c r="M36" s="62"/>
    </row>
    <row r="37" spans="1:17" ht="18" customHeight="1">
      <c r="A37" s="2908" t="s">
        <v>669</v>
      </c>
      <c r="B37" s="2930" t="s">
        <v>3309</v>
      </c>
      <c r="C37" s="2911">
        <f ca="1">ROUND(C32*F37,0)</f>
        <v>0</v>
      </c>
      <c r="D37" s="204" t="s">
        <v>698</v>
      </c>
      <c r="E37" s="204" t="s">
        <v>699</v>
      </c>
      <c r="F37" s="2996">
        <f>'数据-取费表'!B37</f>
        <v>0.01</v>
      </c>
      <c r="G37" s="1008"/>
      <c r="H37" s="62"/>
      <c r="I37" s="62"/>
      <c r="J37" s="62"/>
      <c r="K37" s="1953"/>
      <c r="L37" s="62"/>
      <c r="M37" s="62"/>
    </row>
    <row r="38" spans="1:17"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7"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7" ht="18" customHeight="1">
      <c r="A40" s="217" t="s">
        <v>3463</v>
      </c>
      <c r="B40" s="2946" t="s">
        <v>3391</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7" ht="18" customHeight="1">
      <c r="A43" s="217" t="s">
        <v>3464</v>
      </c>
      <c r="B43" s="2946" t="s">
        <v>3327</v>
      </c>
      <c r="C43" s="3872" t="str">
        <f ca="1">C44&amp;"+"&amp;C45&amp;"V建"</f>
        <v>0+0V建</v>
      </c>
      <c r="D43" s="2892" t="s">
        <v>3465</v>
      </c>
      <c r="E43" s="218"/>
      <c r="F43" s="2997"/>
      <c r="G43" s="1008"/>
      <c r="H43" s="62"/>
      <c r="I43" s="62"/>
      <c r="J43" s="62"/>
      <c r="K43" s="1953"/>
      <c r="L43" s="62"/>
      <c r="M43" s="62"/>
    </row>
    <row r="44" spans="1:17"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6"/>
      <c r="G45" s="1008"/>
      <c r="H45" s="62"/>
      <c r="I45" s="62"/>
      <c r="J45" s="62"/>
      <c r="K45" s="1953"/>
      <c r="L45" s="62"/>
      <c r="M45" s="62"/>
    </row>
    <row r="46" spans="1:17" ht="18" customHeight="1">
      <c r="A46" s="217" t="s">
        <v>3451</v>
      </c>
      <c r="B46" s="2943" t="s">
        <v>3452</v>
      </c>
      <c r="C46" s="3874">
        <f>ROUND(F46/(1+'数据-取费表'!C43),4)</f>
        <v>0</v>
      </c>
      <c r="D46" s="2944"/>
      <c r="E46" s="2943"/>
      <c r="F46" s="3000"/>
      <c r="G46" s="1008"/>
      <c r="H46" s="62"/>
      <c r="I46" s="62"/>
      <c r="J46" s="62"/>
      <c r="K46" s="1953"/>
      <c r="L46" s="62"/>
      <c r="M46" s="62"/>
    </row>
    <row r="47" spans="1:17" s="1008" customFormat="1" ht="18" customHeight="1">
      <c r="A47" s="217" t="s">
        <v>3453</v>
      </c>
      <c r="B47" s="2943" t="s">
        <v>3454</v>
      </c>
      <c r="C47" s="2965">
        <f ca="1">ROUND((C31+C38+C41+C44)/(1-F39-C42-C45-C46),0)</f>
        <v>0</v>
      </c>
      <c r="D47" s="2959" t="s">
        <v>3482</v>
      </c>
      <c r="E47" s="2943"/>
      <c r="F47" s="3000"/>
      <c r="K47" s="1024"/>
      <c r="Q47" s="3887"/>
    </row>
    <row r="48" spans="1:17" s="1008" customFormat="1" ht="18" customHeight="1">
      <c r="A48" s="2947" t="s">
        <v>3466</v>
      </c>
      <c r="B48" s="2946" t="s">
        <v>3468</v>
      </c>
      <c r="C48" s="2965">
        <f ca="1">ROUND(C47*(1-F48),0)</f>
        <v>0</v>
      </c>
      <c r="D48" s="204" t="s">
        <v>3471</v>
      </c>
      <c r="E48" s="204" t="s">
        <v>693</v>
      </c>
      <c r="F48" s="2996">
        <f ca="1">INDIRECT("'数据-取费表'!y"&amp;$G$1)</f>
        <v>0</v>
      </c>
      <c r="K48" s="1024"/>
      <c r="Q48" s="3887"/>
    </row>
    <row r="49" spans="1:18" s="1008" customFormat="1" ht="18" customHeight="1" thickBot="1">
      <c r="A49" s="2948" t="s">
        <v>3469</v>
      </c>
      <c r="B49" s="2957" t="s">
        <v>3479</v>
      </c>
      <c r="C49" s="2979">
        <f ca="1">C47-C48</f>
        <v>0</v>
      </c>
      <c r="D49" s="2952" t="s">
        <v>3515</v>
      </c>
      <c r="E49" s="235"/>
      <c r="F49" s="2953"/>
      <c r="K49" s="1024"/>
      <c r="Q49" s="3887"/>
    </row>
    <row r="50" spans="1:18" s="1008" customFormat="1" ht="18" customHeight="1" thickBot="1">
      <c r="A50" s="1022"/>
      <c r="B50" s="1022"/>
      <c r="C50" s="1023"/>
      <c r="D50" s="1022"/>
      <c r="E50" s="1022"/>
      <c r="F50" s="1022"/>
      <c r="I50" s="2981" t="s">
        <v>3490</v>
      </c>
      <c r="J50" s="527"/>
      <c r="O50" s="2059" t="s">
        <v>795</v>
      </c>
      <c r="P50" s="1081"/>
      <c r="Q50" s="3889"/>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890" t="e">
        <f ca="1">J65</f>
        <v>#DIV/0!</v>
      </c>
      <c r="R53" s="1042" t="s">
        <v>809</v>
      </c>
    </row>
    <row r="54" spans="1:18" s="1008" customFormat="1" ht="15.75" thickBot="1">
      <c r="A54" s="702" t="s">
        <v>433</v>
      </c>
      <c r="B54" s="995" t="s">
        <v>766</v>
      </c>
      <c r="C54" s="2983">
        <f ca="1">C55-C57</f>
        <v>0</v>
      </c>
      <c r="D54" s="755" t="s">
        <v>2026</v>
      </c>
      <c r="E54" s="2956" t="s">
        <v>3478</v>
      </c>
      <c r="F54" s="2989"/>
      <c r="H54" s="524"/>
      <c r="I54" s="1043" t="s">
        <v>810</v>
      </c>
      <c r="J54" s="3356"/>
      <c r="K54" s="1045" t="s">
        <v>811</v>
      </c>
      <c r="L54" s="3362"/>
      <c r="O54" s="1049" t="s">
        <v>399</v>
      </c>
      <c r="P54" s="1041" t="s">
        <v>812</v>
      </c>
      <c r="Q54" s="3890">
        <f ca="1">C47</f>
        <v>0</v>
      </c>
      <c r="R54" s="1042" t="s">
        <v>805</v>
      </c>
    </row>
    <row r="55" spans="1:18" s="1008" customFormat="1" ht="13.5" thickBot="1">
      <c r="A55" s="703" t="s">
        <v>3476</v>
      </c>
      <c r="B55" s="2955" t="s">
        <v>3474</v>
      </c>
      <c r="C55" s="2984">
        <f ca="1">ROUND(F54*F56*F55,0)</f>
        <v>0</v>
      </c>
      <c r="D55" s="680"/>
      <c r="E55" s="756" t="s">
        <v>684</v>
      </c>
      <c r="F55" s="2990">
        <f ca="1">F7</f>
        <v>0</v>
      </c>
      <c r="H55" s="524"/>
      <c r="I55" s="1043" t="s">
        <v>813</v>
      </c>
      <c r="J55" s="3357">
        <f>SUMPRODUCT((I68:I70=J52)*(J67:L67=J53)*(J68:L70))</f>
        <v>0</v>
      </c>
      <c r="K55" s="1045" t="s">
        <v>814</v>
      </c>
      <c r="L55" s="3362"/>
      <c r="M55" s="1051"/>
      <c r="O55" s="1049" t="s">
        <v>400</v>
      </c>
      <c r="P55" s="1041" t="s">
        <v>815</v>
      </c>
      <c r="Q55" s="3891" t="e">
        <f ca="1">J63</f>
        <v>#DIV/0!</v>
      </c>
      <c r="R55" s="1042"/>
    </row>
    <row r="56" spans="1:18" s="1008" customFormat="1" ht="13.5" thickBot="1">
      <c r="A56" s="704"/>
      <c r="B56" s="706"/>
      <c r="C56" s="2985"/>
      <c r="D56" s="680"/>
      <c r="E56" s="708" t="s">
        <v>685</v>
      </c>
      <c r="F56" s="2991">
        <f ca="1">F8</f>
        <v>0</v>
      </c>
      <c r="I56" s="1053" t="s">
        <v>816</v>
      </c>
      <c r="J56" s="3358">
        <f>IF(J54="",J55,J54+J55-YEAR('数据-取费表'!B2))</f>
        <v>0</v>
      </c>
      <c r="K56" s="1054" t="s">
        <v>817</v>
      </c>
      <c r="L56" s="3363">
        <f ca="1">ROUND(-PV(INDIRECT("'数据-取费表'!h"&amp;$G$1),J56,(C24-C48*C83),0),0)</f>
        <v>0</v>
      </c>
      <c r="M56" s="1056"/>
      <c r="O56" s="1049" t="s">
        <v>401</v>
      </c>
      <c r="P56" s="1041" t="s">
        <v>818</v>
      </c>
      <c r="Q56" s="3891">
        <f>J57</f>
        <v>0</v>
      </c>
      <c r="R56" s="1042"/>
    </row>
    <row r="57" spans="1:18" s="1008" customFormat="1" ht="13.5" thickBot="1">
      <c r="A57" s="704" t="s">
        <v>3477</v>
      </c>
      <c r="B57" s="2955" t="s">
        <v>3426</v>
      </c>
      <c r="C57" s="2985">
        <f ca="1">ROUND(C55*F57,0)</f>
        <v>0</v>
      </c>
      <c r="D57" s="680"/>
      <c r="E57" s="708" t="s">
        <v>686</v>
      </c>
      <c r="F57" s="2992"/>
      <c r="I57" s="1057" t="s">
        <v>819</v>
      </c>
      <c r="J57" s="1058"/>
      <c r="K57" s="1057" t="s">
        <v>820</v>
      </c>
      <c r="L57" s="3364"/>
      <c r="O57" s="1049" t="s">
        <v>402</v>
      </c>
      <c r="P57" s="1041" t="s">
        <v>821</v>
      </c>
      <c r="Q57" s="3890">
        <f ca="1">J58</f>
        <v>0</v>
      </c>
      <c r="R57" s="1042" t="s">
        <v>822</v>
      </c>
    </row>
    <row r="58" spans="1:18" s="1008" customFormat="1" ht="24.75" thickBot="1">
      <c r="A58" s="3577" t="s">
        <v>434</v>
      </c>
      <c r="B58" s="997" t="s">
        <v>687</v>
      </c>
      <c r="C58" s="2965">
        <f ca="1">ROUND(IF(F58="押一",C54/12*F11,IF(F58="押二",C54/12*2*F11,IF(F58="押三",C54/12*3*F11,C59*F11))),0)</f>
        <v>0</v>
      </c>
      <c r="D58" s="76" t="s">
        <v>2032</v>
      </c>
      <c r="E58" s="215" t="s">
        <v>688</v>
      </c>
      <c r="F58" s="2993"/>
      <c r="I58" s="1059" t="s">
        <v>823</v>
      </c>
      <c r="J58" s="3359">
        <f ca="1">IF(M52="住宅",IF(D1="——",MAX(J56,L53),MAX(J56,L53-'数据-取费表'!B24)),IF(D1="——",MIN(J56,L53),MIN(J56,L53-'数据-取费表'!B24)))</f>
        <v>0</v>
      </c>
      <c r="K58" s="4391" t="s">
        <v>824</v>
      </c>
      <c r="L58" s="4392"/>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8" t="s">
        <v>3479</v>
      </c>
      <c r="C61" s="2664">
        <f ca="1">C49</f>
        <v>0</v>
      </c>
      <c r="D61" s="1067"/>
      <c r="E61" s="1068"/>
      <c r="F61" s="1060"/>
      <c r="I61" s="1069" t="s">
        <v>829</v>
      </c>
      <c r="J61" s="1070"/>
      <c r="K61" s="1043" t="s">
        <v>830</v>
      </c>
      <c r="L61" s="3358">
        <f ca="1">IF(L53&lt;J56,"——",L53-J58)</f>
        <v>0</v>
      </c>
      <c r="O61" s="1040" t="s">
        <v>397</v>
      </c>
      <c r="P61" s="1041" t="s">
        <v>804</v>
      </c>
      <c r="Q61" s="389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5" t="s">
        <v>3301</v>
      </c>
      <c r="C65" s="2910">
        <f ca="1">ROUND((C66-C67)*(1+F65),0)</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94" t="e">
        <f ca="1">L63</f>
        <v>#DIV/0!</v>
      </c>
      <c r="R65" s="1042" t="s">
        <v>843</v>
      </c>
    </row>
    <row r="66" spans="1:18" s="1008" customFormat="1" ht="13.5" thickBot="1">
      <c r="A66" s="709"/>
      <c r="B66" s="2930" t="s">
        <v>3436</v>
      </c>
      <c r="C66" s="2910">
        <f ca="1">ROUND(C54*F66,0)</f>
        <v>0</v>
      </c>
      <c r="D66" s="1067"/>
      <c r="E66" s="2938" t="s">
        <v>3438</v>
      </c>
      <c r="F66" s="2995">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30" t="s">
        <v>3437</v>
      </c>
      <c r="C67" s="2910">
        <f ca="1">ROUND(C71*F66+((C72+C73)*F67),0)</f>
        <v>0</v>
      </c>
      <c r="D67" s="2939" t="s">
        <v>3439</v>
      </c>
      <c r="E67" s="2939"/>
      <c r="F67" s="2995">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6">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4">
        <f ca="1">IF(项目基本情况!B11="自然人","——",ROUND(F69*F70,2))</f>
        <v>0</v>
      </c>
      <c r="D69" s="692" t="s">
        <v>773</v>
      </c>
      <c r="E69" s="677" t="s">
        <v>719</v>
      </c>
      <c r="F69" s="3878">
        <f t="shared" si="0"/>
        <v>0</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5"/>
      <c r="D70" s="693"/>
      <c r="E70" s="677" t="s">
        <v>723</v>
      </c>
      <c r="F70" s="3355">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8">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3481</v>
      </c>
      <c r="E72" s="677" t="s">
        <v>699</v>
      </c>
      <c r="F72" s="2999">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3000">
        <f t="shared" ca="1" si="0"/>
        <v>0</v>
      </c>
      <c r="O73" s="1049" t="s">
        <v>400</v>
      </c>
      <c r="P73" s="1087" t="s">
        <v>858</v>
      </c>
      <c r="Q73" s="3895">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895">
        <f ca="1">C24</f>
        <v>0</v>
      </c>
      <c r="R74" s="1042" t="s">
        <v>805</v>
      </c>
    </row>
    <row r="75" spans="1:18" s="1008" customFormat="1" ht="13.5" thickBot="1">
      <c r="A75" s="3578" t="s">
        <v>389</v>
      </c>
      <c r="B75" s="675" t="s">
        <v>761</v>
      </c>
      <c r="C75" s="2970">
        <f ca="1">ROUND(C74*(1-((1+F77)/(1+F75))^F76)/(F75-F77),0)</f>
        <v>0</v>
      </c>
      <c r="D75" s="3020" t="s">
        <v>745</v>
      </c>
      <c r="E75" s="677" t="s">
        <v>746</v>
      </c>
      <c r="F75" s="3000">
        <f ca="1">F25</f>
        <v>0</v>
      </c>
      <c r="O75" s="1049" t="s">
        <v>406</v>
      </c>
      <c r="P75" s="1087" t="s">
        <v>860</v>
      </c>
      <c r="Q75" s="3895">
        <f ca="1">C48</f>
        <v>0</v>
      </c>
      <c r="R75" s="1042" t="s">
        <v>805</v>
      </c>
    </row>
    <row r="76" spans="1:18" s="1008" customFormat="1" ht="13.5" thickBot="1">
      <c r="A76" s="3579"/>
      <c r="B76" s="679"/>
      <c r="C76" s="2987"/>
      <c r="D76" s="3021" t="s">
        <v>749</v>
      </c>
      <c r="E76" s="677" t="s">
        <v>750</v>
      </c>
      <c r="F76" s="3002">
        <f ca="1">F26</f>
        <v>0</v>
      </c>
      <c r="O76" s="1049" t="s">
        <v>407</v>
      </c>
      <c r="P76" s="1087" t="s">
        <v>861</v>
      </c>
      <c r="Q76" s="3891">
        <f ca="1">C83</f>
        <v>0</v>
      </c>
      <c r="R76" s="1042"/>
    </row>
    <row r="77" spans="1:18" s="1008" customFormat="1" ht="13.5" thickBot="1">
      <c r="A77" s="3580"/>
      <c r="B77" s="3022"/>
      <c r="C77" s="3022"/>
      <c r="D77" s="3019"/>
      <c r="E77" s="677" t="s">
        <v>753</v>
      </c>
      <c r="F77" s="2992">
        <v>0.02</v>
      </c>
      <c r="O77" s="1049" t="s">
        <v>401</v>
      </c>
      <c r="P77" s="1041" t="s">
        <v>839</v>
      </c>
      <c r="Q77" s="3891">
        <f>L57</f>
        <v>0</v>
      </c>
      <c r="R77" s="1042"/>
    </row>
    <row r="78" spans="1:18" ht="16.5" thickBot="1">
      <c r="A78" s="681"/>
      <c r="B78" s="2963" t="s">
        <v>3485</v>
      </c>
      <c r="C78" s="2969">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9" t="e">
        <f ca="1">ROUND(C78/F79,0)</f>
        <v>#DIV/0!</v>
      </c>
      <c r="D79" s="700" t="s">
        <v>3516</v>
      </c>
      <c r="E79" s="701" t="s">
        <v>765</v>
      </c>
      <c r="F79" s="3003">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11" t="s">
        <v>681</v>
      </c>
      <c r="C6" s="774">
        <f ca="1">ROUND(F6*F8*F7*(1-F9),0)</f>
        <v>0</v>
      </c>
      <c r="D6" s="73" t="s">
        <v>2024</v>
      </c>
      <c r="E6" s="204" t="s">
        <v>683</v>
      </c>
      <c r="F6" s="205">
        <f ca="1">INDIRECT("'数据-取费表'!u"&amp;$G$1)</f>
        <v>0</v>
      </c>
      <c r="G6" s="1008"/>
      <c r="H6" s="769" t="s">
        <v>392</v>
      </c>
      <c r="I6" s="4411" t="s">
        <v>681</v>
      </c>
      <c r="J6" s="203">
        <f ca="1">ROUND(M6*M8*M7*(1-M9),0)</f>
        <v>0</v>
      </c>
      <c r="K6" s="1000" t="s">
        <v>2025</v>
      </c>
      <c r="L6" s="204" t="s">
        <v>683</v>
      </c>
      <c r="M6" s="205">
        <f ca="1">INDIRECT("'数据-取费表'!z"&amp;$G$1)</f>
        <v>0</v>
      </c>
    </row>
    <row r="7" spans="1:37" ht="18" customHeight="1">
      <c r="A7" s="773"/>
      <c r="B7" s="4412"/>
      <c r="C7" s="775"/>
      <c r="D7" s="209"/>
      <c r="E7" s="776" t="s">
        <v>684</v>
      </c>
      <c r="F7" s="205">
        <f ca="1">IF(INDIRECT("'数据-取费表'!ah"&amp;$G$1)="",INDIRECT("'数据-取费表'!k"&amp;$G$1),INDIRECT("'数据-取费表'!ah"&amp;$G$1))</f>
        <v>0</v>
      </c>
      <c r="G7" s="1008"/>
      <c r="H7" s="206"/>
      <c r="I7" s="4412"/>
      <c r="J7" s="208"/>
      <c r="K7" s="209"/>
      <c r="L7" s="204" t="s">
        <v>684</v>
      </c>
      <c r="M7" s="205">
        <f ca="1">F7</f>
        <v>0</v>
      </c>
    </row>
    <row r="8" spans="1:37" ht="18" customHeight="1">
      <c r="A8" s="206"/>
      <c r="B8" s="4412"/>
      <c r="C8" s="208"/>
      <c r="D8" s="209"/>
      <c r="E8" s="204" t="s">
        <v>685</v>
      </c>
      <c r="F8" s="205">
        <f ca="1">INDIRECT("'数据-取费表'!ai"&amp;$G$1)</f>
        <v>0</v>
      </c>
      <c r="G8" s="1008"/>
      <c r="H8" s="206"/>
      <c r="I8" s="4412"/>
      <c r="J8" s="208"/>
      <c r="K8" s="209"/>
      <c r="L8" s="204" t="s">
        <v>685</v>
      </c>
      <c r="M8" s="205">
        <f ca="1">INDIRECT("'数据-取费表'!ai"&amp;$G$1)</f>
        <v>0</v>
      </c>
    </row>
    <row r="9" spans="1:37" ht="18" customHeight="1">
      <c r="A9" s="206"/>
      <c r="B9" s="4413"/>
      <c r="C9" s="208"/>
      <c r="D9" s="209"/>
      <c r="E9" s="204" t="s">
        <v>686</v>
      </c>
      <c r="F9" s="214">
        <f ca="1">INDIRECT("'数据-取费表'!w"&amp;$G$1)</f>
        <v>0</v>
      </c>
      <c r="G9" s="1008"/>
      <c r="H9" s="206"/>
      <c r="I9" s="4413"/>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0.01</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3235</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0.01</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2.0000000000000001E-4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2213</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3235</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0</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3251</v>
      </c>
      <c r="B45" s="1022"/>
      <c r="C45" s="1092" t="e">
        <f ca="1">ROUND((C68-C40)/10000,4)</f>
        <v>#DIV/0!</v>
      </c>
      <c r="D45" s="2612" t="s">
        <v>3252</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391" t="s">
        <v>824</v>
      </c>
      <c r="L53" s="4392"/>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3235</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0</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3" sqref="G33"/>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2337</v>
      </c>
      <c r="B1" s="2158"/>
      <c r="C1" s="2169"/>
      <c r="D1" s="2169"/>
      <c r="E1" s="2159"/>
      <c r="F1" s="2160"/>
      <c r="G1" s="2161"/>
      <c r="J1" s="2164" t="s">
        <v>2221</v>
      </c>
      <c r="K1" s="2165"/>
      <c r="L1" s="2165"/>
      <c r="M1" s="2165"/>
      <c r="N1" s="2165"/>
      <c r="O1" s="2165"/>
      <c r="P1" s="2165"/>
      <c r="Q1" s="2165"/>
      <c r="R1" s="2166"/>
      <c r="S1" s="2167"/>
      <c r="T1" s="2167"/>
      <c r="U1" s="2167"/>
    </row>
    <row r="2" spans="1:22" s="2178" customFormat="1" ht="13.15" customHeight="1">
      <c r="A2" s="1009" t="s">
        <v>2222</v>
      </c>
      <c r="B2" s="3911" t="e">
        <f>IF(D2="——",C40,C40+E2)</f>
        <v>#DIV/0!</v>
      </c>
      <c r="C2" s="2169" t="s">
        <v>2223</v>
      </c>
      <c r="D2" s="2619" t="s">
        <v>3258</v>
      </c>
      <c r="E2" s="2620"/>
      <c r="F2" s="2171"/>
      <c r="G2" s="2172"/>
      <c r="H2" s="2173"/>
      <c r="I2" s="2174"/>
      <c r="J2" s="4414" t="s">
        <v>2224</v>
      </c>
      <c r="K2" s="4415"/>
      <c r="L2" s="2175" t="s">
        <v>2225</v>
      </c>
      <c r="M2" s="2175" t="s">
        <v>2226</v>
      </c>
      <c r="N2" s="2175" t="s">
        <v>2227</v>
      </c>
      <c r="O2" s="2175" t="s">
        <v>2228</v>
      </c>
      <c r="P2" s="2175" t="s">
        <v>2229</v>
      </c>
      <c r="Q2" s="2176" t="s">
        <v>2230</v>
      </c>
      <c r="R2" s="2177" t="s">
        <v>2231</v>
      </c>
      <c r="S2" s="2167"/>
      <c r="T2" s="2167"/>
      <c r="U2" s="2167"/>
      <c r="V2" s="2174"/>
    </row>
    <row r="3" spans="1:22" s="2178" customFormat="1" ht="13.15" customHeight="1">
      <c r="A3" s="2179" t="s">
        <v>2232</v>
      </c>
      <c r="B3" s="3912" t="e">
        <f>ROUND(B2*10000/B4,0)</f>
        <v>#DIV/0!</v>
      </c>
      <c r="C3" s="2169" t="s">
        <v>2233</v>
      </c>
      <c r="D3" s="2169"/>
      <c r="E3" s="2170"/>
      <c r="F3" s="2171"/>
      <c r="G3" s="2172"/>
      <c r="H3" s="2173"/>
      <c r="I3" s="2174"/>
      <c r="J3" s="4416" t="s">
        <v>2234</v>
      </c>
      <c r="K3" s="4417"/>
      <c r="L3" s="2180"/>
      <c r="M3" s="2180"/>
      <c r="N3" s="2180"/>
      <c r="O3" s="2180"/>
      <c r="P3" s="2180"/>
      <c r="Q3" s="2181"/>
      <c r="R3" s="2182">
        <f>SUM(L3:Q3)</f>
        <v>0</v>
      </c>
      <c r="S3" s="2167"/>
      <c r="T3" s="2167"/>
      <c r="U3" s="2167"/>
      <c r="V3" s="2174"/>
    </row>
    <row r="4" spans="1:22" s="2178" customFormat="1" ht="13.15" customHeight="1">
      <c r="A4" s="2183" t="s">
        <v>2235</v>
      </c>
      <c r="B4" s="2217"/>
      <c r="C4" s="2169"/>
      <c r="D4" s="2169"/>
      <c r="E4" s="2170"/>
      <c r="F4" s="2171"/>
      <c r="G4" s="2172"/>
      <c r="H4" s="2173"/>
      <c r="I4" s="2174"/>
      <c r="J4" s="4416" t="s">
        <v>2236</v>
      </c>
      <c r="K4" s="4417"/>
      <c r="L4" s="2185"/>
      <c r="M4" s="2185"/>
      <c r="N4" s="2185"/>
      <c r="O4" s="2185"/>
      <c r="P4" s="2185"/>
      <c r="Q4" s="2186"/>
      <c r="R4" s="2187">
        <f>SUM(L4:Q4)</f>
        <v>0</v>
      </c>
      <c r="S4" s="2167"/>
      <c r="T4" s="2167"/>
      <c r="U4" s="2167"/>
      <c r="V4" s="2174"/>
    </row>
    <row r="5" spans="1:22" s="2178" customFormat="1" ht="13.15" customHeight="1" thickBot="1">
      <c r="A5" s="2188" t="s">
        <v>2237</v>
      </c>
      <c r="B5" s="3913"/>
      <c r="C5" s="2169"/>
      <c r="D5" s="2189"/>
      <c r="E5" s="2171"/>
      <c r="F5" s="2171"/>
      <c r="G5" s="2172"/>
      <c r="H5" s="2173"/>
      <c r="I5" s="2174"/>
      <c r="J5" s="2190" t="s">
        <v>2238</v>
      </c>
      <c r="K5" s="2191"/>
      <c r="L5" s="2191"/>
      <c r="M5" s="2192"/>
      <c r="N5" s="2192"/>
      <c r="O5" s="2192"/>
      <c r="P5" s="2192"/>
      <c r="Q5" s="2192"/>
      <c r="R5" s="2177">
        <f>SUM(R14,R19,R24,R25,R27,R28)</f>
        <v>0</v>
      </c>
      <c r="S5" s="2167"/>
      <c r="T5" s="2167" t="s">
        <v>2239</v>
      </c>
      <c r="U5" s="2167" t="e">
        <f>ROUND(R5*10000/365/R3,1)</f>
        <v>#DIV/0!</v>
      </c>
      <c r="V5" s="2174"/>
    </row>
    <row r="6" spans="1:22" s="2178" customFormat="1" ht="13.15" customHeight="1" thickBot="1">
      <c r="A6" s="4418" t="s">
        <v>3842</v>
      </c>
      <c r="B6" s="4419"/>
      <c r="C6" s="4420"/>
      <c r="D6" s="3914"/>
      <c r="E6" s="4112"/>
      <c r="F6" s="2194"/>
      <c r="G6" s="2195"/>
      <c r="H6" s="2173"/>
      <c r="I6" s="2174"/>
      <c r="J6" s="4421">
        <v>1</v>
      </c>
      <c r="K6" s="4422" t="s">
        <v>2240</v>
      </c>
      <c r="L6" s="2196" t="s">
        <v>2241</v>
      </c>
      <c r="M6" s="2197" t="s">
        <v>2242</v>
      </c>
      <c r="N6" s="2197" t="s">
        <v>2243</v>
      </c>
      <c r="O6" s="2197" t="s">
        <v>2244</v>
      </c>
      <c r="P6" s="2197" t="s">
        <v>2245</v>
      </c>
      <c r="Q6" s="2197" t="s">
        <v>2246</v>
      </c>
      <c r="R6" s="2182" t="s">
        <v>2247</v>
      </c>
      <c r="S6" s="2167"/>
      <c r="T6" s="2167" t="s">
        <v>2248</v>
      </c>
      <c r="U6" s="2167"/>
      <c r="V6" s="2174"/>
    </row>
    <row r="7" spans="1:22" s="2178" customFormat="1" ht="13.15" customHeight="1">
      <c r="A7" s="2198" t="s">
        <v>2249</v>
      </c>
      <c r="B7" s="2199"/>
      <c r="C7" s="2200"/>
      <c r="D7" s="3915">
        <f>SUM(D9,D10,D11,D17,0)</f>
        <v>0</v>
      </c>
      <c r="E7" s="2201" t="e">
        <f>E9+E10+E11+E17</f>
        <v>#DIV/0!</v>
      </c>
      <c r="F7" s="2202"/>
      <c r="G7" s="2203"/>
      <c r="H7" s="2173"/>
      <c r="I7" s="2174"/>
      <c r="J7" s="4421"/>
      <c r="K7" s="4423"/>
      <c r="L7" s="2204" t="s">
        <v>2250</v>
      </c>
      <c r="M7" s="3945"/>
      <c r="N7" s="2217"/>
      <c r="O7" s="2217"/>
      <c r="P7" s="2217"/>
      <c r="Q7" s="2217">
        <v>365</v>
      </c>
      <c r="R7" s="3946">
        <f>ROUND(M7*N7*O7*P7*Q7/10000,0)</f>
        <v>0</v>
      </c>
      <c r="S7" s="2167"/>
      <c r="T7" s="2167" t="s">
        <v>2251</v>
      </c>
      <c r="U7" s="2167"/>
      <c r="V7" s="2174"/>
    </row>
    <row r="8" spans="1:22" s="2178" customFormat="1" ht="13.15" customHeight="1">
      <c r="A8" s="2208" t="s">
        <v>2252</v>
      </c>
      <c r="B8" s="4425" t="s">
        <v>2253</v>
      </c>
      <c r="C8" s="4426"/>
      <c r="D8" s="2209" t="s">
        <v>2254</v>
      </c>
      <c r="E8" s="2210" t="s">
        <v>2255</v>
      </c>
      <c r="F8" s="2211" t="s">
        <v>2256</v>
      </c>
      <c r="G8" s="2212"/>
      <c r="H8" s="2173"/>
      <c r="I8" s="2174"/>
      <c r="J8" s="4421"/>
      <c r="K8" s="4423"/>
      <c r="L8" s="2204" t="s">
        <v>2257</v>
      </c>
      <c r="M8" s="3945"/>
      <c r="N8" s="2217"/>
      <c r="O8" s="2217"/>
      <c r="P8" s="2217"/>
      <c r="Q8" s="2217">
        <v>365</v>
      </c>
      <c r="R8" s="3946">
        <f t="shared" ref="R8:R13" si="0">ROUND(M8*N8*O8*P8*Q8/10000,0)</f>
        <v>0</v>
      </c>
      <c r="S8" s="2167"/>
      <c r="T8" s="2167" t="s">
        <v>2258</v>
      </c>
      <c r="U8" s="2167"/>
      <c r="V8" s="2174"/>
    </row>
    <row r="9" spans="1:22" s="2178" customFormat="1" ht="13.15" customHeight="1">
      <c r="A9" s="2208">
        <v>1</v>
      </c>
      <c r="B9" s="4425" t="s">
        <v>2259</v>
      </c>
      <c r="C9" s="4426"/>
      <c r="D9" s="3916">
        <f>ROUND(D6*E9,0)</f>
        <v>0</v>
      </c>
      <c r="E9" s="3917"/>
      <c r="F9" s="2213" t="s">
        <v>2260</v>
      </c>
      <c r="G9" s="2195"/>
      <c r="H9" s="2173"/>
      <c r="I9" s="2174"/>
      <c r="J9" s="4421"/>
      <c r="K9" s="4423"/>
      <c r="L9" s="2204" t="s">
        <v>2261</v>
      </c>
      <c r="M9" s="3945"/>
      <c r="N9" s="2217"/>
      <c r="O9" s="2217"/>
      <c r="P9" s="2217"/>
      <c r="Q9" s="2217">
        <v>365</v>
      </c>
      <c r="R9" s="3946">
        <f t="shared" si="0"/>
        <v>0</v>
      </c>
      <c r="S9" s="2167"/>
      <c r="T9" s="2167"/>
      <c r="U9" s="2167"/>
      <c r="V9" s="2174"/>
    </row>
    <row r="10" spans="1:22" s="2178" customFormat="1" ht="13.15" customHeight="1">
      <c r="A10" s="2208">
        <v>2</v>
      </c>
      <c r="B10" s="4425" t="s">
        <v>2262</v>
      </c>
      <c r="C10" s="4426"/>
      <c r="D10" s="3916">
        <f>ROUND(D6*E10,0)</f>
        <v>0</v>
      </c>
      <c r="E10" s="3917"/>
      <c r="F10" s="4107" t="s">
        <v>3765</v>
      </c>
      <c r="G10" s="2195"/>
      <c r="H10" s="2173"/>
      <c r="I10" s="2174"/>
      <c r="J10" s="4421"/>
      <c r="K10" s="4423"/>
      <c r="L10" s="2204" t="s">
        <v>2263</v>
      </c>
      <c r="M10" s="3945"/>
      <c r="N10" s="2217"/>
      <c r="O10" s="2217"/>
      <c r="P10" s="2217"/>
      <c r="Q10" s="2217">
        <v>365</v>
      </c>
      <c r="R10" s="3946">
        <f t="shared" si="0"/>
        <v>0</v>
      </c>
      <c r="S10" s="2167"/>
      <c r="T10" s="2167"/>
      <c r="U10" s="2167"/>
      <c r="V10" s="2174"/>
    </row>
    <row r="11" spans="1:22" s="2178" customFormat="1" ht="13.15" customHeight="1">
      <c r="A11" s="2208">
        <v>3</v>
      </c>
      <c r="B11" s="4425" t="s">
        <v>2264</v>
      </c>
      <c r="C11" s="4426"/>
      <c r="D11" s="3916">
        <f>D12+D14+D15+D16</f>
        <v>0</v>
      </c>
      <c r="E11" s="3918" t="e">
        <f>D11/D6</f>
        <v>#DIV/0!</v>
      </c>
      <c r="F11" s="2211"/>
      <c r="G11" s="2212"/>
      <c r="H11" s="2173"/>
      <c r="I11" s="2174"/>
      <c r="J11" s="4421"/>
      <c r="K11" s="4423"/>
      <c r="L11" s="2204" t="s">
        <v>2265</v>
      </c>
      <c r="M11" s="3945"/>
      <c r="N11" s="2217"/>
      <c r="O11" s="2217"/>
      <c r="P11" s="2217"/>
      <c r="Q11" s="2217">
        <v>365</v>
      </c>
      <c r="R11" s="3946">
        <f t="shared" si="0"/>
        <v>0</v>
      </c>
      <c r="S11" s="2167"/>
      <c r="T11" s="2167"/>
      <c r="U11" s="2167"/>
      <c r="V11" s="2174"/>
    </row>
    <row r="12" spans="1:22" s="2178" customFormat="1" ht="13.15" customHeight="1">
      <c r="A12" s="2214" t="s">
        <v>2266</v>
      </c>
      <c r="B12" s="4427" t="s">
        <v>2267</v>
      </c>
      <c r="C12" s="4428"/>
      <c r="D12" s="3919">
        <f>ROUND(D13*1.2%*(1-30%),0)</f>
        <v>0</v>
      </c>
      <c r="E12" s="3920">
        <v>1.2E-2</v>
      </c>
      <c r="F12" s="2211" t="s">
        <v>2268</v>
      </c>
      <c r="G12" s="2212"/>
      <c r="H12" s="2173"/>
      <c r="I12" s="2174"/>
      <c r="J12" s="4421"/>
      <c r="K12" s="4423"/>
      <c r="L12" s="2204" t="s">
        <v>2269</v>
      </c>
      <c r="M12" s="3945"/>
      <c r="N12" s="2217"/>
      <c r="O12" s="2217"/>
      <c r="P12" s="2217"/>
      <c r="Q12" s="2217">
        <v>365</v>
      </c>
      <c r="R12" s="3946">
        <f t="shared" si="0"/>
        <v>0</v>
      </c>
      <c r="S12" s="2167"/>
      <c r="T12" s="2167"/>
      <c r="U12" s="2167"/>
      <c r="V12" s="2174"/>
    </row>
    <row r="13" spans="1:22" s="2178" customFormat="1" ht="13.15" customHeight="1">
      <c r="A13" s="2214"/>
      <c r="B13" s="2215"/>
      <c r="C13" s="2216" t="s">
        <v>2270</v>
      </c>
      <c r="D13" s="3921"/>
      <c r="E13" s="2218"/>
      <c r="F13" s="2211"/>
      <c r="G13" s="2212"/>
      <c r="H13" s="2173"/>
      <c r="I13" s="2174"/>
      <c r="J13" s="4421"/>
      <c r="K13" s="4423"/>
      <c r="L13" s="2204" t="s">
        <v>2271</v>
      </c>
      <c r="M13" s="3945"/>
      <c r="N13" s="2217"/>
      <c r="O13" s="2217"/>
      <c r="P13" s="2217"/>
      <c r="Q13" s="2217">
        <v>365</v>
      </c>
      <c r="R13" s="3946">
        <f t="shared" si="0"/>
        <v>0</v>
      </c>
      <c r="S13" s="2167"/>
      <c r="T13" s="2167"/>
      <c r="U13" s="2167"/>
      <c r="V13" s="2174"/>
    </row>
    <row r="14" spans="1:22" s="2178" customFormat="1" ht="13.15" customHeight="1">
      <c r="A14" s="2214" t="s">
        <v>2272</v>
      </c>
      <c r="B14" s="4427" t="s">
        <v>2273</v>
      </c>
      <c r="C14" s="4428"/>
      <c r="D14" s="3919">
        <f>ROUND(E14*B5/10000,0)</f>
        <v>0</v>
      </c>
      <c r="E14" s="3922"/>
      <c r="F14" s="2211" t="s">
        <v>2274</v>
      </c>
      <c r="G14" s="2212"/>
      <c r="H14" s="2173"/>
      <c r="I14" s="2174"/>
      <c r="J14" s="4421"/>
      <c r="K14" s="4424"/>
      <c r="L14" s="2219" t="s">
        <v>2275</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2276</v>
      </c>
      <c r="B15" s="4429" t="s">
        <v>3839</v>
      </c>
      <c r="C15" s="4428"/>
      <c r="D15" s="3919">
        <f>IF(F15="酒店",E48*(1+E15),IF(F15="购物中心",E67*(1+E15),IF(F15="按比例计算-酒店",E46,E65)))</f>
        <v>0</v>
      </c>
      <c r="E15" s="3920">
        <f>'数据-取费表'!B44</f>
        <v>0.12000000000000001</v>
      </c>
      <c r="F15" s="4110"/>
      <c r="G15" s="4111"/>
      <c r="H15" s="2173"/>
      <c r="I15" s="2174"/>
      <c r="J15" s="4421">
        <v>2</v>
      </c>
      <c r="K15" s="4422" t="s">
        <v>2277</v>
      </c>
      <c r="L15" s="2204" t="s">
        <v>2278</v>
      </c>
      <c r="M15" s="2205" t="s">
        <v>2279</v>
      </c>
      <c r="N15" s="2205" t="s">
        <v>2280</v>
      </c>
      <c r="O15" s="2206" t="s">
        <v>2281</v>
      </c>
      <c r="P15" s="2206" t="s">
        <v>2246</v>
      </c>
      <c r="Q15" s="2184" t="s">
        <v>2282</v>
      </c>
      <c r="R15" s="2223" t="s">
        <v>2247</v>
      </c>
      <c r="S15" s="2167"/>
      <c r="T15" s="2167"/>
      <c r="U15" s="2167"/>
      <c r="V15" s="2174"/>
    </row>
    <row r="16" spans="1:22" s="2178" customFormat="1" ht="13.15" customHeight="1">
      <c r="A16" s="2214" t="s">
        <v>2283</v>
      </c>
      <c r="B16" s="4427" t="s">
        <v>2284</v>
      </c>
      <c r="C16" s="4428"/>
      <c r="D16" s="3923">
        <f>D6*E16</f>
        <v>0</v>
      </c>
      <c r="E16" s="3924"/>
      <c r="F16" s="2213" t="s">
        <v>2285</v>
      </c>
      <c r="G16" s="2195"/>
      <c r="H16" s="2173"/>
      <c r="I16" s="2174"/>
      <c r="J16" s="4421"/>
      <c r="K16" s="4423"/>
      <c r="L16" s="2204" t="s">
        <v>2286</v>
      </c>
      <c r="M16" s="3945"/>
      <c r="N16" s="3945"/>
      <c r="O16" s="2217"/>
      <c r="P16" s="2217">
        <v>365</v>
      </c>
      <c r="Q16" s="2217"/>
      <c r="R16" s="3946">
        <f>ROUND(M16*N16*O16*P16/10000,0)</f>
        <v>0</v>
      </c>
      <c r="S16" s="2167"/>
      <c r="T16" s="2167"/>
      <c r="U16" s="2167"/>
      <c r="V16" s="2174"/>
    </row>
    <row r="17" spans="1:22" s="2178" customFormat="1" ht="13.15" customHeight="1" thickBot="1">
      <c r="A17" s="2224">
        <v>4</v>
      </c>
      <c r="B17" s="4430" t="s">
        <v>2287</v>
      </c>
      <c r="C17" s="4431"/>
      <c r="D17" s="3925">
        <f>ROUND(D6*E17,0)</f>
        <v>0</v>
      </c>
      <c r="E17" s="3926"/>
      <c r="F17" s="4108" t="s">
        <v>3766</v>
      </c>
      <c r="G17" s="2195"/>
      <c r="H17" s="2173"/>
      <c r="I17" s="2174"/>
      <c r="J17" s="4421"/>
      <c r="K17" s="4423"/>
      <c r="L17" s="2204" t="s">
        <v>2288</v>
      </c>
      <c r="M17" s="3945"/>
      <c r="N17" s="3945"/>
      <c r="O17" s="2217"/>
      <c r="P17" s="2217">
        <v>365</v>
      </c>
      <c r="Q17" s="2217"/>
      <c r="R17" s="3946">
        <f>ROUND(M17*N17*O17*P17/10000,0)</f>
        <v>0</v>
      </c>
      <c r="S17" s="2167"/>
      <c r="T17" s="2167"/>
      <c r="U17" s="2167"/>
      <c r="V17" s="2174"/>
    </row>
    <row r="18" spans="1:22" s="2178" customFormat="1" ht="13.15" customHeight="1" thickBot="1">
      <c r="A18" s="2198" t="s">
        <v>2289</v>
      </c>
      <c r="B18" s="2199"/>
      <c r="C18" s="2199"/>
      <c r="D18" s="3927">
        <f>ROUND(D6*E18,0)</f>
        <v>0</v>
      </c>
      <c r="E18" s="3928"/>
      <c r="F18" s="2225" t="s">
        <v>2290</v>
      </c>
      <c r="G18" s="2195"/>
      <c r="H18" s="2173"/>
      <c r="I18" s="2174"/>
      <c r="J18" s="4421"/>
      <c r="K18" s="4423"/>
      <c r="L18" s="2204" t="s">
        <v>2291</v>
      </c>
      <c r="M18" s="3945"/>
      <c r="N18" s="3945"/>
      <c r="O18" s="2217"/>
      <c r="P18" s="2217">
        <v>365</v>
      </c>
      <c r="Q18" s="2217"/>
      <c r="R18" s="3946">
        <f>ROUND(M18*N18*O18*P18/10000,0)</f>
        <v>0</v>
      </c>
      <c r="S18" s="2167"/>
      <c r="T18" s="2167"/>
      <c r="U18" s="2167"/>
      <c r="V18" s="2174"/>
    </row>
    <row r="19" spans="1:22" s="2178" customFormat="1" ht="13.15" customHeight="1" thickBot="1">
      <c r="A19" s="2226" t="s">
        <v>2292</v>
      </c>
      <c r="B19" s="2193"/>
      <c r="C19" s="2193"/>
      <c r="D19" s="2193"/>
      <c r="E19" s="2193"/>
      <c r="F19" s="2194"/>
      <c r="G19" s="2212"/>
      <c r="H19" s="2173"/>
      <c r="I19" s="2174"/>
      <c r="J19" s="4421"/>
      <c r="K19" s="4424"/>
      <c r="L19" s="2219" t="s">
        <v>2275</v>
      </c>
      <c r="M19" s="2220"/>
      <c r="N19" s="2220">
        <f>SUM(N16:N18)</f>
        <v>0</v>
      </c>
      <c r="O19" s="2221"/>
      <c r="P19" s="2227" t="s">
        <v>2336</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21">
        <v>3</v>
      </c>
      <c r="K20" s="4422" t="s">
        <v>2293</v>
      </c>
      <c r="L20" s="2204" t="s">
        <v>2294</v>
      </c>
      <c r="M20" s="2205" t="s">
        <v>2295</v>
      </c>
      <c r="N20" s="2229" t="s">
        <v>2296</v>
      </c>
      <c r="O20" s="2206" t="s">
        <v>2297</v>
      </c>
      <c r="P20" s="2207" t="s">
        <v>2298</v>
      </c>
      <c r="Q20" s="2184" t="s">
        <v>2299</v>
      </c>
      <c r="R20" s="2223" t="s">
        <v>2300</v>
      </c>
      <c r="S20" s="2167"/>
      <c r="T20" s="2167"/>
      <c r="U20" s="2167"/>
      <c r="V20" s="2174"/>
    </row>
    <row r="21" spans="1:22" s="2178" customFormat="1" ht="13.15" customHeight="1">
      <c r="A21" s="2198"/>
      <c r="B21" s="2199"/>
      <c r="C21" s="2230" t="s">
        <v>2301</v>
      </c>
      <c r="D21" s="2231" t="s">
        <v>2302</v>
      </c>
      <c r="E21" s="2232" t="s">
        <v>2303</v>
      </c>
      <c r="F21" s="2228"/>
      <c r="G21" s="2212"/>
      <c r="H21" s="2173"/>
      <c r="I21" s="2174"/>
      <c r="J21" s="4421"/>
      <c r="K21" s="4423"/>
      <c r="L21" s="2204" t="s">
        <v>2304</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2305</v>
      </c>
      <c r="D22" s="2234" t="s">
        <v>2306</v>
      </c>
      <c r="E22" s="2235" t="s">
        <v>2307</v>
      </c>
      <c r="F22" s="2228"/>
      <c r="G22" s="2167"/>
      <c r="H22" s="2173"/>
      <c r="I22" s="2174"/>
      <c r="J22" s="4421"/>
      <c r="K22" s="4423"/>
      <c r="L22" s="2204" t="s">
        <v>2308</v>
      </c>
      <c r="M22" s="3945"/>
      <c r="N22" s="3945"/>
      <c r="O22" s="2217"/>
      <c r="P22" s="2217">
        <v>365</v>
      </c>
      <c r="Q22" s="2217"/>
      <c r="R22" s="3947">
        <f>ROUND(M22*N22*O22*P22/10000,0)</f>
        <v>0</v>
      </c>
      <c r="S22" s="2167"/>
      <c r="T22" s="2167"/>
      <c r="U22" s="2167"/>
      <c r="V22" s="2174"/>
    </row>
    <row r="23" spans="1:22" s="2178" customFormat="1" ht="13.15" customHeight="1">
      <c r="A23" s="2236">
        <v>1</v>
      </c>
      <c r="B23" s="2237" t="s">
        <v>2309</v>
      </c>
      <c r="C23" s="2242">
        <f>D6</f>
        <v>0</v>
      </c>
      <c r="D23" s="3943">
        <f>C23*(1+D24)</f>
        <v>0</v>
      </c>
      <c r="E23" s="3944">
        <f>D23*(1+E24)</f>
        <v>0</v>
      </c>
      <c r="F23" s="2238"/>
      <c r="G23" s="2239"/>
      <c r="H23" s="2173"/>
      <c r="I23" s="2174"/>
      <c r="J23" s="4421"/>
      <c r="K23" s="4423"/>
      <c r="L23" s="2204" t="s">
        <v>2310</v>
      </c>
      <c r="M23" s="3945"/>
      <c r="N23" s="3945"/>
      <c r="O23" s="2217"/>
      <c r="P23" s="2217">
        <v>365</v>
      </c>
      <c r="Q23" s="2217"/>
      <c r="R23" s="3947">
        <f>ROUND(M23*N23*O23*P23/10000,0)</f>
        <v>0</v>
      </c>
      <c r="S23" s="2167"/>
      <c r="T23" s="2167"/>
      <c r="U23" s="2167"/>
      <c r="V23" s="2174"/>
    </row>
    <row r="24" spans="1:22" s="2178" customFormat="1" ht="13.15" customHeight="1">
      <c r="A24" s="2240"/>
      <c r="B24" s="2241" t="s">
        <v>2311</v>
      </c>
      <c r="C24" s="2242"/>
      <c r="D24" s="2243"/>
      <c r="E24" s="2244"/>
      <c r="F24" s="2245"/>
      <c r="G24" s="2239"/>
      <c r="H24" s="2173"/>
      <c r="I24" s="2174"/>
      <c r="J24" s="4421"/>
      <c r="K24" s="4424"/>
      <c r="L24" s="2219" t="s">
        <v>2275</v>
      </c>
      <c r="M24" s="2220">
        <f>SUM(M21:M23)</f>
        <v>0</v>
      </c>
      <c r="N24" s="2220"/>
      <c r="O24" s="2221"/>
      <c r="P24" s="2227" t="s">
        <v>2336</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2312</v>
      </c>
      <c r="L25" s="2248"/>
      <c r="M25" s="2248"/>
      <c r="N25" s="2248"/>
      <c r="O25" s="2248"/>
      <c r="P25" s="2249"/>
      <c r="Q25" s="2250">
        <v>0</v>
      </c>
      <c r="R25" s="3948">
        <f>ROUND(R14*Q25,0)</f>
        <v>0</v>
      </c>
      <c r="S25" s="2167"/>
      <c r="T25" s="2167"/>
      <c r="U25" s="2167"/>
      <c r="V25" s="2251"/>
    </row>
    <row r="26" spans="1:22" s="2252" customFormat="1" ht="13.15" customHeight="1">
      <c r="A26" s="2236">
        <v>2</v>
      </c>
      <c r="B26" s="2237" t="s">
        <v>2313</v>
      </c>
      <c r="C26" s="2242">
        <f>D7</f>
        <v>0</v>
      </c>
      <c r="D26" s="3929">
        <f>D23*D27</f>
        <v>0</v>
      </c>
      <c r="E26" s="3930">
        <f>E23*E27</f>
        <v>0</v>
      </c>
      <c r="F26" s="2238"/>
      <c r="G26" s="2239"/>
      <c r="H26" s="2173"/>
      <c r="I26" s="2174"/>
      <c r="J26" s="4432">
        <v>5</v>
      </c>
      <c r="K26" s="2253" t="s">
        <v>2314</v>
      </c>
      <c r="L26" s="2254"/>
      <c r="M26" s="2255"/>
      <c r="N26" s="2256" t="s">
        <v>2315</v>
      </c>
      <c r="O26" s="2256" t="s">
        <v>2316</v>
      </c>
      <c r="P26" s="2257" t="s">
        <v>2317</v>
      </c>
      <c r="Q26" s="2257" t="s">
        <v>2318</v>
      </c>
      <c r="R26" s="2182" t="s">
        <v>2247</v>
      </c>
      <c r="S26" s="2212"/>
      <c r="T26" s="2212"/>
      <c r="U26" s="2212"/>
      <c r="V26" s="2251"/>
    </row>
    <row r="27" spans="1:22" s="2178" customFormat="1" ht="13.15" customHeight="1">
      <c r="A27" s="2240"/>
      <c r="B27" s="2241" t="s">
        <v>2319</v>
      </c>
      <c r="C27" s="2258" t="e">
        <f>E7</f>
        <v>#DIV/0!</v>
      </c>
      <c r="D27" s="2243"/>
      <c r="E27" s="2244"/>
      <c r="F27" s="2245"/>
      <c r="G27" s="2239"/>
      <c r="H27" s="2259"/>
      <c r="I27" s="2251"/>
      <c r="J27" s="4433"/>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2320</v>
      </c>
      <c r="F28" s="2245"/>
      <c r="G28" s="2167"/>
      <c r="H28" s="2259"/>
      <c r="I28" s="2251"/>
      <c r="J28" s="2263">
        <v>6</v>
      </c>
      <c r="K28" s="2264" t="s">
        <v>2321</v>
      </c>
      <c r="L28" s="2265" t="s">
        <v>2322</v>
      </c>
      <c r="M28" s="3951"/>
      <c r="N28" s="2265" t="s">
        <v>2323</v>
      </c>
      <c r="O28" s="2267"/>
      <c r="P28" s="2265" t="s">
        <v>2324</v>
      </c>
      <c r="Q28" s="2268">
        <v>1.4999999999999999E-2</v>
      </c>
      <c r="R28" s="3950"/>
      <c r="S28" s="2167"/>
      <c r="T28" s="2167"/>
      <c r="U28" s="2167"/>
      <c r="V28" s="2251"/>
    </row>
    <row r="29" spans="1:22" s="2252" customFormat="1" ht="13.15" customHeight="1">
      <c r="A29" s="2236">
        <v>3</v>
      </c>
      <c r="B29" s="2237" t="s">
        <v>2325</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2319</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2326</v>
      </c>
      <c r="K31" s="2165"/>
      <c r="L31" s="2165"/>
      <c r="M31" s="2165"/>
      <c r="N31" s="2165"/>
      <c r="O31" s="2165"/>
      <c r="P31" s="2165"/>
      <c r="Q31" s="2165"/>
      <c r="R31" s="2166"/>
      <c r="S31" s="2167"/>
      <c r="T31" s="2167"/>
      <c r="U31" s="2167"/>
      <c r="V31" s="2251"/>
    </row>
    <row r="32" spans="1:22" s="2252" customFormat="1" ht="13.15" customHeight="1">
      <c r="A32" s="2236">
        <v>4</v>
      </c>
      <c r="B32" s="2237" t="s">
        <v>2327</v>
      </c>
      <c r="C32" s="2242">
        <f>C23-C26-C29</f>
        <v>0</v>
      </c>
      <c r="D32" s="3929">
        <f>D23-D26-D29</f>
        <v>0</v>
      </c>
      <c r="E32" s="3930">
        <f>E23-E26-E29</f>
        <v>0</v>
      </c>
      <c r="F32" s="2238"/>
      <c r="G32" s="2167"/>
      <c r="H32" s="2173"/>
      <c r="I32" s="2174"/>
      <c r="J32" s="4414" t="s">
        <v>2224</v>
      </c>
      <c r="K32" s="4415"/>
      <c r="L32" s="2175" t="s">
        <v>2225</v>
      </c>
      <c r="M32" s="2175" t="s">
        <v>2226</v>
      </c>
      <c r="N32" s="2175" t="s">
        <v>2227</v>
      </c>
      <c r="O32" s="2175" t="s">
        <v>2228</v>
      </c>
      <c r="P32" s="2175" t="s">
        <v>2229</v>
      </c>
      <c r="Q32" s="2176" t="s">
        <v>2230</v>
      </c>
      <c r="R32" s="2271" t="s">
        <v>2231</v>
      </c>
      <c r="S32" s="2167"/>
      <c r="T32" s="2167"/>
      <c r="U32" s="2167"/>
      <c r="V32" s="2251"/>
    </row>
    <row r="33" spans="1:23" s="2178" customFormat="1" ht="13.15" customHeight="1">
      <c r="A33" s="2236"/>
      <c r="B33" s="2237"/>
      <c r="C33" s="2242"/>
      <c r="D33" s="3931"/>
      <c r="E33" s="3932"/>
      <c r="F33" s="2238"/>
      <c r="G33" s="2167"/>
      <c r="H33" s="2259"/>
      <c r="I33" s="2251"/>
      <c r="J33" s="4416" t="s">
        <v>2234</v>
      </c>
      <c r="K33" s="4417"/>
      <c r="L33" s="3952"/>
      <c r="M33" s="3952"/>
      <c r="N33" s="3952"/>
      <c r="O33" s="3952"/>
      <c r="P33" s="3952"/>
      <c r="Q33" s="3953"/>
      <c r="R33" s="3954">
        <f>SUM(L33:Q33)</f>
        <v>0</v>
      </c>
      <c r="S33" s="2167"/>
      <c r="T33" s="2167"/>
      <c r="U33" s="2167"/>
      <c r="V33" s="2174"/>
    </row>
    <row r="34" spans="1:23" s="2178" customFormat="1" ht="13.15" customHeight="1">
      <c r="A34" s="2236">
        <v>5</v>
      </c>
      <c r="B34" s="2237" t="s">
        <v>2328</v>
      </c>
      <c r="C34" s="3933"/>
      <c r="D34" s="3934"/>
      <c r="E34" s="3935"/>
      <c r="F34" s="2238"/>
      <c r="G34" s="2167"/>
      <c r="H34" s="2259"/>
      <c r="I34" s="2251"/>
      <c r="J34" s="4416" t="s">
        <v>2236</v>
      </c>
      <c r="K34" s="4417"/>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2329</v>
      </c>
      <c r="C35" s="2270"/>
      <c r="D35" s="2243"/>
      <c r="E35" s="2244"/>
      <c r="F35" s="2238"/>
      <c r="G35" s="2272"/>
      <c r="H35" s="2173"/>
      <c r="I35" s="2251"/>
      <c r="J35" s="2190" t="s">
        <v>2238</v>
      </c>
      <c r="K35" s="2191"/>
      <c r="L35" s="2191"/>
      <c r="M35" s="2192"/>
      <c r="N35" s="2192"/>
      <c r="O35" s="2192"/>
      <c r="P35" s="2192"/>
      <c r="Q35" s="2192"/>
      <c r="R35" s="2273">
        <f>R40+R41+R43</f>
        <v>0</v>
      </c>
      <c r="S35" s="2167"/>
      <c r="T35" s="2167" t="s">
        <v>2239</v>
      </c>
      <c r="U35" s="2167"/>
      <c r="V35" s="2174"/>
    </row>
    <row r="36" spans="1:23" s="2178" customFormat="1" ht="13.15" customHeight="1" thickBot="1">
      <c r="A36" s="2236">
        <v>7</v>
      </c>
      <c r="B36" s="2274" t="s">
        <v>2330</v>
      </c>
      <c r="C36" s="3936"/>
      <c r="D36" s="3937"/>
      <c r="E36" s="3938"/>
      <c r="F36" s="2275">
        <f>C36+D36+E36</f>
        <v>0</v>
      </c>
      <c r="G36" s="2167"/>
      <c r="H36" s="2173"/>
      <c r="I36" s="2174"/>
      <c r="J36" s="4421">
        <v>1</v>
      </c>
      <c r="K36" s="4422" t="s">
        <v>2331</v>
      </c>
      <c r="L36" s="2196"/>
      <c r="M36" s="2197"/>
      <c r="N36" s="2197"/>
      <c r="O36" s="2197"/>
      <c r="P36" s="2197"/>
      <c r="Q36" s="2197"/>
      <c r="R36" s="2182" t="s">
        <v>2247</v>
      </c>
      <c r="S36" s="2167"/>
      <c r="T36" s="2167" t="s">
        <v>2248</v>
      </c>
      <c r="U36" s="2167"/>
      <c r="V36" s="2174"/>
    </row>
    <row r="37" spans="1:23" s="2178" customFormat="1" ht="13.15" customHeight="1">
      <c r="A37" s="2236"/>
      <c r="B37" s="2237"/>
      <c r="C37" s="2241"/>
      <c r="D37" s="2241"/>
      <c r="E37" s="2241"/>
      <c r="F37" s="2238"/>
      <c r="G37" s="2167"/>
      <c r="H37" s="2173"/>
      <c r="I37" s="2174"/>
      <c r="J37" s="4421"/>
      <c r="K37" s="4423"/>
      <c r="L37" s="3958"/>
      <c r="M37" s="3945"/>
      <c r="N37" s="2217"/>
      <c r="O37" s="2217"/>
      <c r="P37" s="2217"/>
      <c r="Q37" s="2217"/>
      <c r="R37" s="3946"/>
      <c r="S37" s="2167"/>
      <c r="T37" s="2167" t="s">
        <v>2251</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21"/>
      <c r="K38" s="4423"/>
      <c r="L38" s="3958"/>
      <c r="M38" s="3945"/>
      <c r="N38" s="2217"/>
      <c r="O38" s="2217"/>
      <c r="P38" s="2217"/>
      <c r="Q38" s="2217"/>
      <c r="R38" s="3946"/>
      <c r="S38" s="2167"/>
      <c r="T38" s="2167" t="s">
        <v>2258</v>
      </c>
      <c r="U38" s="2167"/>
      <c r="V38" s="2174"/>
    </row>
    <row r="39" spans="1:23" s="2178" customFormat="1" ht="13.15" customHeight="1">
      <c r="A39" s="2236">
        <v>9</v>
      </c>
      <c r="B39" s="2237" t="s">
        <v>2332</v>
      </c>
      <c r="C39" s="3919" t="e">
        <f>C38</f>
        <v>#DIV/0!</v>
      </c>
      <c r="D39" s="3919">
        <f>IF(D23=0,0,D38/(1+D34)^C36)</f>
        <v>0</v>
      </c>
      <c r="E39" s="3919">
        <f>IF(E23=0,0,E38/(1+E34)^(C36+D36))</f>
        <v>0</v>
      </c>
      <c r="F39" s="2238"/>
      <c r="G39" s="2174"/>
      <c r="H39" s="2173"/>
      <c r="I39" s="2174"/>
      <c r="J39" s="4421"/>
      <c r="K39" s="4423"/>
      <c r="L39" s="3958"/>
      <c r="M39" s="3945"/>
      <c r="N39" s="2217"/>
      <c r="O39" s="2217"/>
      <c r="P39" s="2217"/>
      <c r="Q39" s="2217"/>
      <c r="R39" s="3946"/>
      <c r="S39" s="2167"/>
      <c r="T39" s="2167"/>
      <c r="U39" s="2167"/>
      <c r="V39" s="2174"/>
    </row>
    <row r="40" spans="1:23" s="2178" customFormat="1" ht="13.15" customHeight="1">
      <c r="A40" s="2276">
        <v>10</v>
      </c>
      <c r="B40" s="2237" t="s">
        <v>2333</v>
      </c>
      <c r="C40" s="3939" t="e">
        <f>C39+D39+E39</f>
        <v>#DIV/0!</v>
      </c>
      <c r="D40" s="3940"/>
      <c r="E40" s="3940"/>
      <c r="F40" s="2277"/>
      <c r="G40" s="2167"/>
      <c r="H40" s="2173"/>
      <c r="I40" s="2174"/>
      <c r="J40" s="4421"/>
      <c r="K40" s="4424"/>
      <c r="L40" s="2219" t="s">
        <v>2275</v>
      </c>
      <c r="M40" s="2220"/>
      <c r="N40" s="2220"/>
      <c r="O40" s="2221"/>
      <c r="P40" s="2221"/>
      <c r="Q40" s="3959"/>
      <c r="R40" s="3960">
        <f>SUM(R37:R39)</f>
        <v>0</v>
      </c>
      <c r="S40" s="2167"/>
      <c r="T40" s="2167"/>
      <c r="U40" s="2167"/>
      <c r="V40" s="2174"/>
    </row>
    <row r="41" spans="1:23" s="2178" customFormat="1" ht="13.15" customHeight="1" thickBot="1">
      <c r="A41" s="2278">
        <v>11</v>
      </c>
      <c r="B41" s="2279" t="s">
        <v>2334</v>
      </c>
      <c r="C41" s="3941" t="e">
        <f>ROUND(C40*10000/B4,0)</f>
        <v>#DIV/0!</v>
      </c>
      <c r="D41" s="3942"/>
      <c r="E41" s="3942"/>
      <c r="F41" s="2280"/>
      <c r="G41" s="2173"/>
      <c r="H41" s="2173"/>
      <c r="I41" s="2174"/>
      <c r="J41" s="2246">
        <v>2</v>
      </c>
      <c r="K41" s="2247" t="s">
        <v>2312</v>
      </c>
      <c r="L41" s="2248"/>
      <c r="M41" s="2248"/>
      <c r="N41" s="2248"/>
      <c r="O41" s="2248"/>
      <c r="P41" s="2249"/>
      <c r="Q41" s="3945"/>
      <c r="R41" s="3948">
        <f>ROUND(R40*Q41,0)</f>
        <v>0</v>
      </c>
      <c r="S41" s="2167"/>
      <c r="T41" s="2167"/>
      <c r="U41" s="2212"/>
      <c r="V41" s="2174"/>
    </row>
    <row r="42" spans="1:23" s="2178" customFormat="1" ht="13.15" customHeight="1">
      <c r="G42" s="2173"/>
      <c r="H42" s="2173"/>
      <c r="I42" s="2174"/>
      <c r="J42" s="4432">
        <v>3</v>
      </c>
      <c r="K42" s="2253" t="s">
        <v>2314</v>
      </c>
      <c r="L42" s="2254"/>
      <c r="M42" s="2255"/>
      <c r="N42" s="2256" t="s">
        <v>2315</v>
      </c>
      <c r="O42" s="2256" t="s">
        <v>2316</v>
      </c>
      <c r="P42" s="2257" t="s">
        <v>2317</v>
      </c>
      <c r="Q42" s="2257" t="s">
        <v>2318</v>
      </c>
      <c r="R42" s="2182" t="s">
        <v>2247</v>
      </c>
      <c r="S42" s="2212"/>
      <c r="T42" s="2212"/>
      <c r="U42" s="2167"/>
      <c r="V42" s="2174"/>
    </row>
    <row r="43" spans="1:23" ht="13.15" customHeight="1">
      <c r="A43" s="2178"/>
      <c r="B43" s="2178"/>
      <c r="C43" s="2178"/>
      <c r="D43" s="2178"/>
      <c r="E43" s="2178"/>
      <c r="F43" s="2178"/>
      <c r="G43" s="2173"/>
      <c r="H43" s="2173"/>
      <c r="I43" s="2162"/>
      <c r="J43" s="4433"/>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2321</v>
      </c>
      <c r="L44" s="2283" t="s">
        <v>2322</v>
      </c>
      <c r="M44" s="3951"/>
      <c r="N44" s="2283" t="s">
        <v>2323</v>
      </c>
      <c r="O44" s="2266"/>
      <c r="P44" s="2283" t="s">
        <v>2324</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3767</v>
      </c>
      <c r="D46" s="4119" t="s">
        <v>3840</v>
      </c>
      <c r="E46" s="4117"/>
      <c r="F46" s="4130" t="s">
        <v>3829</v>
      </c>
      <c r="G46" s="4131"/>
      <c r="H46" s="2178"/>
      <c r="I46" s="2282"/>
    </row>
    <row r="47" spans="1:23" ht="13.15" customHeight="1">
      <c r="A47" s="2178"/>
      <c r="B47" s="2178"/>
      <c r="C47" s="4120" t="s">
        <v>3768</v>
      </c>
      <c r="D47" s="4121" t="s">
        <v>3769</v>
      </c>
      <c r="E47" s="4132" t="s">
        <v>3770</v>
      </c>
      <c r="F47" s="4132" t="s">
        <v>3771</v>
      </c>
      <c r="G47" s="4133" t="s">
        <v>3772</v>
      </c>
      <c r="H47" s="2168"/>
      <c r="I47" s="2282"/>
    </row>
    <row r="48" spans="1:23" ht="13.15" customHeight="1">
      <c r="C48" s="4122">
        <v>1</v>
      </c>
      <c r="D48" s="4121" t="s">
        <v>3773</v>
      </c>
      <c r="E48" s="4143">
        <f>E49-E54</f>
        <v>0</v>
      </c>
      <c r="F48" s="4121"/>
      <c r="G48" s="4133"/>
      <c r="H48" s="2168"/>
      <c r="I48" s="2282"/>
    </row>
    <row r="49" spans="1:9" ht="13.15" customHeight="1">
      <c r="C49" s="4122">
        <v>2</v>
      </c>
      <c r="D49" s="4121" t="s">
        <v>3774</v>
      </c>
      <c r="E49" s="4143">
        <f>SUM(E50:E53)</f>
        <v>0</v>
      </c>
      <c r="F49" s="4121"/>
      <c r="G49" s="4133"/>
      <c r="H49" s="2168"/>
      <c r="I49" s="2282"/>
    </row>
    <row r="50" spans="1:9" ht="13.15" customHeight="1">
      <c r="C50" s="4123" t="s">
        <v>3790</v>
      </c>
      <c r="D50" s="4124" t="s">
        <v>3775</v>
      </c>
      <c r="E50" s="4144">
        <f>R14*G50/(1+G50)</f>
        <v>0</v>
      </c>
      <c r="F50" s="4134" t="s">
        <v>3791</v>
      </c>
      <c r="G50" s="4135">
        <v>0.06</v>
      </c>
      <c r="H50" s="2168"/>
      <c r="I50" s="2282"/>
    </row>
    <row r="51" spans="1:9" ht="13.15" customHeight="1">
      <c r="C51" s="4123" t="s">
        <v>3792</v>
      </c>
      <c r="D51" s="4124" t="s">
        <v>3776</v>
      </c>
      <c r="E51" s="4144">
        <f>R19*G51/(1+G51)</f>
        <v>0</v>
      </c>
      <c r="F51" s="4134" t="s">
        <v>3793</v>
      </c>
      <c r="G51" s="4135">
        <v>0.06</v>
      </c>
      <c r="H51" s="2168"/>
      <c r="I51" s="2282"/>
    </row>
    <row r="52" spans="1:9" ht="13.15" customHeight="1">
      <c r="C52" s="4123" t="s">
        <v>3794</v>
      </c>
      <c r="D52" s="4124" t="s">
        <v>3777</v>
      </c>
      <c r="E52" s="4144">
        <f>R24*G52/(1+R24)</f>
        <v>0</v>
      </c>
      <c r="F52" s="4134" t="s">
        <v>3778</v>
      </c>
      <c r="G52" s="4135">
        <v>0.09</v>
      </c>
      <c r="H52" s="2168"/>
      <c r="I52" s="2282"/>
    </row>
    <row r="53" spans="1:9" ht="13.15" customHeight="1">
      <c r="C53" s="4123" t="s">
        <v>3795</v>
      </c>
      <c r="D53" s="4124" t="s">
        <v>3779</v>
      </c>
      <c r="E53" s="4144">
        <f>R27*G53/(1+G53)</f>
        <v>0</v>
      </c>
      <c r="F53" s="4134" t="s">
        <v>3778</v>
      </c>
      <c r="G53" s="4135">
        <v>0.09</v>
      </c>
      <c r="H53" s="2168"/>
      <c r="I53" s="2282"/>
    </row>
    <row r="54" spans="1:9" ht="13.15" customHeight="1">
      <c r="A54" s="2168" t="s">
        <v>3824</v>
      </c>
      <c r="B54" s="2282"/>
      <c r="C54" s="4122">
        <v>3</v>
      </c>
      <c r="D54" s="4121" t="s">
        <v>3780</v>
      </c>
      <c r="E54" s="4143">
        <f>E55+E56+E60</f>
        <v>0</v>
      </c>
      <c r="F54" s="4121"/>
      <c r="G54" s="4133"/>
      <c r="H54" s="2168"/>
      <c r="I54" s="2282"/>
    </row>
    <row r="55" spans="1:9" ht="13.15" customHeight="1">
      <c r="A55" s="4113">
        <v>0.05</v>
      </c>
      <c r="B55" s="4114" t="s">
        <v>3828</v>
      </c>
      <c r="C55" s="4123" t="s">
        <v>3790</v>
      </c>
      <c r="D55" s="4124" t="s">
        <v>3781</v>
      </c>
      <c r="E55" s="4144">
        <f>D9*G55/(1+G55)</f>
        <v>0</v>
      </c>
      <c r="F55" s="4136" t="s">
        <v>3830</v>
      </c>
      <c r="G55" s="4135">
        <v>0.13</v>
      </c>
      <c r="H55" s="2168"/>
      <c r="I55" s="2282"/>
    </row>
    <row r="56" spans="1:9" ht="13.15" customHeight="1">
      <c r="A56" s="4113">
        <f>SUM(A57:A59)</f>
        <v>0.39</v>
      </c>
      <c r="B56" s="4114"/>
      <c r="C56" s="4123" t="s">
        <v>3792</v>
      </c>
      <c r="D56" s="4124" t="s">
        <v>3782</v>
      </c>
      <c r="E56" s="4144">
        <f>SUM(E57:E59)</f>
        <v>0</v>
      </c>
      <c r="F56" s="4134"/>
      <c r="G56" s="4137"/>
      <c r="H56" s="2168" t="s">
        <v>3837</v>
      </c>
      <c r="I56" s="2168" t="s">
        <v>3838</v>
      </c>
    </row>
    <row r="57" spans="1:9" ht="13.15" customHeight="1">
      <c r="A57" s="4113">
        <v>0.25</v>
      </c>
      <c r="B57" s="4114" t="s">
        <v>3825</v>
      </c>
      <c r="C57" s="4125" t="s">
        <v>3783</v>
      </c>
      <c r="D57" s="4126" t="s">
        <v>3784</v>
      </c>
      <c r="E57" s="4145">
        <v>0</v>
      </c>
      <c r="F57" s="4138"/>
      <c r="G57" s="4139" t="s">
        <v>3785</v>
      </c>
      <c r="H57" s="4109">
        <v>0.65</v>
      </c>
      <c r="I57" s="4115">
        <f>A57/SUM(A57:A59)</f>
        <v>0.64102564102564097</v>
      </c>
    </row>
    <row r="58" spans="1:9" ht="13.15" customHeight="1">
      <c r="A58" s="4113">
        <v>0.06</v>
      </c>
      <c r="B58" s="4114" t="s">
        <v>3826</v>
      </c>
      <c r="C58" s="4125" t="s">
        <v>3786</v>
      </c>
      <c r="D58" s="4127" t="s">
        <v>3832</v>
      </c>
      <c r="E58" s="4145">
        <f>D10*H58*G58/(1+G58)</f>
        <v>0</v>
      </c>
      <c r="F58" s="4138" t="s">
        <v>3796</v>
      </c>
      <c r="G58" s="4140">
        <v>0.09</v>
      </c>
      <c r="H58" s="4109">
        <v>0.15</v>
      </c>
      <c r="I58" s="4115">
        <f>A58/SUM(A57:A59)</f>
        <v>0.15384615384615383</v>
      </c>
    </row>
    <row r="59" spans="1:9" ht="13.15" customHeight="1">
      <c r="A59" s="4113">
        <v>0.08</v>
      </c>
      <c r="B59" s="4114" t="s">
        <v>3827</v>
      </c>
      <c r="C59" s="4125" t="s">
        <v>3787</v>
      </c>
      <c r="D59" s="4126" t="s">
        <v>3797</v>
      </c>
      <c r="E59" s="4145">
        <f>D10*H59*G59/(1+G59)</f>
        <v>0</v>
      </c>
      <c r="F59" s="4138" t="s">
        <v>3798</v>
      </c>
      <c r="G59" s="4140">
        <v>0.06</v>
      </c>
      <c r="H59" s="4109">
        <v>0.2</v>
      </c>
      <c r="I59" s="4115">
        <f>1-I57-I58</f>
        <v>0.2051282051282052</v>
      </c>
    </row>
    <row r="60" spans="1:9" ht="13.15" customHeight="1">
      <c r="A60" s="4113">
        <f>SUM(A61:A62)</f>
        <v>0.1</v>
      </c>
      <c r="B60" s="4114"/>
      <c r="C60" s="4123" t="s">
        <v>3794</v>
      </c>
      <c r="D60" s="4124" t="s">
        <v>3799</v>
      </c>
      <c r="E60" s="4144">
        <f>SUM(E61:E62)</f>
        <v>0</v>
      </c>
      <c r="F60" s="4134"/>
      <c r="G60" s="4137"/>
      <c r="I60" s="2282"/>
    </row>
    <row r="61" spans="1:9" ht="13.15" customHeight="1">
      <c r="A61" s="4113">
        <v>0.05</v>
      </c>
      <c r="B61" s="4114" t="s">
        <v>3828</v>
      </c>
      <c r="C61" s="4125" t="s">
        <v>3800</v>
      </c>
      <c r="D61" s="4126" t="s">
        <v>3801</v>
      </c>
      <c r="E61" s="4145">
        <f>D17*H61*G61/(1+G61)</f>
        <v>0</v>
      </c>
      <c r="F61" s="4138" t="s">
        <v>3798</v>
      </c>
      <c r="G61" s="4140">
        <v>0.06</v>
      </c>
      <c r="H61" s="4109">
        <v>0.5</v>
      </c>
      <c r="I61" s="2282"/>
    </row>
    <row r="62" spans="1:9" ht="13.15" customHeight="1" thickBot="1">
      <c r="A62" s="4113">
        <v>0.05</v>
      </c>
      <c r="B62" s="4114" t="s">
        <v>3829</v>
      </c>
      <c r="C62" s="4128" t="s">
        <v>3786</v>
      </c>
      <c r="D62" s="4129" t="s">
        <v>3802</v>
      </c>
      <c r="E62" s="4146">
        <f>D17*H62*G62/(1+G62)</f>
        <v>0</v>
      </c>
      <c r="F62" s="4141" t="s">
        <v>3803</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3804</v>
      </c>
      <c r="D65" s="4119" t="s">
        <v>3840</v>
      </c>
      <c r="E65" s="4117"/>
      <c r="F65" s="4130" t="s">
        <v>3841</v>
      </c>
      <c r="G65" s="4147"/>
      <c r="H65" s="2168"/>
      <c r="I65" s="2282"/>
    </row>
    <row r="66" spans="1:9" ht="12.75">
      <c r="C66" s="4120" t="s">
        <v>3805</v>
      </c>
      <c r="D66" s="4121" t="s">
        <v>3806</v>
      </c>
      <c r="E66" s="4132" t="s">
        <v>3807</v>
      </c>
      <c r="F66" s="4132" t="s">
        <v>3808</v>
      </c>
      <c r="G66" s="4133" t="s">
        <v>3809</v>
      </c>
      <c r="H66" s="2168"/>
      <c r="I66" s="2282"/>
    </row>
    <row r="67" spans="1:9" ht="12">
      <c r="C67" s="4122">
        <v>1</v>
      </c>
      <c r="D67" s="4121" t="s">
        <v>3810</v>
      </c>
      <c r="E67" s="4148">
        <f>E68-E73</f>
        <v>0</v>
      </c>
      <c r="F67" s="4121"/>
      <c r="G67" s="4133"/>
      <c r="H67" s="2168"/>
      <c r="I67" s="2282"/>
    </row>
    <row r="68" spans="1:9" ht="13.15" customHeight="1">
      <c r="C68" s="4149">
        <v>2</v>
      </c>
      <c r="D68" s="4121" t="s">
        <v>3811</v>
      </c>
      <c r="E68" s="4148">
        <f>SUM(E69:E70)</f>
        <v>0</v>
      </c>
      <c r="F68" s="4121"/>
      <c r="G68" s="4133"/>
      <c r="H68" s="2168"/>
      <c r="I68" s="2282"/>
    </row>
    <row r="69" spans="1:9" ht="13.15" customHeight="1">
      <c r="C69" s="4123" t="s">
        <v>3812</v>
      </c>
      <c r="D69" s="4124" t="s">
        <v>3813</v>
      </c>
      <c r="E69" s="4124"/>
      <c r="F69" s="4134" t="s">
        <v>3814</v>
      </c>
      <c r="G69" s="4135">
        <v>0.09</v>
      </c>
      <c r="H69" s="2168"/>
      <c r="I69" s="2282"/>
    </row>
    <row r="70" spans="1:9" ht="13.15" customHeight="1">
      <c r="C70" s="4123" t="s">
        <v>3792</v>
      </c>
      <c r="D70" s="4124" t="s">
        <v>3815</v>
      </c>
      <c r="E70" s="4124"/>
      <c r="F70" s="4134" t="s">
        <v>3816</v>
      </c>
      <c r="G70" s="4135">
        <v>0.06</v>
      </c>
      <c r="H70" s="2168"/>
      <c r="I70" s="2282"/>
    </row>
    <row r="71" spans="1:9" ht="13.15" customHeight="1">
      <c r="A71" s="2168" t="s">
        <v>3831</v>
      </c>
      <c r="C71" s="4149">
        <v>3</v>
      </c>
      <c r="D71" s="4121" t="s">
        <v>3817</v>
      </c>
      <c r="E71" s="4148">
        <f>E72+E77</f>
        <v>0</v>
      </c>
      <c r="F71" s="4121"/>
      <c r="G71" s="4133"/>
      <c r="H71" s="2168"/>
      <c r="I71" s="2282"/>
    </row>
    <row r="72" spans="1:9" ht="13.15" customHeight="1">
      <c r="A72" s="4113">
        <v>0.05</v>
      </c>
      <c r="B72" s="4116"/>
      <c r="C72" s="4123" t="s">
        <v>3812</v>
      </c>
      <c r="D72" s="4124" t="s">
        <v>3818</v>
      </c>
      <c r="E72" s="4124">
        <f>D9*G72/(1+G72)</f>
        <v>0</v>
      </c>
      <c r="F72" s="4136" t="s">
        <v>3830</v>
      </c>
      <c r="G72" s="4135">
        <v>0.13</v>
      </c>
      <c r="H72" s="2168"/>
      <c r="I72" s="2282"/>
    </row>
    <row r="73" spans="1:9" ht="13.15" customHeight="1">
      <c r="A73" s="4113">
        <f>SUM(A74:A76)</f>
        <v>0.2</v>
      </c>
      <c r="B73" s="4116"/>
      <c r="C73" s="4123" t="s">
        <v>3792</v>
      </c>
      <c r="D73" s="4124" t="s">
        <v>3819</v>
      </c>
      <c r="E73" s="4124">
        <f>SUM(E74:E76)</f>
        <v>0</v>
      </c>
      <c r="F73" s="4134"/>
      <c r="G73" s="4137"/>
      <c r="H73" s="2168" t="s">
        <v>3837</v>
      </c>
      <c r="I73" s="2168" t="s">
        <v>3838</v>
      </c>
    </row>
    <row r="74" spans="1:9" ht="13.15" customHeight="1">
      <c r="A74" s="4113">
        <v>0.05</v>
      </c>
      <c r="B74" s="4116" t="s">
        <v>3835</v>
      </c>
      <c r="C74" s="4150" t="s">
        <v>3820</v>
      </c>
      <c r="D74" s="4126" t="s">
        <v>3821</v>
      </c>
      <c r="E74" s="4126">
        <v>0</v>
      </c>
      <c r="F74" s="4138"/>
      <c r="G74" s="4139" t="s">
        <v>3822</v>
      </c>
      <c r="H74" s="4109">
        <v>0.25</v>
      </c>
      <c r="I74" s="4115">
        <f>A74/SUM(A74:A76)</f>
        <v>0.25</v>
      </c>
    </row>
    <row r="75" spans="1:9" ht="13.15" customHeight="1">
      <c r="A75" s="4113">
        <v>0.1</v>
      </c>
      <c r="B75" s="4116" t="s">
        <v>3833</v>
      </c>
      <c r="C75" s="4150" t="s">
        <v>3788</v>
      </c>
      <c r="D75" s="4127" t="s">
        <v>3832</v>
      </c>
      <c r="E75" s="4126">
        <f>D10*H75*G75/(1+G75)</f>
        <v>0</v>
      </c>
      <c r="F75" s="4138" t="s">
        <v>3823</v>
      </c>
      <c r="G75" s="4140">
        <v>0.09</v>
      </c>
      <c r="H75" s="4109">
        <v>0.5</v>
      </c>
      <c r="I75" s="4115">
        <f>A75/SUM(A74:A76)</f>
        <v>0.5</v>
      </c>
    </row>
    <row r="76" spans="1:9" ht="13.15" customHeight="1">
      <c r="A76" s="4113">
        <v>0.05</v>
      </c>
      <c r="B76" s="4116" t="s">
        <v>3836</v>
      </c>
      <c r="C76" s="4150" t="s">
        <v>3789</v>
      </c>
      <c r="D76" s="4126" t="s">
        <v>3797</v>
      </c>
      <c r="E76" s="4126">
        <f>D10*H76*G76/(1+G76)</f>
        <v>0</v>
      </c>
      <c r="F76" s="4138" t="s">
        <v>3798</v>
      </c>
      <c r="G76" s="4140">
        <v>0.06</v>
      </c>
      <c r="H76" s="4109">
        <v>0.25</v>
      </c>
      <c r="I76" s="4115">
        <f>1-I74-I75</f>
        <v>0.25</v>
      </c>
    </row>
    <row r="77" spans="1:9" ht="13.15" customHeight="1">
      <c r="A77" s="4113">
        <f>SUM(A78:A79)</f>
        <v>0.1</v>
      </c>
      <c r="B77" s="4116"/>
      <c r="C77" s="4123" t="s">
        <v>3794</v>
      </c>
      <c r="D77" s="4124" t="s">
        <v>3799</v>
      </c>
      <c r="E77" s="4124">
        <f>SUM(E78:E79)</f>
        <v>0</v>
      </c>
      <c r="F77" s="4134"/>
      <c r="G77" s="4137"/>
      <c r="I77" s="2282"/>
    </row>
    <row r="78" spans="1:9" ht="13.15" customHeight="1">
      <c r="A78" s="4113">
        <v>0.05</v>
      </c>
      <c r="B78" s="4116" t="s">
        <v>3826</v>
      </c>
      <c r="C78" s="4150" t="s">
        <v>3820</v>
      </c>
      <c r="D78" s="4126" t="s">
        <v>3801</v>
      </c>
      <c r="E78" s="4126">
        <f>D17*H78*G78/(1+G78)</f>
        <v>0</v>
      </c>
      <c r="F78" s="4138" t="s">
        <v>3798</v>
      </c>
      <c r="G78" s="4140">
        <v>0.06</v>
      </c>
      <c r="H78" s="4109">
        <v>0.5</v>
      </c>
      <c r="I78" s="2282"/>
    </row>
    <row r="79" spans="1:9" ht="13.15" customHeight="1" thickBot="1">
      <c r="A79" s="4113">
        <v>0.05</v>
      </c>
      <c r="B79" s="4116" t="s">
        <v>3834</v>
      </c>
      <c r="C79" s="4151" t="s">
        <v>3788</v>
      </c>
      <c r="D79" s="4129" t="s">
        <v>3802</v>
      </c>
      <c r="E79" s="4129">
        <f>D17*H79*G79/(1+G79)</f>
        <v>0</v>
      </c>
      <c r="F79" s="4141" t="s">
        <v>3803</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1576</v>
      </c>
      <c r="B1" s="1424"/>
      <c r="C1" s="1424"/>
      <c r="D1" s="1424"/>
      <c r="E1" s="1425"/>
      <c r="F1" s="2061"/>
      <c r="G1" s="1105"/>
      <c r="H1" s="1105"/>
      <c r="I1" s="1105"/>
      <c r="J1" s="1105"/>
      <c r="K1" s="1105"/>
      <c r="L1" s="1105"/>
      <c r="M1" s="1105"/>
      <c r="N1" s="1105"/>
      <c r="O1" s="1105"/>
      <c r="P1" s="1105"/>
      <c r="Q1" s="1105"/>
      <c r="R1" s="1105"/>
      <c r="S1" s="1105"/>
    </row>
    <row r="2" spans="1:22" ht="15.75">
      <c r="A2" s="1426" t="s">
        <v>1437</v>
      </c>
      <c r="B2" s="3120">
        <f ca="1">SUMIF(B6:B13,"&lt;&gt;#ref!",B6:B13)</f>
        <v>0</v>
      </c>
      <c r="C2" s="1427" t="s">
        <v>1569</v>
      </c>
      <c r="D2" s="1428" t="s">
        <v>1570</v>
      </c>
      <c r="E2" s="3122">
        <f>SUM(E6:E13)</f>
        <v>0</v>
      </c>
      <c r="F2" s="2061"/>
      <c r="G2" s="1105"/>
      <c r="H2" s="1105"/>
      <c r="I2" s="1105"/>
      <c r="J2" s="1105"/>
      <c r="K2" s="1105"/>
      <c r="L2" s="1105"/>
      <c r="M2" s="1105"/>
      <c r="N2" s="1105"/>
      <c r="O2" s="1105"/>
      <c r="P2" s="1105"/>
      <c r="Q2" s="1105"/>
      <c r="R2" s="1105"/>
      <c r="S2" s="1105"/>
    </row>
    <row r="3" spans="1:22" ht="15.75">
      <c r="A3" s="1426" t="s">
        <v>673</v>
      </c>
      <c r="B3" s="3121" t="e">
        <f ca="1">ROUND(B2*10000/E2,0)</f>
        <v>#DIV/0!</v>
      </c>
      <c r="C3" s="1427" t="s">
        <v>1577</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1571</v>
      </c>
      <c r="B5" s="4434" t="s">
        <v>1572</v>
      </c>
      <c r="C5" s="4435"/>
      <c r="D5" s="2062"/>
      <c r="E5" s="1429" t="s">
        <v>1573</v>
      </c>
      <c r="F5" s="67" t="s">
        <v>1574</v>
      </c>
      <c r="G5" s="1105"/>
      <c r="H5" s="1105"/>
      <c r="I5" s="1105"/>
      <c r="J5" s="1105"/>
      <c r="K5" s="1105"/>
      <c r="L5" s="1105"/>
      <c r="M5" s="1105"/>
      <c r="N5" s="1105"/>
      <c r="O5" s="1105"/>
      <c r="P5" s="1105"/>
      <c r="Q5" s="1105"/>
      <c r="R5" s="1105"/>
      <c r="S5" s="1105"/>
    </row>
    <row r="6" spans="1:22">
      <c r="A6" s="1976">
        <f>'数据-取费表'!AN6</f>
        <v>0</v>
      </c>
      <c r="B6" s="2813" t="e">
        <f ca="1">IF(F6="是",'数据-取费表'!AO6,0)</f>
        <v>#REF!</v>
      </c>
      <c r="C6" s="1427" t="s">
        <v>1569</v>
      </c>
      <c r="D6" s="2061"/>
      <c r="E6" s="3123">
        <f>IF(OR(A6=0,F6="否"),0,'数据-取费表'!K6+'数据-取费表'!S6)</f>
        <v>0</v>
      </c>
      <c r="F6" s="1430" t="s">
        <v>1575</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1569</v>
      </c>
      <c r="D7" s="2061"/>
      <c r="E7" s="3123">
        <f>IF(OR(A7=0,F7="否"),0,'数据-取费表'!K7+'数据-取费表'!S7)</f>
        <v>0</v>
      </c>
      <c r="F7" s="1430" t="s">
        <v>1575</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1569</v>
      </c>
      <c r="D8" s="2061"/>
      <c r="E8" s="3123">
        <f>IF(OR(A8=0,F8="否"),0,'数据-取费表'!K8+'数据-取费表'!S8)</f>
        <v>0</v>
      </c>
      <c r="F8" s="1430" t="s">
        <v>1575</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1569</v>
      </c>
      <c r="D9" s="2061"/>
      <c r="E9" s="3123">
        <f>IF(OR(A9=0,F9="否"),0,'数据-取费表'!K9+'数据-取费表'!S9)</f>
        <v>0</v>
      </c>
      <c r="F9" s="1430" t="s">
        <v>1575</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1569</v>
      </c>
      <c r="D10" s="2061"/>
      <c r="E10" s="3123">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1569</v>
      </c>
      <c r="D11" s="2061"/>
      <c r="E11" s="3123">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1569</v>
      </c>
      <c r="D12" s="2061"/>
      <c r="E12" s="3123">
        <f>IF(OR(A12=0,F12="否"),0,'数据-取费表'!K12+'数据-取费表'!S12)</f>
        <v>0</v>
      </c>
      <c r="F12" s="1430" t="s">
        <v>1575</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1569</v>
      </c>
      <c r="D13" s="2063"/>
      <c r="E13" s="3123">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32" t="s">
        <v>1579</v>
      </c>
      <c r="C1" s="893" t="s">
        <v>1580</v>
      </c>
      <c r="D1" s="880"/>
      <c r="E1" s="2607"/>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4">
        <f>IF(C2="含税",D2,ROUND(D2/(1+F3),0))</f>
        <v>0</v>
      </c>
      <c r="C2" s="3025"/>
      <c r="D2" s="3126" t="b">
        <f>IF(E1="项目模式",IF(E2="——",ROUND(C49*D3/10000,0),ROUND(C49*D3/10000,0)-F2),IF(E1="单套模式",IF(E2="——",ROUND(C49*D3/10000,4),ROUND(C49*D3/10000,4)-F2)))</f>
        <v>0</v>
      </c>
      <c r="E2" s="3032"/>
      <c r="F2" s="3128" t="e">
        <f ca="1">IF(E1="项目模式",SUMIF(INDIRECT("'"&amp;H2&amp;"'"&amp;"!A:A"),"承租人权益价值",INDIRECT("'"&amp;H2&amp;"'"&amp;"!c:c")),SUMIF(INDIRECT("'"&amp;H2&amp;"'"&amp;"!A:A"),"承租人权益价值（单套）",INDIRECT("'"&amp;H2&amp;"'"&amp;"!c:c")))</f>
        <v>#REF!</v>
      </c>
      <c r="G2" s="1436" t="s">
        <v>1582</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5">
        <f>IF(E2="——",C49,ROUND(B2*10000/D3,0))</f>
        <v>0</v>
      </c>
      <c r="C3" s="252" t="s">
        <v>1583</v>
      </c>
      <c r="D3" s="3127">
        <f>IF(D1="",'数据-汇总表'!E3,SUMIF('数据-汇总表'!$C19:$C33,D1,'数据-汇总表'!$E19:$E33))</f>
        <v>1048.8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1584</v>
      </c>
      <c r="B4" s="254"/>
      <c r="C4" s="4455" t="s">
        <v>1585</v>
      </c>
      <c r="D4" s="4456"/>
      <c r="E4" s="4457" t="s">
        <v>1586</v>
      </c>
      <c r="F4" s="4458"/>
      <c r="G4" s="4455" t="s">
        <v>1587</v>
      </c>
      <c r="H4" s="4456"/>
      <c r="I4" s="4455" t="s">
        <v>1588</v>
      </c>
      <c r="J4" s="4456"/>
      <c r="K4" s="3053" t="s">
        <v>1589</v>
      </c>
      <c r="L4" s="2068"/>
      <c r="M4" s="2069"/>
      <c r="N4" s="2069"/>
      <c r="O4" s="2069"/>
      <c r="P4" s="4459" t="s">
        <v>1590</v>
      </c>
      <c r="Q4" s="4460"/>
      <c r="R4" s="4441" t="s">
        <v>1586</v>
      </c>
      <c r="S4" s="4442"/>
      <c r="T4" s="4441" t="s">
        <v>1587</v>
      </c>
      <c r="U4" s="4442"/>
      <c r="V4" s="4467" t="s">
        <v>1588</v>
      </c>
      <c r="W4" s="4467"/>
      <c r="X4" s="981"/>
      <c r="Y4" s="4470" t="s">
        <v>1590</v>
      </c>
      <c r="Z4" s="4471"/>
      <c r="AA4" s="4436" t="s">
        <v>1586</v>
      </c>
      <c r="AB4" s="4436" t="s">
        <v>1587</v>
      </c>
      <c r="AC4" s="4436" t="s">
        <v>1588</v>
      </c>
    </row>
    <row r="5" spans="1:29" ht="15">
      <c r="A5" s="256"/>
      <c r="B5" s="257"/>
      <c r="C5" s="4447" t="s">
        <v>1591</v>
      </c>
      <c r="D5" s="4448"/>
      <c r="E5" s="4445" t="s">
        <v>1592</v>
      </c>
      <c r="F5" s="4446"/>
      <c r="G5" s="4447" t="s">
        <v>1593</v>
      </c>
      <c r="H5" s="4448"/>
      <c r="I5" s="4447" t="s">
        <v>1594</v>
      </c>
      <c r="J5" s="4448"/>
      <c r="K5" s="3054"/>
      <c r="L5" s="2068"/>
      <c r="M5" s="2069"/>
      <c r="N5" s="2069"/>
      <c r="O5" s="2069"/>
      <c r="P5" s="4461"/>
      <c r="Q5" s="4462"/>
      <c r="R5" s="4443"/>
      <c r="S5" s="4444"/>
      <c r="T5" s="4443"/>
      <c r="U5" s="4444"/>
      <c r="V5" s="4467"/>
      <c r="W5" s="4467"/>
      <c r="X5" s="981"/>
      <c r="Y5" s="4472"/>
      <c r="Z5" s="4473"/>
      <c r="AA5" s="4437"/>
      <c r="AB5" s="4437"/>
      <c r="AC5" s="4437"/>
    </row>
    <row r="6" spans="1:29" ht="15.75" thickBot="1">
      <c r="A6" s="258"/>
      <c r="B6" s="259"/>
      <c r="C6" s="4449" t="s">
        <v>1595</v>
      </c>
      <c r="D6" s="4450"/>
      <c r="E6" s="4451" t="s">
        <v>1595</v>
      </c>
      <c r="F6" s="4452"/>
      <c r="G6" s="4449" t="s">
        <v>1595</v>
      </c>
      <c r="H6" s="4450"/>
      <c r="I6" s="4449" t="s">
        <v>1595</v>
      </c>
      <c r="J6" s="4450"/>
      <c r="K6" s="3054" t="s">
        <v>1596</v>
      </c>
      <c r="L6" s="2068"/>
      <c r="M6" s="2069"/>
      <c r="N6" s="2069"/>
      <c r="O6" s="2069"/>
      <c r="P6" s="4463"/>
      <c r="Q6" s="4464"/>
      <c r="R6" s="4443"/>
      <c r="S6" s="4444"/>
      <c r="T6" s="4465"/>
      <c r="U6" s="4466"/>
      <c r="V6" s="4467"/>
      <c r="W6" s="4467"/>
      <c r="X6" s="981"/>
      <c r="Y6" s="4474"/>
      <c r="Z6" s="4475"/>
      <c r="AA6" s="4438"/>
      <c r="AB6" s="4438"/>
      <c r="AC6" s="4438"/>
    </row>
    <row r="7" spans="1:29" s="61" customFormat="1" ht="15.75" thickBot="1">
      <c r="A7" s="260" t="s">
        <v>1597</v>
      </c>
      <c r="B7" s="261"/>
      <c r="C7" s="3055">
        <f>'数据-取费表'!B2</f>
        <v>46044</v>
      </c>
      <c r="D7" s="3154">
        <v>100</v>
      </c>
      <c r="E7" s="3084"/>
      <c r="F7" s="3130">
        <f>SUMIF(58:58,YEAR(E7)&amp;"-"&amp;MONTH(E7),59:59)</f>
        <v>0</v>
      </c>
      <c r="G7" s="3084"/>
      <c r="H7" s="3129">
        <f>SUMIF(58:58,YEAR(G7)&amp;"-"&amp;MONTH(G7),59:59)</f>
        <v>0</v>
      </c>
      <c r="I7" s="3084"/>
      <c r="J7" s="3129">
        <f>SUMIF(58:58,YEAR(I7)&amp;"-"&amp;MONTH(I7),59:59)</f>
        <v>0</v>
      </c>
      <c r="K7" s="3046"/>
      <c r="L7" s="2070"/>
      <c r="M7" s="2021"/>
      <c r="N7" s="2021"/>
      <c r="O7" s="2021"/>
      <c r="P7" s="4468" t="s">
        <v>1598</v>
      </c>
      <c r="Q7" s="4476"/>
      <c r="R7" s="3516" t="s">
        <v>18</v>
      </c>
      <c r="S7" s="3517">
        <f t="shared" ref="S7:S15" si="0">F7</f>
        <v>0</v>
      </c>
      <c r="T7" s="3516" t="s">
        <v>18</v>
      </c>
      <c r="U7" s="3517">
        <f t="shared" ref="U7:U15" si="1">H7</f>
        <v>0</v>
      </c>
      <c r="V7" s="3516" t="s">
        <v>18</v>
      </c>
      <c r="W7" s="3517">
        <f t="shared" ref="W7:W15" si="2">J7</f>
        <v>0</v>
      </c>
      <c r="X7" s="512"/>
      <c r="Y7" s="4439" t="s">
        <v>1598</v>
      </c>
      <c r="Z7" s="4440"/>
      <c r="AA7" s="41" t="e">
        <f>D7/F7</f>
        <v>#DIV/0!</v>
      </c>
      <c r="AB7" s="41" t="e">
        <f>D7/H7</f>
        <v>#DIV/0!</v>
      </c>
      <c r="AC7" s="41" t="e">
        <f>D7/J7</f>
        <v>#DIV/0!</v>
      </c>
    </row>
    <row r="8" spans="1:29" s="61" customFormat="1" ht="15.75" thickBot="1">
      <c r="A8" s="260" t="s">
        <v>1599</v>
      </c>
      <c r="B8" s="261"/>
      <c r="C8" s="3056"/>
      <c r="D8" s="3154">
        <v>100</v>
      </c>
      <c r="E8" s="3108"/>
      <c r="F8" s="3142">
        <f>SUMIF(61:61,E8,62:62)-SUMIF(61:61,C8,62:62)+100</f>
        <v>100</v>
      </c>
      <c r="G8" s="3056"/>
      <c r="H8" s="3131">
        <f>SUMIF(61:61,G8,62:62)-SUMIF(61:61,C8,62:62)+100</f>
        <v>100</v>
      </c>
      <c r="I8" s="3108"/>
      <c r="J8" s="3131">
        <f>SUMIF(61:61,I8,62:62)-SUMIF(61:61,C8,62:62)+100</f>
        <v>100</v>
      </c>
      <c r="K8" s="3046"/>
      <c r="L8" s="2070"/>
      <c r="M8" s="2021"/>
      <c r="N8" s="2021"/>
      <c r="O8" s="2021"/>
      <c r="P8" s="4468" t="s">
        <v>1601</v>
      </c>
      <c r="Q8" s="4469"/>
      <c r="R8" s="3516" t="s">
        <v>18</v>
      </c>
      <c r="S8" s="3517">
        <f t="shared" si="0"/>
        <v>100</v>
      </c>
      <c r="T8" s="3516" t="s">
        <v>18</v>
      </c>
      <c r="U8" s="3517">
        <f t="shared" si="1"/>
        <v>100</v>
      </c>
      <c r="V8" s="3516" t="s">
        <v>18</v>
      </c>
      <c r="W8" s="3517">
        <f t="shared" si="2"/>
        <v>100</v>
      </c>
      <c r="X8" s="512"/>
      <c r="Y8" s="4439" t="s">
        <v>1601</v>
      </c>
      <c r="Z8" s="4440"/>
      <c r="AA8" s="41">
        <f t="shared" ref="AA8:AA19" si="3">D8/F8</f>
        <v>1</v>
      </c>
      <c r="AB8" s="41">
        <f t="shared" ref="AB8:AB19" si="4">D8/H8</f>
        <v>1</v>
      </c>
      <c r="AC8" s="41">
        <f t="shared" ref="AC8:AC19" si="5">D8/J8</f>
        <v>1</v>
      </c>
    </row>
    <row r="9" spans="1:29" s="61" customFormat="1">
      <c r="A9" s="265" t="s">
        <v>1602</v>
      </c>
      <c r="B9" s="3035" t="s">
        <v>1603</v>
      </c>
      <c r="C9" s="3057"/>
      <c r="D9" s="3155">
        <v>100</v>
      </c>
      <c r="E9" s="3085"/>
      <c r="F9" s="3143">
        <f>SUMIF(63:63,E9,64:64)-SUMIF(63:63,C9,64:64)+100</f>
        <v>100</v>
      </c>
      <c r="G9" s="3113"/>
      <c r="H9" s="3132">
        <f>SUMIF(63:63,G9,64:64)-SUMIF(63:63,C9,64:64)+100</f>
        <v>100</v>
      </c>
      <c r="I9" s="3113"/>
      <c r="J9" s="3132">
        <f>SUMIF(63:63,I9,64:64)-SUMIF(63:63,C9,64:64)+100</f>
        <v>100</v>
      </c>
      <c r="K9" s="3046"/>
      <c r="L9" s="2070"/>
      <c r="M9" s="2021"/>
      <c r="N9" s="2021"/>
      <c r="O9" s="2021"/>
      <c r="P9" s="4453" t="s">
        <v>1604</v>
      </c>
      <c r="Q9" s="1787" t="str">
        <f t="shared" ref="Q9:Q15" si="6">B9</f>
        <v>用途</v>
      </c>
      <c r="R9" s="3516" t="s">
        <v>13</v>
      </c>
      <c r="S9" s="3517">
        <f t="shared" si="0"/>
        <v>100</v>
      </c>
      <c r="T9" s="3516" t="s">
        <v>13</v>
      </c>
      <c r="U9" s="3517">
        <f t="shared" si="1"/>
        <v>100</v>
      </c>
      <c r="V9" s="3516" t="s">
        <v>13</v>
      </c>
      <c r="W9" s="3517">
        <f t="shared" si="2"/>
        <v>100</v>
      </c>
      <c r="X9" s="512"/>
      <c r="Y9" s="4454"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046"/>
      <c r="L10" s="2071"/>
      <c r="M10" s="2072"/>
      <c r="N10" s="2072"/>
      <c r="O10" s="2072"/>
      <c r="P10" s="4453"/>
      <c r="Q10" s="1787" t="str">
        <f t="shared" si="6"/>
        <v>土地使用年限（年）</v>
      </c>
      <c r="R10" s="3516" t="s">
        <v>13</v>
      </c>
      <c r="S10" s="3517">
        <f t="shared" si="0"/>
        <v>100</v>
      </c>
      <c r="T10" s="3516" t="s">
        <v>13</v>
      </c>
      <c r="U10" s="3517">
        <f t="shared" si="1"/>
        <v>100</v>
      </c>
      <c r="V10" s="3516" t="s">
        <v>13</v>
      </c>
      <c r="W10" s="3517">
        <f t="shared" si="2"/>
        <v>100</v>
      </c>
      <c r="X10" s="512"/>
      <c r="Y10" s="4454"/>
      <c r="Z10" s="41" t="str">
        <f t="shared" si="7"/>
        <v>土地使用年限（年）</v>
      </c>
      <c r="AA10" s="41">
        <f t="shared" si="3"/>
        <v>1</v>
      </c>
      <c r="AB10" s="41">
        <f t="shared" si="4"/>
        <v>1</v>
      </c>
      <c r="AC10" s="41">
        <f t="shared" si="5"/>
        <v>1</v>
      </c>
    </row>
    <row r="11" spans="1:29" ht="15">
      <c r="A11" s="272"/>
      <c r="B11" s="3030" t="s">
        <v>1607</v>
      </c>
      <c r="C11" s="3059"/>
      <c r="D11" s="3156">
        <v>100</v>
      </c>
      <c r="E11" s="3087"/>
      <c r="F11" s="3144" t="e">
        <f>LOOKUP(E11,68:68,69:69)-LOOKUP(C11,68:68,69:69)+100</f>
        <v>#N/A</v>
      </c>
      <c r="G11" s="3059"/>
      <c r="H11" s="3133" t="e">
        <f>LOOKUP(G11,68:68,69:69)-LOOKUP(C11,68:68,69:69)+100</f>
        <v>#N/A</v>
      </c>
      <c r="I11" s="3059"/>
      <c r="J11" s="3133" t="e">
        <f>LOOKUP(I11,68:68,69:69)-LOOKUP(C11,68:68,69:69)+100</f>
        <v>#N/A</v>
      </c>
      <c r="K11" s="3047"/>
      <c r="L11" s="2073"/>
      <c r="M11" s="2069"/>
      <c r="N11" s="2069"/>
      <c r="O11" s="2069"/>
      <c r="P11" s="4453"/>
      <c r="Q11" s="1787" t="str">
        <f t="shared" si="6"/>
        <v>容积率</v>
      </c>
      <c r="R11" s="3516" t="s">
        <v>16</v>
      </c>
      <c r="S11" s="3517" t="e">
        <f t="shared" si="0"/>
        <v>#N/A</v>
      </c>
      <c r="T11" s="3516" t="s">
        <v>16</v>
      </c>
      <c r="U11" s="3517" t="e">
        <f t="shared" si="1"/>
        <v>#N/A</v>
      </c>
      <c r="V11" s="3516" t="s">
        <v>16</v>
      </c>
      <c r="W11" s="3517" t="e">
        <f t="shared" si="2"/>
        <v>#N/A</v>
      </c>
      <c r="X11" s="512"/>
      <c r="Y11" s="4454"/>
      <c r="Z11" s="41" t="str">
        <f t="shared" si="7"/>
        <v>容积率</v>
      </c>
      <c r="AA11" s="41" t="e">
        <f t="shared" si="3"/>
        <v>#N/A</v>
      </c>
      <c r="AB11" s="41" t="e">
        <f t="shared" si="4"/>
        <v>#N/A</v>
      </c>
      <c r="AC11" s="41" t="e">
        <f t="shared" si="5"/>
        <v>#N/A</v>
      </c>
    </row>
    <row r="12" spans="1:29" s="61" customFormat="1" ht="15">
      <c r="A12" s="275"/>
      <c r="B12" s="3036">
        <v>111</v>
      </c>
      <c r="C12" s="3060"/>
      <c r="D12" s="3157">
        <v>100</v>
      </c>
      <c r="E12" s="3060"/>
      <c r="F12" s="3144">
        <f>SUMIF(70:70,E12,71:71)-SUMIF(70:70,C12,71:71)+100</f>
        <v>100</v>
      </c>
      <c r="G12" s="3060"/>
      <c r="H12" s="3133">
        <f>SUMIF(70:70,G12,71:71)-SUMIF(70:70,C12,71:71)+100</f>
        <v>100</v>
      </c>
      <c r="I12" s="3060"/>
      <c r="J12" s="3133">
        <f>SUMIF(70:70,I12,71:71)-SUMIF(70:70,C12,71:71)+100</f>
        <v>100</v>
      </c>
      <c r="K12" s="3048"/>
      <c r="L12" s="2070"/>
      <c r="M12" s="2021"/>
      <c r="N12" s="2021"/>
      <c r="O12" s="2021"/>
      <c r="P12" s="4453"/>
      <c r="Q12" s="1787">
        <f t="shared" si="6"/>
        <v>111</v>
      </c>
      <c r="R12" s="3516" t="s">
        <v>16</v>
      </c>
      <c r="S12" s="3517">
        <f t="shared" si="0"/>
        <v>100</v>
      </c>
      <c r="T12" s="3516" t="s">
        <v>16</v>
      </c>
      <c r="U12" s="3517">
        <f t="shared" si="1"/>
        <v>100</v>
      </c>
      <c r="V12" s="3516" t="s">
        <v>16</v>
      </c>
      <c r="W12" s="3517">
        <f t="shared" si="2"/>
        <v>100</v>
      </c>
      <c r="X12" s="512"/>
      <c r="Y12" s="4454"/>
      <c r="Z12" s="41">
        <f t="shared" si="7"/>
        <v>111</v>
      </c>
      <c r="AA12" s="41">
        <f>D12/F12</f>
        <v>1</v>
      </c>
      <c r="AB12" s="41">
        <f>D12/H12</f>
        <v>1</v>
      </c>
      <c r="AC12" s="41">
        <f>D12/J12</f>
        <v>1</v>
      </c>
    </row>
    <row r="13" spans="1:29" ht="15">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048"/>
      <c r="L13" s="2074"/>
      <c r="M13" s="2069"/>
      <c r="N13" s="2069"/>
      <c r="O13" s="2069"/>
      <c r="P13" s="4453"/>
      <c r="Q13" s="1787">
        <f t="shared" si="6"/>
        <v>111</v>
      </c>
      <c r="R13" s="3516" t="s">
        <v>16</v>
      </c>
      <c r="S13" s="3517">
        <f t="shared" si="0"/>
        <v>100</v>
      </c>
      <c r="T13" s="3516" t="s">
        <v>16</v>
      </c>
      <c r="U13" s="3517">
        <f t="shared" si="1"/>
        <v>100</v>
      </c>
      <c r="V13" s="3516" t="s">
        <v>16</v>
      </c>
      <c r="W13" s="3517">
        <f t="shared" si="2"/>
        <v>100</v>
      </c>
      <c r="X13" s="512"/>
      <c r="Y13" s="4454"/>
      <c r="Z13" s="41">
        <f t="shared" si="7"/>
        <v>111</v>
      </c>
      <c r="AA13" s="41">
        <f t="shared" si="3"/>
        <v>1</v>
      </c>
      <c r="AB13" s="41">
        <f t="shared" si="4"/>
        <v>1</v>
      </c>
      <c r="AC13" s="41">
        <f t="shared" si="5"/>
        <v>1</v>
      </c>
    </row>
    <row r="14" spans="1:29" ht="15.75" thickBot="1">
      <c r="A14" s="278"/>
      <c r="B14" s="3037">
        <v>111</v>
      </c>
      <c r="C14" s="3062"/>
      <c r="D14" s="3159">
        <v>100</v>
      </c>
      <c r="E14" s="3062"/>
      <c r="F14" s="3145">
        <f>SUMIF(74:74,E14,75:75)-SUMIF(74:74,C14,75:75)+100</f>
        <v>100</v>
      </c>
      <c r="G14" s="3062"/>
      <c r="H14" s="3135">
        <f>SUMIF(74:74,G14,75:75)-SUMIF(74:74,C14,75:75)+100</f>
        <v>100</v>
      </c>
      <c r="I14" s="3062"/>
      <c r="J14" s="3135">
        <f>SUMIF(74:74,I14,75:75)-SUMIF(74:74,C14,75:75)+100</f>
        <v>100</v>
      </c>
      <c r="K14" s="3048"/>
      <c r="L14" s="2074"/>
      <c r="M14" s="2069"/>
      <c r="N14" s="2069"/>
      <c r="O14" s="2069"/>
      <c r="P14" s="4453"/>
      <c r="Q14" s="1787">
        <f t="shared" si="6"/>
        <v>111</v>
      </c>
      <c r="R14" s="3516" t="s">
        <v>16</v>
      </c>
      <c r="S14" s="3517">
        <f t="shared" si="0"/>
        <v>100</v>
      </c>
      <c r="T14" s="3516" t="s">
        <v>16</v>
      </c>
      <c r="U14" s="3517">
        <f t="shared" si="1"/>
        <v>100</v>
      </c>
      <c r="V14" s="3516" t="s">
        <v>16</v>
      </c>
      <c r="W14" s="3517">
        <f t="shared" si="2"/>
        <v>100</v>
      </c>
      <c r="X14" s="512"/>
      <c r="Y14" s="4454"/>
      <c r="Z14" s="41">
        <f t="shared" si="7"/>
        <v>111</v>
      </c>
      <c r="AA14" s="41">
        <f t="shared" si="3"/>
        <v>1</v>
      </c>
      <c r="AB14" s="41">
        <f t="shared" si="4"/>
        <v>1</v>
      </c>
      <c r="AC14" s="41">
        <f t="shared" si="5"/>
        <v>1</v>
      </c>
    </row>
    <row r="15" spans="1:29" ht="15">
      <c r="A15" s="280" t="s">
        <v>1608</v>
      </c>
      <c r="B15" s="3038" t="s">
        <v>1241</v>
      </c>
      <c r="C15" s="3063">
        <f>估价对象房地状况!C3</f>
        <v>0</v>
      </c>
      <c r="D15" s="3160">
        <v>100</v>
      </c>
      <c r="E15" s="3094"/>
      <c r="F15" s="3136">
        <f>SUMIF(76:76,E16,77:77)-SUMIF(76:76,C16,77:77)+100</f>
        <v>100</v>
      </c>
      <c r="G15" s="3088"/>
      <c r="H15" s="3136">
        <f>SUMIF(76:76,G16,77:77)-SUMIF(76:76,C16,77:77)+100</f>
        <v>100</v>
      </c>
      <c r="I15" s="3088"/>
      <c r="J15" s="3136">
        <f>SUMIF(76:76,I16,77:77)-SUMIF(76:76,C16,77:77)+100</f>
        <v>100</v>
      </c>
      <c r="K15" s="3049"/>
      <c r="L15" s="2074"/>
      <c r="M15" s="2069"/>
      <c r="N15" s="2069"/>
      <c r="O15" s="2069"/>
      <c r="P15" s="4489" t="s">
        <v>1609</v>
      </c>
      <c r="Q15" s="1587" t="str">
        <f t="shared" si="6"/>
        <v>居住社区成熟度</v>
      </c>
      <c r="R15" s="3518" t="s">
        <v>16</v>
      </c>
      <c r="S15" s="3519">
        <f t="shared" si="0"/>
        <v>100</v>
      </c>
      <c r="T15" s="3518" t="s">
        <v>16</v>
      </c>
      <c r="U15" s="3519">
        <f t="shared" si="1"/>
        <v>100</v>
      </c>
      <c r="V15" s="3518" t="s">
        <v>16</v>
      </c>
      <c r="W15" s="3519">
        <f t="shared" si="2"/>
        <v>100</v>
      </c>
      <c r="X15" s="981"/>
      <c r="Y15" s="4482" t="s">
        <v>1609</v>
      </c>
      <c r="Z15" s="979" t="str">
        <f t="shared" si="7"/>
        <v>居住社区成熟度</v>
      </c>
      <c r="AA15" s="979">
        <f t="shared" si="3"/>
        <v>1</v>
      </c>
      <c r="AB15" s="979">
        <f t="shared" si="4"/>
        <v>1</v>
      </c>
      <c r="AC15" s="979">
        <f t="shared" si="5"/>
        <v>1</v>
      </c>
    </row>
    <row r="16" spans="1:29" ht="15">
      <c r="A16" s="272"/>
      <c r="B16" s="3039"/>
      <c r="C16" s="3064"/>
      <c r="D16" s="3161"/>
      <c r="E16" s="3098"/>
      <c r="F16" s="3137"/>
      <c r="G16" s="3092"/>
      <c r="H16" s="3138"/>
      <c r="I16" s="3092"/>
      <c r="J16" s="3137"/>
      <c r="K16" s="3050"/>
      <c r="L16" s="2074"/>
      <c r="M16" s="2069"/>
      <c r="N16" s="2069"/>
      <c r="O16" s="2069"/>
      <c r="P16" s="4490"/>
      <c r="Q16" s="1587"/>
      <c r="R16" s="3518"/>
      <c r="S16" s="3519"/>
      <c r="T16" s="3518"/>
      <c r="U16" s="3519"/>
      <c r="V16" s="3518"/>
      <c r="W16" s="3519"/>
      <c r="X16" s="981"/>
      <c r="Y16" s="4483"/>
      <c r="Z16" s="979"/>
      <c r="AA16" s="979">
        <v>1</v>
      </c>
      <c r="AB16" s="979">
        <v>1</v>
      </c>
      <c r="AC16" s="979">
        <v>1</v>
      </c>
    </row>
    <row r="17" spans="1:29" ht="15">
      <c r="A17" s="272"/>
      <c r="B17" s="3040" t="s">
        <v>1243</v>
      </c>
      <c r="C17" s="3065">
        <f>估价对象房地状况!C6</f>
        <v>0</v>
      </c>
      <c r="D17" s="3162">
        <v>100</v>
      </c>
      <c r="E17" s="3095"/>
      <c r="F17" s="3138">
        <f>SUMIF(78:78,E18,79:79)-SUMIF(78:78,C18,79:79)+100</f>
        <v>100</v>
      </c>
      <c r="G17" s="3089"/>
      <c r="H17" s="3139">
        <f>SUMIF(78:78,G18,79:79)-SUMIF(78:78,C18,79:79)+100</f>
        <v>100</v>
      </c>
      <c r="I17" s="3089"/>
      <c r="J17" s="3139">
        <f>SUMIF(78:78,I18,79:79)-SUMIF(78:78,C18,79:79)+100</f>
        <v>100</v>
      </c>
      <c r="K17" s="3049"/>
      <c r="L17" s="2074"/>
      <c r="M17" s="2069"/>
      <c r="N17" s="2069"/>
      <c r="O17" s="2069"/>
      <c r="P17" s="4490"/>
      <c r="Q17" s="1587" t="str">
        <f>B17</f>
        <v>交通便捷度</v>
      </c>
      <c r="R17" s="3518" t="s">
        <v>16</v>
      </c>
      <c r="S17" s="3519">
        <f>F17</f>
        <v>100</v>
      </c>
      <c r="T17" s="3518" t="s">
        <v>16</v>
      </c>
      <c r="U17" s="3519">
        <f>H17</f>
        <v>100</v>
      </c>
      <c r="V17" s="3518" t="s">
        <v>16</v>
      </c>
      <c r="W17" s="3519">
        <f>J17</f>
        <v>100</v>
      </c>
      <c r="X17" s="981"/>
      <c r="Y17" s="4483"/>
      <c r="Z17" s="979" t="str">
        <f>Q17</f>
        <v>交通便捷度</v>
      </c>
      <c r="AA17" s="979">
        <f t="shared" si="3"/>
        <v>1</v>
      </c>
      <c r="AB17" s="979">
        <f t="shared" si="4"/>
        <v>1</v>
      </c>
      <c r="AC17" s="979">
        <f t="shared" si="5"/>
        <v>1</v>
      </c>
    </row>
    <row r="18" spans="1:29" ht="15">
      <c r="A18" s="272"/>
      <c r="B18" s="3041"/>
      <c r="C18" s="3066"/>
      <c r="D18" s="3162"/>
      <c r="E18" s="3096"/>
      <c r="F18" s="3138"/>
      <c r="G18" s="3090"/>
      <c r="H18" s="3137"/>
      <c r="I18" s="3090"/>
      <c r="J18" s="3137"/>
      <c r="K18" s="3050"/>
      <c r="L18" s="2074"/>
      <c r="M18" s="2069"/>
      <c r="N18" s="2069"/>
      <c r="O18" s="2069"/>
      <c r="P18" s="4490"/>
      <c r="Q18" s="1587"/>
      <c r="R18" s="3518"/>
      <c r="S18" s="3519"/>
      <c r="T18" s="3518"/>
      <c r="U18" s="3519"/>
      <c r="V18" s="3518"/>
      <c r="W18" s="3519"/>
      <c r="X18" s="981"/>
      <c r="Y18" s="4483"/>
      <c r="Z18" s="979"/>
      <c r="AA18" s="979">
        <v>1</v>
      </c>
      <c r="AB18" s="979">
        <v>1</v>
      </c>
      <c r="AC18" s="979">
        <v>1</v>
      </c>
    </row>
    <row r="19" spans="1:29" ht="15">
      <c r="A19" s="272"/>
      <c r="B19" s="3040" t="s">
        <v>1242</v>
      </c>
      <c r="C19" s="3065">
        <f>估价对象房地状况!C7</f>
        <v>0</v>
      </c>
      <c r="D19" s="3163">
        <v>100</v>
      </c>
      <c r="E19" s="3097"/>
      <c r="F19" s="3139">
        <f>SUMIF(80:80,E20,81:81)-SUMIF(80:80,C20,81:81)+100</f>
        <v>100</v>
      </c>
      <c r="G19" s="3091"/>
      <c r="H19" s="3138">
        <f>SUMIF(80:80,G20,81:81)-SUMIF(80:80,C20,81:81)+100</f>
        <v>100</v>
      </c>
      <c r="I19" s="3091"/>
      <c r="J19" s="3138">
        <f>SUMIF(80:80,I20,81:81)-SUMIF(80:80,C20,81:81)+100</f>
        <v>100</v>
      </c>
      <c r="K19" s="3049"/>
      <c r="L19" s="2074"/>
      <c r="M19" s="2069"/>
      <c r="N19" s="2069"/>
      <c r="O19" s="2069"/>
      <c r="P19" s="4490"/>
      <c r="Q19" s="1587" t="str">
        <f>B19</f>
        <v>公共配套设施</v>
      </c>
      <c r="R19" s="3518" t="s">
        <v>16</v>
      </c>
      <c r="S19" s="3519">
        <f>F19</f>
        <v>100</v>
      </c>
      <c r="T19" s="3518" t="s">
        <v>16</v>
      </c>
      <c r="U19" s="3519">
        <f>H19</f>
        <v>100</v>
      </c>
      <c r="V19" s="3518" t="s">
        <v>16</v>
      </c>
      <c r="W19" s="3519">
        <f>J19</f>
        <v>100</v>
      </c>
      <c r="X19" s="981"/>
      <c r="Y19" s="4483"/>
      <c r="Z19" s="979" t="str">
        <f>Q19</f>
        <v>公共配套设施</v>
      </c>
      <c r="AA19" s="979">
        <f t="shared" si="3"/>
        <v>1</v>
      </c>
      <c r="AB19" s="979">
        <f t="shared" si="4"/>
        <v>1</v>
      </c>
      <c r="AC19" s="979">
        <f t="shared" si="5"/>
        <v>1</v>
      </c>
    </row>
    <row r="20" spans="1:29" ht="15">
      <c r="A20" s="272"/>
      <c r="B20" s="3041"/>
      <c r="C20" s="3064"/>
      <c r="D20" s="3161"/>
      <c r="E20" s="3098"/>
      <c r="F20" s="3137"/>
      <c r="G20" s="3092"/>
      <c r="H20" s="3137"/>
      <c r="I20" s="3092"/>
      <c r="J20" s="3137"/>
      <c r="K20" s="3050"/>
      <c r="L20" s="2074"/>
      <c r="M20" s="2069"/>
      <c r="N20" s="2069"/>
      <c r="O20" s="2069"/>
      <c r="P20" s="4490"/>
      <c r="Q20" s="1587"/>
      <c r="R20" s="3518"/>
      <c r="S20" s="3519"/>
      <c r="T20" s="3518"/>
      <c r="U20" s="3519"/>
      <c r="V20" s="3518"/>
      <c r="W20" s="3519"/>
      <c r="X20" s="981"/>
      <c r="Y20" s="4483"/>
      <c r="Z20" s="979"/>
      <c r="AA20" s="979">
        <v>1</v>
      </c>
      <c r="AB20" s="979">
        <v>1</v>
      </c>
      <c r="AC20" s="979">
        <v>1</v>
      </c>
    </row>
    <row r="21" spans="1:29" ht="15">
      <c r="A21" s="272"/>
      <c r="B21" s="3042" t="s">
        <v>1244</v>
      </c>
      <c r="C21" s="3065">
        <f>估价对象房地状况!C8</f>
        <v>0</v>
      </c>
      <c r="D21" s="3162">
        <v>100</v>
      </c>
      <c r="E21" s="3097"/>
      <c r="F21" s="3139">
        <f>SUMIF(82:82,E22,83:83)-SUMIF(82:82,C22,83:83)+100</f>
        <v>100</v>
      </c>
      <c r="G21" s="3091"/>
      <c r="H21" s="3138">
        <f>SUMIF(82:82,G22,83:83)-SUMIF(82:82,C22,83:83)+100</f>
        <v>100</v>
      </c>
      <c r="I21" s="3091"/>
      <c r="J21" s="3138">
        <f>SUMIF(82:82,I22,83:83)-SUMIF(82:82,C22,83:83)+100</f>
        <v>100</v>
      </c>
      <c r="K21" s="3049"/>
      <c r="L21" s="2074"/>
      <c r="M21" s="2069"/>
      <c r="N21" s="2069"/>
      <c r="O21" s="2069"/>
      <c r="P21" s="4490"/>
      <c r="Q21" s="1587" t="str">
        <f>B21</f>
        <v>基础设施水平</v>
      </c>
      <c r="R21" s="3518" t="s">
        <v>13</v>
      </c>
      <c r="S21" s="3519">
        <f>F21</f>
        <v>100</v>
      </c>
      <c r="T21" s="3518" t="s">
        <v>13</v>
      </c>
      <c r="U21" s="3519">
        <f>H21</f>
        <v>100</v>
      </c>
      <c r="V21" s="3518" t="s">
        <v>13</v>
      </c>
      <c r="W21" s="3519">
        <f>J21</f>
        <v>100</v>
      </c>
      <c r="X21" s="981"/>
      <c r="Y21" s="4483"/>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137"/>
      <c r="G22" s="3114"/>
      <c r="H22" s="3137"/>
      <c r="I22" s="3064"/>
      <c r="J22" s="3137"/>
      <c r="K22" s="3051"/>
      <c r="L22" s="2074"/>
      <c r="M22" s="2069"/>
      <c r="N22" s="2069"/>
      <c r="O22" s="2069"/>
      <c r="P22" s="4490"/>
      <c r="Q22" s="1587"/>
      <c r="R22" s="3518"/>
      <c r="S22" s="3519"/>
      <c r="T22" s="3518"/>
      <c r="U22" s="3519"/>
      <c r="V22" s="3518"/>
      <c r="W22" s="3519"/>
      <c r="X22" s="981"/>
      <c r="Y22" s="4483"/>
      <c r="Z22" s="979"/>
      <c r="AA22" s="979">
        <v>1</v>
      </c>
      <c r="AB22" s="979">
        <v>1</v>
      </c>
      <c r="AC22" s="979">
        <v>1</v>
      </c>
    </row>
    <row r="23" spans="1:29" ht="15">
      <c r="A23" s="272"/>
      <c r="B23" s="3040" t="s">
        <v>1245</v>
      </c>
      <c r="C23" s="3065">
        <f>估价对象房地状况!C9</f>
        <v>0</v>
      </c>
      <c r="D23" s="3162">
        <v>100</v>
      </c>
      <c r="E23" s="3095"/>
      <c r="F23" s="3138">
        <f>SUMIF(84:84,E24,85:85)-SUMIF(84:84,C24,85:85)+100</f>
        <v>100</v>
      </c>
      <c r="G23" s="3089"/>
      <c r="H23" s="3138">
        <f>SUMIF(84:84,G24,85:85)-SUMIF(84:84,C24,85:85)+100</f>
        <v>100</v>
      </c>
      <c r="I23" s="3089"/>
      <c r="J23" s="3138">
        <f>SUMIF(84:84,I24,85:85)-SUMIF(84:84,C24,85:85)+100</f>
        <v>100</v>
      </c>
      <c r="K23" s="3049"/>
      <c r="L23" s="2074"/>
      <c r="M23" s="2069"/>
      <c r="N23" s="2069"/>
      <c r="O23" s="2069"/>
      <c r="P23" s="4490"/>
      <c r="Q23" s="1587" t="str">
        <f>B23</f>
        <v>自然及人文环境</v>
      </c>
      <c r="R23" s="3518" t="s">
        <v>16</v>
      </c>
      <c r="S23" s="3519">
        <f>F23</f>
        <v>100</v>
      </c>
      <c r="T23" s="3518" t="s">
        <v>16</v>
      </c>
      <c r="U23" s="3519">
        <f>H23</f>
        <v>100</v>
      </c>
      <c r="V23" s="3518" t="s">
        <v>16</v>
      </c>
      <c r="W23" s="3519">
        <f>J23</f>
        <v>100</v>
      </c>
      <c r="X23" s="981"/>
      <c r="Y23" s="4483"/>
      <c r="Z23" s="979" t="str">
        <f>Q23</f>
        <v>自然及人文环境</v>
      </c>
      <c r="AA23" s="979">
        <f>D23/F23</f>
        <v>1</v>
      </c>
      <c r="AB23" s="979">
        <f>D23/H23</f>
        <v>1</v>
      </c>
      <c r="AC23" s="979">
        <f>D23/J23</f>
        <v>1</v>
      </c>
    </row>
    <row r="24" spans="1:29" ht="15">
      <c r="A24" s="272"/>
      <c r="B24" s="3041"/>
      <c r="C24" s="3064"/>
      <c r="D24" s="3161"/>
      <c r="E24" s="3098"/>
      <c r="F24" s="3137"/>
      <c r="G24" s="3092"/>
      <c r="H24" s="3137"/>
      <c r="I24" s="3092"/>
      <c r="J24" s="3137"/>
      <c r="K24" s="3050"/>
      <c r="L24" s="2074"/>
      <c r="M24" s="2069"/>
      <c r="N24" s="2069"/>
      <c r="O24" s="2069"/>
      <c r="P24" s="4490"/>
      <c r="Q24" s="1587"/>
      <c r="R24" s="3518"/>
      <c r="S24" s="3519"/>
      <c r="T24" s="3518"/>
      <c r="U24" s="3519"/>
      <c r="V24" s="3518"/>
      <c r="W24" s="3519"/>
      <c r="X24" s="981"/>
      <c r="Y24" s="4483"/>
      <c r="Z24" s="979"/>
      <c r="AA24" s="979">
        <v>1</v>
      </c>
      <c r="AB24" s="979">
        <v>1</v>
      </c>
      <c r="AC24" s="979">
        <v>1</v>
      </c>
    </row>
    <row r="25" spans="1:29" ht="15">
      <c r="A25" s="272"/>
      <c r="B25" s="3030" t="s">
        <v>1610</v>
      </c>
      <c r="C25" s="3067"/>
      <c r="D25" s="3158">
        <v>100</v>
      </c>
      <c r="E25" s="3070"/>
      <c r="F25" s="3134">
        <f>SUMIF(86:86,E25,87:87)-SUMIF(86:86,C25,87:87)+100</f>
        <v>100</v>
      </c>
      <c r="G25" s="3112"/>
      <c r="H25" s="3134">
        <f>SUMIF(86:86,G25,87:87)-SUMIF(86:86,C25,87:87)+100</f>
        <v>100</v>
      </c>
      <c r="I25" s="3112"/>
      <c r="J25" s="3134">
        <f>SUMIF(86:86,I25,87:87)-SUMIF(86:86,C25,87:87)+100</f>
        <v>100</v>
      </c>
      <c r="K25" s="3047"/>
      <c r="L25" s="2074"/>
      <c r="M25" s="2069"/>
      <c r="N25" s="2069"/>
      <c r="O25" s="2069"/>
      <c r="P25" s="4490"/>
      <c r="Q25" s="1587" t="str">
        <f t="shared" ref="Q25:Q46" si="11">B25</f>
        <v>楼层-1</v>
      </c>
      <c r="R25" s="3518" t="s">
        <v>16</v>
      </c>
      <c r="S25" s="3519">
        <f t="shared" ref="S25:S46" si="12">F25</f>
        <v>100</v>
      </c>
      <c r="T25" s="3518" t="s">
        <v>16</v>
      </c>
      <c r="U25" s="3519">
        <f t="shared" ref="U25:U46" si="13">H25</f>
        <v>100</v>
      </c>
      <c r="V25" s="3518" t="s">
        <v>16</v>
      </c>
      <c r="W25" s="3519">
        <f t="shared" ref="W25:W46" si="14">J25</f>
        <v>100</v>
      </c>
      <c r="X25" s="981"/>
      <c r="Y25" s="4483"/>
      <c r="Z25" s="979" t="str">
        <f>Q25</f>
        <v>楼层-1</v>
      </c>
      <c r="AA25" s="979">
        <f t="shared" ref="AA25:AA46" si="15">D25/F25</f>
        <v>1</v>
      </c>
      <c r="AB25" s="979">
        <f t="shared" ref="AB25:AB46" si="16">D25/H25</f>
        <v>1</v>
      </c>
      <c r="AC25" s="979">
        <f t="shared" ref="AC25:AC46" si="17">D25/J25</f>
        <v>1</v>
      </c>
    </row>
    <row r="26" spans="1:29" ht="15">
      <c r="A26" s="272"/>
      <c r="B26" s="3030" t="s">
        <v>1611</v>
      </c>
      <c r="C26" s="3067"/>
      <c r="D26" s="3158">
        <v>100</v>
      </c>
      <c r="E26" s="3070"/>
      <c r="F26" s="3134">
        <f>SUMIF(88:88,E26,89:89)-SUMIF(88:88,C26,89:89)+100</f>
        <v>100</v>
      </c>
      <c r="G26" s="3112"/>
      <c r="H26" s="3134">
        <f>SUMIF(88:88,G26,89:89)-SUMIF(88:88,C26,89:89)+100</f>
        <v>100</v>
      </c>
      <c r="I26" s="3112"/>
      <c r="J26" s="3134">
        <f>SUMIF(88:88,I26,89:89)-SUMIF(88:88,C26,89:89)+100</f>
        <v>100</v>
      </c>
      <c r="K26" s="3047"/>
      <c r="L26" s="2074"/>
      <c r="M26" s="2069"/>
      <c r="N26" s="2069"/>
      <c r="O26" s="2069"/>
      <c r="P26" s="4490"/>
      <c r="Q26" s="1587" t="str">
        <f t="shared" si="11"/>
        <v>朝向</v>
      </c>
      <c r="R26" s="3518" t="s">
        <v>16</v>
      </c>
      <c r="S26" s="3519">
        <f t="shared" si="12"/>
        <v>100</v>
      </c>
      <c r="T26" s="3518" t="s">
        <v>16</v>
      </c>
      <c r="U26" s="3519">
        <f t="shared" si="13"/>
        <v>100</v>
      </c>
      <c r="V26" s="3518" t="s">
        <v>16</v>
      </c>
      <c r="W26" s="3519">
        <f t="shared" si="14"/>
        <v>100</v>
      </c>
      <c r="X26" s="981"/>
      <c r="Y26" s="4483"/>
      <c r="Z26" s="979" t="str">
        <f>Q26</f>
        <v>朝向</v>
      </c>
      <c r="AA26" s="979">
        <f t="shared" si="15"/>
        <v>1</v>
      </c>
      <c r="AB26" s="979">
        <f t="shared" si="16"/>
        <v>1</v>
      </c>
      <c r="AC26" s="979">
        <f t="shared" si="17"/>
        <v>1</v>
      </c>
    </row>
    <row r="27" spans="1:29" s="61" customFormat="1" ht="15">
      <c r="A27" s="275"/>
      <c r="B27" s="3043">
        <v>111</v>
      </c>
      <c r="C27" s="3060"/>
      <c r="D27" s="3164">
        <v>100</v>
      </c>
      <c r="E27" s="3109"/>
      <c r="F27" s="3140">
        <f>SUMIF(90:90,E27,91:91)-SUMIF(90:90,C27,91:91)+100</f>
        <v>100</v>
      </c>
      <c r="G27" s="3115"/>
      <c r="H27" s="3140">
        <f>SUMIF(90:90,G27,91:91)-SUMIF(90:90,C27,91:91)+100</f>
        <v>100</v>
      </c>
      <c r="I27" s="3115"/>
      <c r="J27" s="3140">
        <f>SUMIF(90:90,I27,91:91)-SUMIF(90:90,C27,91:91)+100</f>
        <v>100</v>
      </c>
      <c r="K27" s="3048"/>
      <c r="L27" s="2070"/>
      <c r="M27" s="2021"/>
      <c r="N27" s="2021"/>
      <c r="O27" s="2021"/>
      <c r="P27" s="4490"/>
      <c r="Q27" s="1787">
        <f t="shared" si="11"/>
        <v>111</v>
      </c>
      <c r="R27" s="3516" t="s">
        <v>16</v>
      </c>
      <c r="S27" s="3517">
        <f t="shared" si="12"/>
        <v>100</v>
      </c>
      <c r="T27" s="3516" t="s">
        <v>16</v>
      </c>
      <c r="U27" s="3517">
        <f t="shared" si="13"/>
        <v>100</v>
      </c>
      <c r="V27" s="3516" t="s">
        <v>16</v>
      </c>
      <c r="W27" s="3517">
        <f t="shared" si="14"/>
        <v>100</v>
      </c>
      <c r="X27" s="512"/>
      <c r="Y27" s="4483"/>
      <c r="Z27" s="41">
        <f>Q27</f>
        <v>111</v>
      </c>
      <c r="AA27" s="979">
        <f t="shared" si="15"/>
        <v>1</v>
      </c>
      <c r="AB27" s="979">
        <f t="shared" si="16"/>
        <v>1</v>
      </c>
      <c r="AC27" s="979">
        <f t="shared" si="17"/>
        <v>1</v>
      </c>
    </row>
    <row r="28" spans="1:29" ht="15">
      <c r="A28" s="272"/>
      <c r="B28" s="3043">
        <v>111</v>
      </c>
      <c r="C28" s="3061"/>
      <c r="D28" s="3158">
        <v>100</v>
      </c>
      <c r="E28" s="3061"/>
      <c r="F28" s="3134">
        <f>SUMIF(92:92,E28,93:93)-SUMIF(92:92,C28,93:93)+100</f>
        <v>100</v>
      </c>
      <c r="G28" s="3116"/>
      <c r="H28" s="3134">
        <f>SUMIF(92:92,G28,93:93)-SUMIF(92:92,C28,93:93)+100</f>
        <v>100</v>
      </c>
      <c r="I28" s="3061"/>
      <c r="J28" s="3134">
        <f>SUMIF(92:92,I28,93:93)-SUMIF(92:92,C28,93:93)+100</f>
        <v>100</v>
      </c>
      <c r="K28" s="3048"/>
      <c r="L28" s="2074"/>
      <c r="M28" s="2069"/>
      <c r="N28" s="2069"/>
      <c r="O28" s="2069"/>
      <c r="P28" s="4490"/>
      <c r="Q28" s="1587">
        <f t="shared" si="11"/>
        <v>111</v>
      </c>
      <c r="R28" s="3518" t="s">
        <v>16</v>
      </c>
      <c r="S28" s="3519">
        <f t="shared" si="12"/>
        <v>100</v>
      </c>
      <c r="T28" s="3518" t="s">
        <v>16</v>
      </c>
      <c r="U28" s="3519">
        <f t="shared" si="13"/>
        <v>100</v>
      </c>
      <c r="V28" s="3518" t="s">
        <v>16</v>
      </c>
      <c r="W28" s="3519">
        <f t="shared" si="14"/>
        <v>100</v>
      </c>
      <c r="X28" s="981"/>
      <c r="Y28" s="4483"/>
      <c r="Z28" s="979">
        <f t="shared" ref="Z28:Z46" si="18">Q28</f>
        <v>111</v>
      </c>
      <c r="AA28" s="979">
        <f t="shared" si="15"/>
        <v>1</v>
      </c>
      <c r="AB28" s="979">
        <f t="shared" si="16"/>
        <v>1</v>
      </c>
      <c r="AC28" s="979">
        <f t="shared" si="17"/>
        <v>1</v>
      </c>
    </row>
    <row r="29" spans="1:29" ht="15">
      <c r="A29" s="272"/>
      <c r="B29" s="3043">
        <v>111</v>
      </c>
      <c r="C29" s="3061"/>
      <c r="D29" s="3158">
        <v>100</v>
      </c>
      <c r="E29" s="3061"/>
      <c r="F29" s="3134">
        <f>SUMIF(94:94,E29,95:95)-SUMIF(94:94,C29,95:95)+100</f>
        <v>100</v>
      </c>
      <c r="G29" s="3116"/>
      <c r="H29" s="3134">
        <f>SUMIF(94:94,G29,95:95)-SUMIF(94:94,C29,95:95)+100</f>
        <v>100</v>
      </c>
      <c r="I29" s="3061"/>
      <c r="J29" s="3134">
        <f>SUMIF(94:94,I29,95:95)-SUMIF(94:94,C29,95:95)+100</f>
        <v>100</v>
      </c>
      <c r="K29" s="3048"/>
      <c r="L29" s="2074"/>
      <c r="M29" s="2069"/>
      <c r="N29" s="2069"/>
      <c r="O29" s="2069"/>
      <c r="P29" s="4490"/>
      <c r="Q29" s="1587">
        <f t="shared" si="11"/>
        <v>111</v>
      </c>
      <c r="R29" s="3518" t="s">
        <v>16</v>
      </c>
      <c r="S29" s="3519">
        <f t="shared" si="12"/>
        <v>100</v>
      </c>
      <c r="T29" s="3518" t="s">
        <v>16</v>
      </c>
      <c r="U29" s="3519">
        <f t="shared" si="13"/>
        <v>100</v>
      </c>
      <c r="V29" s="3518" t="s">
        <v>16</v>
      </c>
      <c r="W29" s="3519">
        <f t="shared" si="14"/>
        <v>100</v>
      </c>
      <c r="X29" s="981"/>
      <c r="Y29" s="4483"/>
      <c r="Z29" s="979">
        <f t="shared" si="18"/>
        <v>111</v>
      </c>
      <c r="AA29" s="979">
        <f t="shared" si="15"/>
        <v>1</v>
      </c>
      <c r="AB29" s="979">
        <f t="shared" si="16"/>
        <v>1</v>
      </c>
      <c r="AC29" s="979">
        <f t="shared" si="17"/>
        <v>1</v>
      </c>
    </row>
    <row r="30" spans="1:29" ht="15">
      <c r="A30" s="272"/>
      <c r="B30" s="3043">
        <v>111</v>
      </c>
      <c r="C30" s="3061"/>
      <c r="D30" s="3158">
        <v>100</v>
      </c>
      <c r="E30" s="3061"/>
      <c r="F30" s="3134">
        <f>SUMIF(96:96,E30,97:97)-SUMIF(96:96,C30,97:97)+100</f>
        <v>100</v>
      </c>
      <c r="G30" s="3116"/>
      <c r="H30" s="3134">
        <f>SUMIF(96:96,G30,97:97)-SUMIF(96:96,C30,97:97)+100</f>
        <v>100</v>
      </c>
      <c r="I30" s="3061"/>
      <c r="J30" s="3134">
        <f>SUMIF(96:96,I30,97:97)-SUMIF(96:96,C30,97:97)+100</f>
        <v>100</v>
      </c>
      <c r="K30" s="3048"/>
      <c r="L30" s="2074"/>
      <c r="M30" s="2069"/>
      <c r="N30" s="2069"/>
      <c r="O30" s="2069"/>
      <c r="P30" s="4490"/>
      <c r="Q30" s="1587">
        <f t="shared" si="11"/>
        <v>111</v>
      </c>
      <c r="R30" s="3518" t="s">
        <v>16</v>
      </c>
      <c r="S30" s="3519">
        <f t="shared" si="12"/>
        <v>100</v>
      </c>
      <c r="T30" s="3518" t="s">
        <v>16</v>
      </c>
      <c r="U30" s="3519">
        <f t="shared" si="13"/>
        <v>100</v>
      </c>
      <c r="V30" s="3518" t="s">
        <v>16</v>
      </c>
      <c r="W30" s="3519">
        <f t="shared" si="14"/>
        <v>100</v>
      </c>
      <c r="X30" s="981"/>
      <c r="Y30" s="4483"/>
      <c r="Z30" s="979">
        <f t="shared" si="18"/>
        <v>111</v>
      </c>
      <c r="AA30" s="979">
        <f t="shared" si="15"/>
        <v>1</v>
      </c>
      <c r="AB30" s="979">
        <f t="shared" si="16"/>
        <v>1</v>
      </c>
      <c r="AC30" s="979">
        <f t="shared" si="17"/>
        <v>1</v>
      </c>
    </row>
    <row r="31" spans="1:29" ht="15.75" thickBot="1">
      <c r="A31" s="278"/>
      <c r="B31" s="3043">
        <v>111</v>
      </c>
      <c r="C31" s="3062"/>
      <c r="D31" s="3159">
        <v>100</v>
      </c>
      <c r="E31" s="3062"/>
      <c r="F31" s="3135">
        <f>SUMIF(98:98,E31,99:99)-SUMIF(98:98,C31,99:99)+100</f>
        <v>100</v>
      </c>
      <c r="G31" s="3117"/>
      <c r="H31" s="3135">
        <f>SUMIF(98:98,G31,99:99)-SUMIF(98:98,C31,99:99)+100</f>
        <v>100</v>
      </c>
      <c r="I31" s="3062"/>
      <c r="J31" s="3135">
        <f>SUMIF(98:98,I31,99:99)-SUMIF(98:98,C31,99:99)+100</f>
        <v>100</v>
      </c>
      <c r="K31" s="3048"/>
      <c r="L31" s="2074"/>
      <c r="M31" s="2069"/>
      <c r="N31" s="2069"/>
      <c r="O31" s="2069"/>
      <c r="P31" s="4490"/>
      <c r="Q31" s="1587">
        <f t="shared" si="11"/>
        <v>111</v>
      </c>
      <c r="R31" s="3518" t="s">
        <v>16</v>
      </c>
      <c r="S31" s="3519">
        <f t="shared" si="12"/>
        <v>100</v>
      </c>
      <c r="T31" s="3518" t="s">
        <v>16</v>
      </c>
      <c r="U31" s="3519">
        <f t="shared" si="13"/>
        <v>100</v>
      </c>
      <c r="V31" s="3518" t="s">
        <v>16</v>
      </c>
      <c r="W31" s="3519">
        <f t="shared" si="14"/>
        <v>100</v>
      </c>
      <c r="X31" s="981"/>
      <c r="Y31" s="4483"/>
      <c r="Z31" s="979">
        <f t="shared" si="18"/>
        <v>111</v>
      </c>
      <c r="AA31" s="979">
        <f t="shared" si="15"/>
        <v>1</v>
      </c>
      <c r="AB31" s="979">
        <f t="shared" si="16"/>
        <v>1</v>
      </c>
      <c r="AC31" s="979">
        <f t="shared" si="17"/>
        <v>1</v>
      </c>
    </row>
    <row r="32" spans="1:29" ht="15">
      <c r="A32" s="280" t="s">
        <v>1612</v>
      </c>
      <c r="B32" s="3035" t="s">
        <v>1613</v>
      </c>
      <c r="C32" s="3068"/>
      <c r="D32" s="3165">
        <v>100</v>
      </c>
      <c r="E32" s="3110"/>
      <c r="F32" s="3146">
        <f>SUMIF(100:100,E32,101:101)-SUMIF(100:100,C32,101:101)+100</f>
        <v>100</v>
      </c>
      <c r="G32" s="3068"/>
      <c r="H32" s="3141">
        <f>SUMIF(100:100,G32,101:101)-SUMIF(100:100,C32,101:101)+100</f>
        <v>100</v>
      </c>
      <c r="I32" s="3110"/>
      <c r="J32" s="3134">
        <f>SUMIF(100:100,I32,101:101)-SUMIF(100:100,C32,101:101)+100</f>
        <v>100</v>
      </c>
      <c r="K32" s="3047"/>
      <c r="L32" s="2074"/>
      <c r="M32" s="2069"/>
      <c r="N32" s="2069"/>
      <c r="O32" s="2069"/>
      <c r="P32" s="4484" t="s">
        <v>1614</v>
      </c>
      <c r="Q32" s="1587" t="str">
        <f t="shared" si="11"/>
        <v>建筑类型</v>
      </c>
      <c r="R32" s="3518" t="s">
        <v>16</v>
      </c>
      <c r="S32" s="3519">
        <f t="shared" si="12"/>
        <v>100</v>
      </c>
      <c r="T32" s="3518" t="s">
        <v>16</v>
      </c>
      <c r="U32" s="3519">
        <f t="shared" si="13"/>
        <v>100</v>
      </c>
      <c r="V32" s="3518" t="s">
        <v>16</v>
      </c>
      <c r="W32" s="3519">
        <f t="shared" si="14"/>
        <v>100</v>
      </c>
      <c r="X32" s="981"/>
      <c r="Y32" s="4487" t="s">
        <v>1614</v>
      </c>
      <c r="Z32" s="979" t="str">
        <f t="shared" si="18"/>
        <v>建筑类型</v>
      </c>
      <c r="AA32" s="979">
        <f t="shared" si="15"/>
        <v>1</v>
      </c>
      <c r="AB32" s="979">
        <f t="shared" si="16"/>
        <v>1</v>
      </c>
      <c r="AC32" s="979">
        <f t="shared" si="17"/>
        <v>1</v>
      </c>
    </row>
    <row r="33" spans="1:29" s="297" customFormat="1" ht="15">
      <c r="A33" s="295"/>
      <c r="B33" s="3030" t="s">
        <v>1615</v>
      </c>
      <c r="C33" s="3147"/>
      <c r="D33" s="3156">
        <v>100</v>
      </c>
      <c r="E33" s="3086"/>
      <c r="F33" s="3144" t="e">
        <f>LOOKUP(E33,103:103,104:104)-LOOKUP(C33,103:103,104:104)+100</f>
        <v>#N/A</v>
      </c>
      <c r="G33" s="3058"/>
      <c r="H33" s="3133" t="e">
        <f>LOOKUP(G33,103:103,104:104)-LOOKUP(C33,103:103,104:104)+100</f>
        <v>#N/A</v>
      </c>
      <c r="I33" s="3086"/>
      <c r="J33" s="3133" t="e">
        <f>LOOKUP(I33,103:103,104:104)-LOOKUP(C33,103:103,104:104)+100</f>
        <v>#N/A</v>
      </c>
      <c r="K33" s="3048"/>
      <c r="L33" s="2073"/>
      <c r="M33" s="2075"/>
      <c r="N33" s="2075"/>
      <c r="O33" s="2075"/>
      <c r="P33" s="4485"/>
      <c r="Q33" s="409" t="str">
        <f t="shared" si="11"/>
        <v>项目建筑规模</v>
      </c>
      <c r="R33" s="3520" t="s">
        <v>16</v>
      </c>
      <c r="S33" s="3521" t="e">
        <f t="shared" si="12"/>
        <v>#N/A</v>
      </c>
      <c r="T33" s="3520" t="s">
        <v>16</v>
      </c>
      <c r="U33" s="3521" t="e">
        <f t="shared" si="13"/>
        <v>#N/A</v>
      </c>
      <c r="V33" s="3520" t="s">
        <v>16</v>
      </c>
      <c r="W33" s="3521" t="e">
        <f t="shared" si="14"/>
        <v>#N/A</v>
      </c>
      <c r="X33" s="517"/>
      <c r="Y33" s="4487"/>
      <c r="Z33" s="518" t="str">
        <f t="shared" si="18"/>
        <v>项目建筑规模</v>
      </c>
      <c r="AA33" s="979" t="e">
        <f t="shared" si="15"/>
        <v>#N/A</v>
      </c>
      <c r="AB33" s="979" t="e">
        <f t="shared" si="16"/>
        <v>#N/A</v>
      </c>
      <c r="AC33" s="979" t="e">
        <f t="shared" si="17"/>
        <v>#N/A</v>
      </c>
    </row>
    <row r="34" spans="1:29" ht="15">
      <c r="A34" s="298"/>
      <c r="B34" s="3030" t="s">
        <v>1616</v>
      </c>
      <c r="C34" s="3067"/>
      <c r="D34" s="3158">
        <v>100</v>
      </c>
      <c r="E34" s="3111"/>
      <c r="F34" s="3146">
        <f>SUMIF(105:105,E34,106:106)-SUMIF(105:105,C34,106:106)+100</f>
        <v>100</v>
      </c>
      <c r="G34" s="3067"/>
      <c r="H34" s="3134">
        <f>SUMIF(105:105,G34,106:106)-SUMIF(105:105,C34,106:106)+100</f>
        <v>100</v>
      </c>
      <c r="I34" s="3111"/>
      <c r="J34" s="3134">
        <f>SUMIF(105:105,I34,106:106)-SUMIF(105:105,C34,106:106)+100</f>
        <v>100</v>
      </c>
      <c r="K34" s="3047"/>
      <c r="L34" s="2074"/>
      <c r="M34" s="2069"/>
      <c r="N34" s="2069"/>
      <c r="O34" s="2069"/>
      <c r="P34" s="4485"/>
      <c r="Q34" s="1587" t="str">
        <f t="shared" si="11"/>
        <v>建筑结构</v>
      </c>
      <c r="R34" s="3518" t="s">
        <v>16</v>
      </c>
      <c r="S34" s="3519">
        <f t="shared" si="12"/>
        <v>100</v>
      </c>
      <c r="T34" s="3518" t="s">
        <v>16</v>
      </c>
      <c r="U34" s="3519">
        <f t="shared" si="13"/>
        <v>100</v>
      </c>
      <c r="V34" s="3518" t="s">
        <v>16</v>
      </c>
      <c r="W34" s="3519">
        <f t="shared" si="14"/>
        <v>100</v>
      </c>
      <c r="X34" s="981"/>
      <c r="Y34" s="4487"/>
      <c r="Z34" s="979" t="str">
        <f t="shared" si="18"/>
        <v>建筑结构</v>
      </c>
      <c r="AA34" s="979">
        <f t="shared" si="15"/>
        <v>1</v>
      </c>
      <c r="AB34" s="979">
        <f t="shared" si="16"/>
        <v>1</v>
      </c>
      <c r="AC34" s="979">
        <f t="shared" si="17"/>
        <v>1</v>
      </c>
    </row>
    <row r="35" spans="1:29" ht="15">
      <c r="A35" s="298"/>
      <c r="B35" s="3030" t="s">
        <v>1617</v>
      </c>
      <c r="C35" s="3070"/>
      <c r="D35" s="3158">
        <v>100</v>
      </c>
      <c r="E35" s="3112"/>
      <c r="F35" s="3146">
        <f>SUMIF(107:107,E35,108:108)-SUMIF(107:107,C35,108:108)+100</f>
        <v>100</v>
      </c>
      <c r="G35" s="3070"/>
      <c r="H35" s="3134">
        <f>SUMIF(107:107,G35,108:108)-SUMIF(107:107,C35,108:108)+100</f>
        <v>100</v>
      </c>
      <c r="I35" s="3112"/>
      <c r="J35" s="3134">
        <f>SUMIF(107:107,I35,108:108)-SUMIF(107:107,C35,108:108)+100</f>
        <v>100</v>
      </c>
      <c r="K35" s="3047"/>
      <c r="L35" s="2074"/>
      <c r="M35" s="2069"/>
      <c r="N35" s="2069"/>
      <c r="O35" s="2069"/>
      <c r="P35" s="4485"/>
      <c r="Q35" s="1587" t="str">
        <f t="shared" si="11"/>
        <v>建筑品质</v>
      </c>
      <c r="R35" s="3518" t="s">
        <v>16</v>
      </c>
      <c r="S35" s="3519">
        <f t="shared" si="12"/>
        <v>100</v>
      </c>
      <c r="T35" s="3518" t="s">
        <v>16</v>
      </c>
      <c r="U35" s="3519">
        <f t="shared" si="13"/>
        <v>100</v>
      </c>
      <c r="V35" s="3518" t="s">
        <v>16</v>
      </c>
      <c r="W35" s="3519">
        <f t="shared" si="14"/>
        <v>100</v>
      </c>
      <c r="X35" s="981"/>
      <c r="Y35" s="4487"/>
      <c r="Z35" s="979" t="str">
        <f t="shared" si="18"/>
        <v>建筑品质</v>
      </c>
      <c r="AA35" s="979">
        <f t="shared" si="15"/>
        <v>1</v>
      </c>
      <c r="AB35" s="979">
        <f t="shared" si="16"/>
        <v>1</v>
      </c>
      <c r="AC35" s="979">
        <f t="shared" si="17"/>
        <v>1</v>
      </c>
    </row>
    <row r="36" spans="1:29" ht="15">
      <c r="A36" s="298"/>
      <c r="B36" s="3030" t="s">
        <v>1618</v>
      </c>
      <c r="C36" s="3070"/>
      <c r="D36" s="3158">
        <v>100</v>
      </c>
      <c r="E36" s="3112"/>
      <c r="F36" s="3146">
        <f>SUMIF(109:109,E36,110:110)-SUMIF(109:109,C36,110:110)+100</f>
        <v>100</v>
      </c>
      <c r="G36" s="3070"/>
      <c r="H36" s="3134">
        <f>SUMIF(109:109,G36,110:110)-SUMIF(109:109,C36,110:110)+100</f>
        <v>100</v>
      </c>
      <c r="I36" s="3112"/>
      <c r="J36" s="3134">
        <f>SUMIF(109:109,I36,110:110)-SUMIF(109:109,C36,110:110)+100</f>
        <v>100</v>
      </c>
      <c r="K36" s="3047"/>
      <c r="L36" s="2074"/>
      <c r="M36" s="2069"/>
      <c r="N36" s="2069"/>
      <c r="O36" s="2069"/>
      <c r="P36" s="4485"/>
      <c r="Q36" s="1587" t="str">
        <f t="shared" si="11"/>
        <v>公共部分装修</v>
      </c>
      <c r="R36" s="3518" t="s">
        <v>16</v>
      </c>
      <c r="S36" s="3519">
        <f t="shared" si="12"/>
        <v>100</v>
      </c>
      <c r="T36" s="3518" t="s">
        <v>16</v>
      </c>
      <c r="U36" s="3519">
        <f t="shared" si="13"/>
        <v>100</v>
      </c>
      <c r="V36" s="3518" t="s">
        <v>16</v>
      </c>
      <c r="W36" s="3519">
        <f t="shared" si="14"/>
        <v>100</v>
      </c>
      <c r="X36" s="981"/>
      <c r="Y36" s="4487"/>
      <c r="Z36" s="979" t="str">
        <f t="shared" si="18"/>
        <v>公共部分装修</v>
      </c>
      <c r="AA36" s="979">
        <f t="shared" si="15"/>
        <v>1</v>
      </c>
      <c r="AB36" s="979">
        <f t="shared" si="16"/>
        <v>1</v>
      </c>
      <c r="AC36" s="979">
        <f t="shared" si="17"/>
        <v>1</v>
      </c>
    </row>
    <row r="37" spans="1:29" s="61" customFormat="1" ht="15">
      <c r="A37" s="299"/>
      <c r="B37" s="3030" t="s">
        <v>1619</v>
      </c>
      <c r="C37" s="3071"/>
      <c r="D37" s="3156">
        <v>100</v>
      </c>
      <c r="E37" s="3071"/>
      <c r="F37" s="3144" t="e">
        <f>LOOKUP(E37,112:112,113:113)-LOOKUP(C37,112:112,113:113)+100</f>
        <v>#N/A</v>
      </c>
      <c r="G37" s="3118"/>
      <c r="H37" s="3133" t="e">
        <f>LOOKUP(G37,112:112,113:113)-LOOKUP(C37,112:112,113:113)+100</f>
        <v>#N/A</v>
      </c>
      <c r="I37" s="3119"/>
      <c r="J37" s="3133" t="e">
        <f>LOOKUP(I37,112:112,113:113)-LOOKUP(C37,112:112,113:113)+100</f>
        <v>#N/A</v>
      </c>
      <c r="K37" s="3047"/>
      <c r="L37" s="2070"/>
      <c r="M37" s="2021"/>
      <c r="N37" s="2021"/>
      <c r="O37" s="2021"/>
      <c r="P37" s="4485"/>
      <c r="Q37" s="1787" t="str">
        <f t="shared" si="11"/>
        <v>成新度</v>
      </c>
      <c r="R37" s="3516" t="s">
        <v>16</v>
      </c>
      <c r="S37" s="3517" t="e">
        <f t="shared" si="12"/>
        <v>#N/A</v>
      </c>
      <c r="T37" s="3516" t="s">
        <v>16</v>
      </c>
      <c r="U37" s="3517" t="e">
        <f t="shared" si="13"/>
        <v>#N/A</v>
      </c>
      <c r="V37" s="3516" t="s">
        <v>16</v>
      </c>
      <c r="W37" s="3517" t="e">
        <f t="shared" si="14"/>
        <v>#N/A</v>
      </c>
      <c r="X37" s="512"/>
      <c r="Y37" s="4487"/>
      <c r="Z37" s="41" t="str">
        <f t="shared" si="18"/>
        <v>成新度</v>
      </c>
      <c r="AA37" s="41" t="e">
        <f t="shared" si="15"/>
        <v>#N/A</v>
      </c>
      <c r="AB37" s="41" t="e">
        <f t="shared" si="16"/>
        <v>#N/A</v>
      </c>
      <c r="AC37" s="41" t="e">
        <f t="shared" si="17"/>
        <v>#N/A</v>
      </c>
    </row>
    <row r="38" spans="1:29" ht="15">
      <c r="A38" s="298"/>
      <c r="B38" s="3030" t="s">
        <v>1620</v>
      </c>
      <c r="C38" s="3070"/>
      <c r="D38" s="3158">
        <v>100</v>
      </c>
      <c r="E38" s="3112"/>
      <c r="F38" s="3146">
        <f>SUMIF(114:114,E38,115:115)-SUMIF(114:114,C38,115:115)+100</f>
        <v>100</v>
      </c>
      <c r="G38" s="3070"/>
      <c r="H38" s="3134">
        <f>SUMIF(114:114,G38,115:115)-SUMIF(114:114,C38,115:115)+100</f>
        <v>100</v>
      </c>
      <c r="I38" s="3112"/>
      <c r="J38" s="3134">
        <f>SUMIF(114:114,I38,115:115)-SUMIF(114:114,C38,115:115)+100</f>
        <v>100</v>
      </c>
      <c r="K38" s="3047"/>
      <c r="L38" s="2074"/>
      <c r="M38" s="2069"/>
      <c r="N38" s="2069"/>
      <c r="O38" s="2069"/>
      <c r="P38" s="4485" t="s">
        <v>1614</v>
      </c>
      <c r="Q38" s="1587" t="str">
        <f t="shared" si="11"/>
        <v>物业管理</v>
      </c>
      <c r="R38" s="3518" t="s">
        <v>16</v>
      </c>
      <c r="S38" s="3519">
        <f t="shared" si="12"/>
        <v>100</v>
      </c>
      <c r="T38" s="3518" t="s">
        <v>16</v>
      </c>
      <c r="U38" s="3519">
        <f t="shared" si="13"/>
        <v>100</v>
      </c>
      <c r="V38" s="3518" t="s">
        <v>16</v>
      </c>
      <c r="W38" s="3519">
        <f t="shared" si="14"/>
        <v>100</v>
      </c>
      <c r="X38" s="981"/>
      <c r="Y38" s="4487" t="s">
        <v>1614</v>
      </c>
      <c r="Z38" s="979" t="str">
        <f t="shared" si="18"/>
        <v>物业管理</v>
      </c>
      <c r="AA38" s="979">
        <f t="shared" si="15"/>
        <v>1</v>
      </c>
      <c r="AB38" s="979">
        <f t="shared" si="16"/>
        <v>1</v>
      </c>
      <c r="AC38" s="979">
        <f t="shared" si="17"/>
        <v>1</v>
      </c>
    </row>
    <row r="39" spans="1:29" ht="15">
      <c r="A39" s="298"/>
      <c r="B39" s="3030" t="s">
        <v>1621</v>
      </c>
      <c r="C39" s="3070"/>
      <c r="D39" s="3158">
        <v>100</v>
      </c>
      <c r="E39" s="3112"/>
      <c r="F39" s="3146">
        <f>SUMIF(116:116,E39,117:117)-SUMIF(116:116,C39,117:117)+100</f>
        <v>100</v>
      </c>
      <c r="G39" s="3070"/>
      <c r="H39" s="3134">
        <f>SUMIF(116:116,G39,117:117)-SUMIF(116:116,C39,117:117)+100</f>
        <v>100</v>
      </c>
      <c r="I39" s="3112"/>
      <c r="J39" s="3134">
        <f>SUMIF(116:116,I39,117:117)-SUMIF(116:116,C39,117:117)+100</f>
        <v>100</v>
      </c>
      <c r="K39" s="3047"/>
      <c r="L39" s="2074"/>
      <c r="M39" s="2069"/>
      <c r="N39" s="2069"/>
      <c r="O39" s="2069"/>
      <c r="P39" s="4485"/>
      <c r="Q39" s="1587" t="str">
        <f t="shared" si="11"/>
        <v>市政基础设施</v>
      </c>
      <c r="R39" s="3518" t="s">
        <v>16</v>
      </c>
      <c r="S39" s="3519">
        <f t="shared" si="12"/>
        <v>100</v>
      </c>
      <c r="T39" s="3518" t="s">
        <v>16</v>
      </c>
      <c r="U39" s="3519">
        <f t="shared" si="13"/>
        <v>100</v>
      </c>
      <c r="V39" s="3518" t="s">
        <v>16</v>
      </c>
      <c r="W39" s="3519">
        <f t="shared" si="14"/>
        <v>100</v>
      </c>
      <c r="X39" s="981"/>
      <c r="Y39" s="4487"/>
      <c r="Z39" s="979" t="str">
        <f t="shared" si="18"/>
        <v>市政基础设施</v>
      </c>
      <c r="AA39" s="979">
        <f t="shared" si="15"/>
        <v>1</v>
      </c>
      <c r="AB39" s="979">
        <f t="shared" si="16"/>
        <v>1</v>
      </c>
      <c r="AC39" s="979">
        <f t="shared" si="17"/>
        <v>1</v>
      </c>
    </row>
    <row r="40" spans="1:29" ht="15">
      <c r="A40" s="298"/>
      <c r="B40" s="3030" t="s">
        <v>1622</v>
      </c>
      <c r="C40" s="3070"/>
      <c r="D40" s="3158">
        <v>100</v>
      </c>
      <c r="E40" s="3112"/>
      <c r="F40" s="3146">
        <f>SUMIF(118:118,E40,119:119)-SUMIF(118:118,C40,119:119)+100</f>
        <v>100</v>
      </c>
      <c r="G40" s="3070"/>
      <c r="H40" s="3134">
        <f>SUMIF(118:118,G40,119:119)-SUMIF(118:118,C40,119:119)+100</f>
        <v>100</v>
      </c>
      <c r="I40" s="3112"/>
      <c r="J40" s="3134">
        <f>SUMIF(118:118,I40,119:119)-SUMIF(118:118,C40,119:119)+100</f>
        <v>100</v>
      </c>
      <c r="K40" s="3047"/>
      <c r="L40" s="2074"/>
      <c r="M40" s="2069"/>
      <c r="N40" s="2069"/>
      <c r="O40" s="2069"/>
      <c r="P40" s="4485"/>
      <c r="Q40" s="1587" t="str">
        <f t="shared" si="11"/>
        <v>房型</v>
      </c>
      <c r="R40" s="3518" t="s">
        <v>16</v>
      </c>
      <c r="S40" s="3519">
        <f t="shared" si="12"/>
        <v>100</v>
      </c>
      <c r="T40" s="3518" t="s">
        <v>16</v>
      </c>
      <c r="U40" s="3519">
        <f t="shared" si="13"/>
        <v>100</v>
      </c>
      <c r="V40" s="3518" t="s">
        <v>16</v>
      </c>
      <c r="W40" s="3519">
        <f t="shared" si="14"/>
        <v>100</v>
      </c>
      <c r="X40" s="981"/>
      <c r="Y40" s="4487"/>
      <c r="Z40" s="979" t="str">
        <f t="shared" si="18"/>
        <v>房型</v>
      </c>
      <c r="AA40" s="979">
        <f t="shared" si="15"/>
        <v>1</v>
      </c>
      <c r="AB40" s="979">
        <f t="shared" si="16"/>
        <v>1</v>
      </c>
      <c r="AC40" s="979">
        <f t="shared" si="17"/>
        <v>1</v>
      </c>
    </row>
    <row r="41" spans="1:29" s="297" customFormat="1" ht="28.5">
      <c r="A41" s="295"/>
      <c r="B41" s="3030" t="s">
        <v>1623</v>
      </c>
      <c r="C41" s="3147"/>
      <c r="D41" s="3156">
        <v>100</v>
      </c>
      <c r="E41" s="3086"/>
      <c r="F41" s="3144">
        <f>SUMIF(120:120,E41,121:121)-SUMIF(120:120,C41,121:121)+100</f>
        <v>100</v>
      </c>
      <c r="G41" s="3058"/>
      <c r="H41" s="3133">
        <f>SUMIF(120:120,G41,121:121)-SUMIF(120:120,C41,121:121)+100</f>
        <v>100</v>
      </c>
      <c r="I41" s="3148"/>
      <c r="J41" s="3134">
        <f>SUMIF(120:120,I41,121:121)-SUMIF(120:120,C41,121:121)+100</f>
        <v>100</v>
      </c>
      <c r="K41" s="3048"/>
      <c r="L41" s="2073"/>
      <c r="M41" s="2075"/>
      <c r="N41" s="2075"/>
      <c r="O41" s="2075"/>
      <c r="P41" s="4485"/>
      <c r="Q41" s="409" t="str">
        <f t="shared" si="11"/>
        <v>单套/主力户型建筑面积</v>
      </c>
      <c r="R41" s="3520" t="s">
        <v>16</v>
      </c>
      <c r="S41" s="3521">
        <f t="shared" si="12"/>
        <v>100</v>
      </c>
      <c r="T41" s="3520" t="s">
        <v>16</v>
      </c>
      <c r="U41" s="3521">
        <f t="shared" si="13"/>
        <v>100</v>
      </c>
      <c r="V41" s="3520" t="s">
        <v>16</v>
      </c>
      <c r="W41" s="3521">
        <f t="shared" si="14"/>
        <v>100</v>
      </c>
      <c r="X41" s="517"/>
      <c r="Y41" s="4487"/>
      <c r="Z41" s="518" t="str">
        <f t="shared" si="18"/>
        <v>单套/主力户型建筑面积</v>
      </c>
      <c r="AA41" s="979">
        <f t="shared" si="15"/>
        <v>1</v>
      </c>
      <c r="AB41" s="979">
        <f t="shared" si="16"/>
        <v>1</v>
      </c>
      <c r="AC41" s="979">
        <f t="shared" si="17"/>
        <v>1</v>
      </c>
    </row>
    <row r="42" spans="1:29" ht="15">
      <c r="A42" s="298"/>
      <c r="B42" s="3030" t="s">
        <v>1624</v>
      </c>
      <c r="C42" s="3070"/>
      <c r="D42" s="3158">
        <v>100</v>
      </c>
      <c r="E42" s="3112"/>
      <c r="F42" s="3146">
        <f>SUMIF(122:122,E42,123:123)-SUMIF(122:122,C42,123:123)+100</f>
        <v>100</v>
      </c>
      <c r="G42" s="3070"/>
      <c r="H42" s="3134">
        <f>SUMIF(122:122,G42,123:123)-SUMIF(122:122,C42,123:123)+100</f>
        <v>100</v>
      </c>
      <c r="I42" s="3112"/>
      <c r="J42" s="3134">
        <f>SUMIF(122:122,I42,123:123)-SUMIF(122:122,C42,123:123)+100</f>
        <v>100</v>
      </c>
      <c r="K42" s="3047"/>
      <c r="L42" s="2074"/>
      <c r="M42" s="2069"/>
      <c r="N42" s="2069"/>
      <c r="O42" s="2069"/>
      <c r="P42" s="4485"/>
      <c r="Q42" s="1587" t="str">
        <f t="shared" si="11"/>
        <v>内部装修</v>
      </c>
      <c r="R42" s="3518" t="s">
        <v>16</v>
      </c>
      <c r="S42" s="3519">
        <f t="shared" si="12"/>
        <v>100</v>
      </c>
      <c r="T42" s="3518" t="s">
        <v>16</v>
      </c>
      <c r="U42" s="3519">
        <f t="shared" si="13"/>
        <v>100</v>
      </c>
      <c r="V42" s="3518" t="s">
        <v>16</v>
      </c>
      <c r="W42" s="3519">
        <f t="shared" si="14"/>
        <v>100</v>
      </c>
      <c r="X42" s="981"/>
      <c r="Y42" s="4487"/>
      <c r="Z42" s="979" t="str">
        <f t="shared" si="18"/>
        <v>内部装修</v>
      </c>
      <c r="AA42" s="979">
        <f t="shared" si="15"/>
        <v>1</v>
      </c>
      <c r="AB42" s="979">
        <f t="shared" si="16"/>
        <v>1</v>
      </c>
      <c r="AC42" s="979">
        <f t="shared" si="17"/>
        <v>1</v>
      </c>
    </row>
    <row r="43" spans="1:29" ht="15">
      <c r="A43" s="298"/>
      <c r="B43" s="3030" t="s">
        <v>1625</v>
      </c>
      <c r="C43" s="3070"/>
      <c r="D43" s="3158">
        <v>100</v>
      </c>
      <c r="E43" s="3112"/>
      <c r="F43" s="3146">
        <f>SUMIF(124:124,E43,125:125)-SUMIF(124:124,C43,125:125)+100</f>
        <v>100</v>
      </c>
      <c r="G43" s="3070"/>
      <c r="H43" s="3134">
        <f>SUMIF(124:124,G43,125:125)-SUMIF(124:124,C43,125:125)+100</f>
        <v>100</v>
      </c>
      <c r="I43" s="3112"/>
      <c r="J43" s="3134">
        <f>SUMIF(124:124,I43,125:125)-SUMIF(124:124,C43,125:125)+100</f>
        <v>100</v>
      </c>
      <c r="K43" s="3047"/>
      <c r="L43" s="2074"/>
      <c r="M43" s="2069"/>
      <c r="N43" s="2069"/>
      <c r="O43" s="2069"/>
      <c r="P43" s="4485"/>
      <c r="Q43" s="1587" t="str">
        <f t="shared" si="11"/>
        <v>内部装修维护情况</v>
      </c>
      <c r="R43" s="3518" t="s">
        <v>16</v>
      </c>
      <c r="S43" s="3519">
        <f t="shared" si="12"/>
        <v>100</v>
      </c>
      <c r="T43" s="3518" t="s">
        <v>16</v>
      </c>
      <c r="U43" s="3519">
        <f t="shared" si="13"/>
        <v>100</v>
      </c>
      <c r="V43" s="3518" t="s">
        <v>16</v>
      </c>
      <c r="W43" s="3519">
        <f t="shared" si="14"/>
        <v>100</v>
      </c>
      <c r="X43" s="981"/>
      <c r="Y43" s="4487"/>
      <c r="Z43" s="979" t="str">
        <f t="shared" si="18"/>
        <v>内部装修维护情况</v>
      </c>
      <c r="AA43" s="979">
        <f t="shared" si="15"/>
        <v>1</v>
      </c>
      <c r="AB43" s="979">
        <f t="shared" si="16"/>
        <v>1</v>
      </c>
      <c r="AC43" s="979">
        <f t="shared" si="17"/>
        <v>1</v>
      </c>
    </row>
    <row r="44" spans="1:29" s="61" customFormat="1" ht="15">
      <c r="A44" s="299"/>
      <c r="B44" s="3043">
        <v>111</v>
      </c>
      <c r="C44" s="3069"/>
      <c r="D44" s="3156">
        <v>100</v>
      </c>
      <c r="E44" s="3069"/>
      <c r="F44" s="3144">
        <f>SUMIF(126:126,E44,127:127)-SUMIF(126:126,C44,127:127)+100</f>
        <v>100</v>
      </c>
      <c r="G44" s="3069"/>
      <c r="H44" s="3133">
        <f>SUMIF(126:126,G44,127:127)-SUMIF(126:126,C44,127:127)+100</f>
        <v>100</v>
      </c>
      <c r="I44" s="3069"/>
      <c r="J44" s="3133">
        <f>SUMIF(126:126,I44,127:127)-SUMIF(126:126,C44,127:127)+100</f>
        <v>100</v>
      </c>
      <c r="K44" s="3048"/>
      <c r="L44" s="2070"/>
      <c r="M44" s="2021"/>
      <c r="N44" s="2021"/>
      <c r="O44" s="2021"/>
      <c r="P44" s="4485"/>
      <c r="Q44" s="1787">
        <f t="shared" si="11"/>
        <v>111</v>
      </c>
      <c r="R44" s="3516" t="s">
        <v>16</v>
      </c>
      <c r="S44" s="3517">
        <f t="shared" si="12"/>
        <v>100</v>
      </c>
      <c r="T44" s="3516" t="s">
        <v>16</v>
      </c>
      <c r="U44" s="3517">
        <f t="shared" si="13"/>
        <v>100</v>
      </c>
      <c r="V44" s="3516" t="s">
        <v>16</v>
      </c>
      <c r="W44" s="3517">
        <f t="shared" si="14"/>
        <v>100</v>
      </c>
      <c r="X44" s="512"/>
      <c r="Y44" s="4487"/>
      <c r="Z44" s="41">
        <f t="shared" si="18"/>
        <v>111</v>
      </c>
      <c r="AA44" s="41">
        <f t="shared" si="15"/>
        <v>1</v>
      </c>
      <c r="AB44" s="41">
        <f t="shared" si="16"/>
        <v>1</v>
      </c>
      <c r="AC44" s="41">
        <f t="shared" si="17"/>
        <v>1</v>
      </c>
    </row>
    <row r="45" spans="1:29" ht="15">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048"/>
      <c r="L45" s="2074"/>
      <c r="M45" s="2069"/>
      <c r="N45" s="2069"/>
      <c r="O45" s="2069"/>
      <c r="P45" s="4485"/>
      <c r="Q45" s="1587">
        <f t="shared" si="11"/>
        <v>111</v>
      </c>
      <c r="R45" s="3518" t="s">
        <v>16</v>
      </c>
      <c r="S45" s="3519">
        <f t="shared" si="12"/>
        <v>100</v>
      </c>
      <c r="T45" s="3518" t="s">
        <v>16</v>
      </c>
      <c r="U45" s="3519">
        <f t="shared" si="13"/>
        <v>100</v>
      </c>
      <c r="V45" s="3518" t="s">
        <v>16</v>
      </c>
      <c r="W45" s="3519">
        <f t="shared" si="14"/>
        <v>100</v>
      </c>
      <c r="X45" s="981"/>
      <c r="Y45" s="4487"/>
      <c r="Z45" s="979">
        <f t="shared" si="18"/>
        <v>111</v>
      </c>
      <c r="AA45" s="979">
        <f t="shared" si="15"/>
        <v>1</v>
      </c>
      <c r="AB45" s="979">
        <f t="shared" si="16"/>
        <v>1</v>
      </c>
      <c r="AC45" s="979">
        <f t="shared" si="17"/>
        <v>1</v>
      </c>
    </row>
    <row r="46" spans="1:29" ht="15.75" thickBot="1">
      <c r="A46" s="303"/>
      <c r="B46" s="3037">
        <v>111</v>
      </c>
      <c r="C46" s="3062"/>
      <c r="D46" s="3159">
        <v>100</v>
      </c>
      <c r="E46" s="3062"/>
      <c r="F46" s="3145">
        <f>SUMIF(130:130,E46,131:131)-SUMIF(130:130,C46,131:131)+100</f>
        <v>100</v>
      </c>
      <c r="G46" s="3062"/>
      <c r="H46" s="3135">
        <f>SUMIF(130:130,G46,131:131)-SUMIF(130:130,C46,131:131)+100</f>
        <v>100</v>
      </c>
      <c r="I46" s="3062"/>
      <c r="J46" s="3135">
        <f>SUMIF(130:130,I46,131:131)-SUMIF(130:130,C46,131:131)+100</f>
        <v>100</v>
      </c>
      <c r="K46" s="3048"/>
      <c r="L46" s="2074"/>
      <c r="M46" s="2069"/>
      <c r="N46" s="2069"/>
      <c r="O46" s="2069"/>
      <c r="P46" s="4486"/>
      <c r="Q46" s="1587">
        <f t="shared" si="11"/>
        <v>111</v>
      </c>
      <c r="R46" s="3518" t="s">
        <v>15</v>
      </c>
      <c r="S46" s="3519">
        <f t="shared" si="12"/>
        <v>100</v>
      </c>
      <c r="T46" s="3518" t="s">
        <v>15</v>
      </c>
      <c r="U46" s="3519">
        <f t="shared" si="13"/>
        <v>100</v>
      </c>
      <c r="V46" s="3518" t="s">
        <v>15</v>
      </c>
      <c r="W46" s="3519">
        <f t="shared" si="14"/>
        <v>100</v>
      </c>
      <c r="X46" s="981"/>
      <c r="Y46" s="4488"/>
      <c r="Z46" s="979">
        <f t="shared" si="18"/>
        <v>111</v>
      </c>
      <c r="AA46" s="979">
        <f t="shared" si="15"/>
        <v>1</v>
      </c>
      <c r="AB46" s="979">
        <f t="shared" si="16"/>
        <v>1</v>
      </c>
      <c r="AC46" s="979">
        <f t="shared" si="17"/>
        <v>1</v>
      </c>
    </row>
    <row r="47" spans="1:29" ht="15">
      <c r="A47" s="304" t="s">
        <v>1626</v>
      </c>
      <c r="B47" s="305"/>
      <c r="C47" s="829" t="s">
        <v>14</v>
      </c>
      <c r="D47" s="306"/>
      <c r="E47" s="3592"/>
      <c r="F47" s="830"/>
      <c r="G47" s="3593"/>
      <c r="H47" s="831"/>
      <c r="I47" s="3592"/>
      <c r="J47" s="831"/>
      <c r="K47" s="3052"/>
      <c r="L47" s="2076"/>
      <c r="M47" s="2069"/>
      <c r="N47" s="2069"/>
      <c r="O47" s="2069"/>
      <c r="P47" s="4480" t="str">
        <f>A47</f>
        <v>成交单价（元/平方米）</v>
      </c>
      <c r="Q47" s="4480"/>
      <c r="R47" s="4481">
        <f>E47</f>
        <v>0</v>
      </c>
      <c r="S47" s="4481"/>
      <c r="T47" s="4481">
        <f>G47</f>
        <v>0</v>
      </c>
      <c r="U47" s="4481"/>
      <c r="V47" s="4481">
        <f>I47</f>
        <v>0</v>
      </c>
      <c r="W47" s="4481"/>
      <c r="X47" s="283"/>
      <c r="Y47" s="519"/>
      <c r="Z47" s="283"/>
      <c r="AA47" s="283"/>
      <c r="AB47" s="283"/>
      <c r="AC47" s="283"/>
    </row>
    <row r="48" spans="1:29" ht="15.75" thickBot="1">
      <c r="A48" s="307" t="s">
        <v>1627</v>
      </c>
      <c r="B48" s="308"/>
      <c r="C48" s="3149" t="e">
        <f>R49</f>
        <v>#DIV/0!</v>
      </c>
      <c r="D48" s="1782" t="s">
        <v>2054</v>
      </c>
      <c r="E48" s="3151" t="e">
        <f>R48</f>
        <v>#DIV/0!</v>
      </c>
      <c r="F48" s="3044"/>
      <c r="G48" s="3149" t="e">
        <f>T48</f>
        <v>#DIV/0!</v>
      </c>
      <c r="H48" s="3044"/>
      <c r="I48" s="3151" t="e">
        <f>V48</f>
        <v>#DIV/0!</v>
      </c>
      <c r="J48" s="3044"/>
      <c r="K48" s="3045">
        <f>F48+H48+J48</f>
        <v>0</v>
      </c>
      <c r="L48" s="2076"/>
      <c r="M48" s="2069"/>
      <c r="N48" s="2069"/>
      <c r="O48" s="2069"/>
      <c r="P48" s="4480" t="str">
        <f>A48</f>
        <v>比较价值（元/平方米）</v>
      </c>
      <c r="Q48" s="4480"/>
      <c r="R48" s="4481" t="e">
        <f>IF(F1="售价",ROUND(PRODUCT(R47,AA7:AA46),0),ROUND(PRODUCT(R47,AA7:AA46),1))</f>
        <v>#DIV/0!</v>
      </c>
      <c r="S48" s="4481"/>
      <c r="T48" s="4481" t="e">
        <f>IF(F1="售价",ROUND(PRODUCT(T47,AB7:AB46),0),ROUND(PRODUCT(T47,AB7:AB46),1))</f>
        <v>#DIV/0!</v>
      </c>
      <c r="U48" s="4481"/>
      <c r="V48" s="4481" t="e">
        <f>IF(F1="售价",ROUND(PRODUCT(V47,AC7:AC46),0),ROUND(PRODUCT(V47,AC7:AC46),1))</f>
        <v>#DIV/0!</v>
      </c>
      <c r="W48" s="4481"/>
      <c r="X48" s="283"/>
      <c r="Y48" s="283"/>
      <c r="Z48" s="283"/>
      <c r="AA48" s="283"/>
      <c r="AB48" s="283"/>
      <c r="AC48" s="283"/>
    </row>
    <row r="49" spans="1:29" ht="15.75" thickBot="1">
      <c r="A49" s="309" t="s">
        <v>1628</v>
      </c>
      <c r="B49" s="310"/>
      <c r="C49" s="3150" t="e">
        <f>R49</f>
        <v>#DIV/0!</v>
      </c>
      <c r="D49" s="259"/>
      <c r="E49" s="259"/>
      <c r="F49" s="259"/>
      <c r="G49" s="259"/>
      <c r="H49" s="259"/>
      <c r="I49" s="259"/>
      <c r="J49" s="259"/>
      <c r="K49" s="1452"/>
      <c r="L49" s="2076"/>
      <c r="M49" s="2069"/>
      <c r="N49" s="2069"/>
      <c r="O49" s="2069"/>
      <c r="P49" s="4477" t="str">
        <f>A49</f>
        <v>估价对象XX用房的比较价值（楼面单价，元/平方米）</v>
      </c>
      <c r="Q49" s="4478"/>
      <c r="R49" s="4479" t="e">
        <f>IF(F1="售价",ROUND(IF(D48="简单平均",AVERAGE(R48:V48),R48*F48+T48*H48+V48*J48),0),ROUND(IF(D48="简单平均",AVERAGE(R48:V48),R48*F48+T48*H48+V48*J48),1))</f>
        <v>#DIV/0!</v>
      </c>
      <c r="S49" s="4479"/>
      <c r="T49" s="4479"/>
      <c r="U49" s="4479"/>
      <c r="V49" s="4479"/>
      <c r="W49" s="447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1632</v>
      </c>
      <c r="B57" s="283"/>
      <c r="C57" s="505"/>
      <c r="D57" s="505"/>
      <c r="E57" s="505"/>
      <c r="F57" s="506"/>
      <c r="G57" s="506"/>
      <c r="H57" s="505"/>
      <c r="I57" s="505"/>
      <c r="J57" s="505"/>
      <c r="K57" s="670"/>
      <c r="L57" s="671"/>
      <c r="M57" s="669"/>
      <c r="N57" s="669"/>
      <c r="O57" s="669"/>
      <c r="P57" s="1455"/>
      <c r="Q57" s="320"/>
    </row>
    <row r="58" spans="1:29" s="323" customFormat="1" ht="15">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1634</v>
      </c>
      <c r="B60" s="331"/>
      <c r="C60" s="332"/>
      <c r="D60" s="333"/>
      <c r="E60" s="333"/>
      <c r="F60" s="333"/>
      <c r="G60" s="333"/>
      <c r="H60" s="333"/>
      <c r="I60" s="333"/>
      <c r="J60" s="333"/>
      <c r="K60" s="333"/>
      <c r="L60" s="333"/>
      <c r="M60" s="334"/>
      <c r="N60" s="333"/>
      <c r="O60" s="334"/>
      <c r="P60" s="1457"/>
      <c r="Q60" s="320"/>
    </row>
    <row r="61" spans="1:29" s="61" customFormat="1" ht="15">
      <c r="A61" s="336" t="s">
        <v>1635</v>
      </c>
      <c r="B61" s="325"/>
      <c r="C61" s="337" t="s">
        <v>1636</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1637</v>
      </c>
      <c r="B63" s="340" t="s">
        <v>1603</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1606</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1652</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1653</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1612</v>
      </c>
      <c r="B100" s="340" t="s">
        <v>1654</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1656</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1657</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1658</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1659</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1660</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1661</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1662</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1664</v>
      </c>
    </row>
    <row r="137" spans="1:17" ht="15">
      <c r="B137" s="1466" t="s">
        <v>1665</v>
      </c>
      <c r="C137" s="1467"/>
      <c r="D137" s="1467"/>
      <c r="E137" s="1467"/>
      <c r="F137" s="1467"/>
      <c r="G137" s="1468"/>
      <c r="H137" s="1469"/>
      <c r="I137" s="1470" t="s">
        <v>1666</v>
      </c>
      <c r="J137" s="1467"/>
      <c r="K137" s="1471"/>
    </row>
    <row r="138" spans="1:17" ht="15">
      <c r="B138" s="1472"/>
      <c r="C138" s="67" t="s">
        <v>1667</v>
      </c>
      <c r="D138" s="67" t="s">
        <v>1668</v>
      </c>
      <c r="E138" s="1473" t="s">
        <v>1669</v>
      </c>
      <c r="F138" s="1474" t="s">
        <v>1670</v>
      </c>
      <c r="G138" s="67" t="s">
        <v>1668</v>
      </c>
      <c r="H138" s="68" t="s">
        <v>1669</v>
      </c>
      <c r="I138" s="1475"/>
      <c r="J138" s="67" t="s">
        <v>1671</v>
      </c>
      <c r="K138" s="68" t="s">
        <v>1672</v>
      </c>
    </row>
    <row r="139" spans="1:17" ht="15">
      <c r="B139" s="606">
        <v>6</v>
      </c>
      <c r="C139" s="607">
        <v>96</v>
      </c>
      <c r="D139" s="1476" t="s">
        <v>1673</v>
      </c>
      <c r="E139" s="608">
        <v>100</v>
      </c>
      <c r="F139" s="609">
        <v>102.5</v>
      </c>
      <c r="G139" s="1476" t="s">
        <v>1673</v>
      </c>
      <c r="H139" s="610">
        <v>105</v>
      </c>
      <c r="I139" s="1477" t="s">
        <v>1674</v>
      </c>
      <c r="J139" s="607">
        <v>20</v>
      </c>
      <c r="K139" s="611">
        <f>C145/(J139-2)</f>
        <v>4.0555555555555553E-3</v>
      </c>
    </row>
    <row r="140" spans="1:17" ht="15">
      <c r="B140" s="612">
        <v>5</v>
      </c>
      <c r="C140" s="613">
        <v>100</v>
      </c>
      <c r="D140" s="613"/>
      <c r="E140" s="614"/>
      <c r="F140" s="615">
        <v>102</v>
      </c>
      <c r="G140" s="613"/>
      <c r="H140" s="616"/>
      <c r="I140" s="1478" t="s">
        <v>1675</v>
      </c>
      <c r="J140" s="184">
        <f>ROUNDUP((J139-1)/2,0)</f>
        <v>10</v>
      </c>
      <c r="K140" s="617">
        <v>100</v>
      </c>
    </row>
    <row r="141" spans="1:17" ht="15">
      <c r="B141" s="612">
        <v>4</v>
      </c>
      <c r="C141" s="613">
        <v>102</v>
      </c>
      <c r="D141" s="613"/>
      <c r="E141" s="614"/>
      <c r="F141" s="615">
        <v>101.5</v>
      </c>
      <c r="G141" s="613"/>
      <c r="H141" s="616"/>
      <c r="I141" s="1478" t="s">
        <v>1676</v>
      </c>
      <c r="J141" s="184">
        <v>1</v>
      </c>
      <c r="K141" s="618">
        <f>ROUND(100+(J141-J140)*K139*100,1)</f>
        <v>96.4</v>
      </c>
    </row>
    <row r="142" spans="1:17" ht="15">
      <c r="B142" s="612">
        <v>3</v>
      </c>
      <c r="C142" s="613">
        <v>103</v>
      </c>
      <c r="D142" s="613"/>
      <c r="E142" s="614"/>
      <c r="F142" s="615">
        <v>101</v>
      </c>
      <c r="G142" s="613"/>
      <c r="H142" s="616"/>
      <c r="I142" s="1478" t="s">
        <v>1677</v>
      </c>
      <c r="J142" s="184">
        <f>J139</f>
        <v>20</v>
      </c>
      <c r="K142" s="619">
        <v>95</v>
      </c>
    </row>
    <row r="143" spans="1:17" ht="15">
      <c r="B143" s="612">
        <v>2</v>
      </c>
      <c r="C143" s="613">
        <v>100</v>
      </c>
      <c r="D143" s="613"/>
      <c r="E143" s="614"/>
      <c r="F143" s="615">
        <v>100.5</v>
      </c>
      <c r="G143" s="613"/>
      <c r="H143" s="616"/>
      <c r="I143" s="1478" t="s">
        <v>1678</v>
      </c>
      <c r="J143" s="613">
        <v>15</v>
      </c>
      <c r="K143" s="618">
        <f>ROUND(100+(J143-J140)*K139*100,1)</f>
        <v>102</v>
      </c>
    </row>
    <row r="144" spans="1:17" ht="15">
      <c r="B144" s="612">
        <v>1</v>
      </c>
      <c r="C144" s="613">
        <v>98</v>
      </c>
      <c r="D144" s="1479" t="s">
        <v>1679</v>
      </c>
      <c r="E144" s="614">
        <v>102</v>
      </c>
      <c r="F144" s="620">
        <v>100</v>
      </c>
      <c r="G144" s="1479" t="s">
        <v>1679</v>
      </c>
      <c r="H144" s="616">
        <v>105</v>
      </c>
      <c r="I144" s="1478" t="s">
        <v>1678</v>
      </c>
      <c r="J144" s="613">
        <v>18</v>
      </c>
      <c r="K144" s="618">
        <f>ROUND(100+(J144-J140)*K139*100,1)</f>
        <v>103.2</v>
      </c>
    </row>
    <row r="145" spans="2:11" ht="15.75"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c r="B147" s="1465" t="s">
        <v>1682</v>
      </c>
    </row>
    <row r="148" spans="2:11">
      <c r="B148" s="1465"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E2" xr:uid="{00000000-0002-0000-1A00-000014000000}">
      <formula1>"需扣减承租人权益,——"</formula1>
    </dataValidation>
    <dataValidation type="list" allowBlank="1" showInputMessage="1" showErrorMessage="1" sqref="H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 type="list" allowBlank="1" showInputMessage="1" showErrorMessage="1" sqref="C2" xr:uid="{00000000-0002-0000-1A00-000018000000}">
      <formula1>"含税,不含税"</formula1>
    </dataValidation>
    <dataValidation type="list" allowBlank="1" showInputMessage="1" showErrorMessage="1" sqref="E3" xr:uid="{00000000-0002-0000-1A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zoomScale="85" zoomScaleNormal="70" zoomScaleSheetLayoutView="85" workbookViewId="0">
      <selection activeCell="M17" sqref="M17"/>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1728</v>
      </c>
      <c r="C1" s="879" t="s">
        <v>1580</v>
      </c>
      <c r="D1" s="880"/>
      <c r="E1" s="2613" t="s">
        <v>3849</v>
      </c>
      <c r="F1" s="1433" t="s">
        <v>3850</v>
      </c>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0.23069999999999999</v>
      </c>
      <c r="C2" s="3025" t="s">
        <v>3848</v>
      </c>
      <c r="D2" s="3168">
        <f>IF(E1="项目模式",IF(E2="——",ROUND(C50*D3/10000,0),ROUND(C50*D3/10000,0)-F2),IF(E1="单套模式",IF(E2="——",ROUND(C50*D3/10000,4),ROUND(C50*D3/10000,4)-F2)))</f>
        <v>0.23069999999999999</v>
      </c>
      <c r="E2" s="1435" t="s">
        <v>41</v>
      </c>
      <c r="F2" s="3169"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f>IF(E2="——",C50,ROUND(B2*10000/D3,0))</f>
        <v>2.2000000000000002</v>
      </c>
      <c r="C3" s="252" t="s">
        <v>1686</v>
      </c>
      <c r="D3" s="3125">
        <f>IF(D1="",'数据-汇总表'!E3,SUMIF('数据-汇总表'!$C19:$C33,D1,'数据-汇总表'!$E19:$E33))</f>
        <v>1048.8</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1687</v>
      </c>
      <c r="B4" s="254"/>
      <c r="C4" s="4506" t="s">
        <v>1688</v>
      </c>
      <c r="D4" s="4507"/>
      <c r="E4" s="4508" t="s">
        <v>1689</v>
      </c>
      <c r="F4" s="4509"/>
      <c r="G4" s="4506" t="s">
        <v>1690</v>
      </c>
      <c r="H4" s="4507"/>
      <c r="I4" s="4506" t="s">
        <v>1691</v>
      </c>
      <c r="J4" s="4507"/>
      <c r="K4" s="414" t="s">
        <v>1692</v>
      </c>
      <c r="L4" s="2068"/>
      <c r="M4" s="2069"/>
      <c r="N4" s="2069"/>
      <c r="O4" s="2069"/>
      <c r="P4" s="4510" t="s">
        <v>1693</v>
      </c>
      <c r="Q4" s="4511"/>
      <c r="R4" s="4492" t="s">
        <v>1689</v>
      </c>
      <c r="S4" s="4493"/>
      <c r="T4" s="4492" t="s">
        <v>1690</v>
      </c>
      <c r="U4" s="4493"/>
      <c r="V4" s="4514" t="s">
        <v>1691</v>
      </c>
      <c r="W4" s="4514"/>
      <c r="X4" s="1493"/>
      <c r="Y4" s="4516" t="s">
        <v>1693</v>
      </c>
      <c r="Z4" s="4517"/>
      <c r="AA4" s="4491" t="s">
        <v>1689</v>
      </c>
      <c r="AB4" s="4491" t="s">
        <v>1690</v>
      </c>
      <c r="AC4" s="4503" t="s">
        <v>1691</v>
      </c>
    </row>
    <row r="5" spans="1:29" ht="15.75" thickBot="1">
      <c r="A5" s="256"/>
      <c r="B5" s="257"/>
      <c r="C5" s="4496" t="s">
        <v>1591</v>
      </c>
      <c r="D5" s="4497"/>
      <c r="E5" s="4494" t="s">
        <v>3861</v>
      </c>
      <c r="F5" s="4495"/>
      <c r="G5" s="4500" t="s">
        <v>3886</v>
      </c>
      <c r="H5" s="4497"/>
      <c r="I5" s="4500" t="s">
        <v>3887</v>
      </c>
      <c r="J5" s="4497"/>
      <c r="K5" s="414"/>
      <c r="L5" s="2068"/>
      <c r="M5" s="2069"/>
      <c r="N5" s="2069"/>
      <c r="O5" s="2069"/>
      <c r="P5" s="4512"/>
      <c r="Q5" s="4462"/>
      <c r="R5" s="4443"/>
      <c r="S5" s="4444"/>
      <c r="T5" s="4443"/>
      <c r="U5" s="4444"/>
      <c r="V5" s="4467"/>
      <c r="W5" s="4467"/>
      <c r="X5" s="981"/>
      <c r="Y5" s="4472"/>
      <c r="Z5" s="4473"/>
      <c r="AA5" s="4437"/>
      <c r="AB5" s="4437"/>
      <c r="AC5" s="4504"/>
    </row>
    <row r="6" spans="1:29" ht="15.75" hidden="1" thickBot="1">
      <c r="A6" s="258"/>
      <c r="B6" s="259"/>
      <c r="C6" s="4498" t="s">
        <v>1595</v>
      </c>
      <c r="D6" s="4499"/>
      <c r="E6" s="4501" t="s">
        <v>1595</v>
      </c>
      <c r="F6" s="4502"/>
      <c r="G6" s="4498" t="s">
        <v>1595</v>
      </c>
      <c r="H6" s="4499"/>
      <c r="I6" s="4498" t="s">
        <v>1595</v>
      </c>
      <c r="J6" s="4499"/>
      <c r="K6" s="414" t="s">
        <v>1596</v>
      </c>
      <c r="L6" s="2068"/>
      <c r="M6" s="2069"/>
      <c r="N6" s="2069"/>
      <c r="O6" s="2069"/>
      <c r="P6" s="4513"/>
      <c r="Q6" s="4464"/>
      <c r="R6" s="4443"/>
      <c r="S6" s="4444"/>
      <c r="T6" s="4465"/>
      <c r="U6" s="4466"/>
      <c r="V6" s="4467"/>
      <c r="W6" s="4467"/>
      <c r="X6" s="981"/>
      <c r="Y6" s="4474"/>
      <c r="Z6" s="4475"/>
      <c r="AA6" s="4438"/>
      <c r="AB6" s="4438"/>
      <c r="AC6" s="4505"/>
    </row>
    <row r="7" spans="1:29" s="61" customFormat="1" ht="15.75" thickBot="1">
      <c r="A7" s="260" t="s">
        <v>1597</v>
      </c>
      <c r="B7" s="261"/>
      <c r="C7" s="262">
        <f>'数据-取费表'!B2</f>
        <v>46044</v>
      </c>
      <c r="D7" s="3172">
        <v>100</v>
      </c>
      <c r="E7" s="263">
        <f>C7</f>
        <v>46044</v>
      </c>
      <c r="F7" s="3184">
        <f>SUMIF(59:59,YEAR(E7)&amp;"-"&amp;MONTH(E7),60:60)</f>
        <v>100</v>
      </c>
      <c r="G7" s="263">
        <f>E7</f>
        <v>46044</v>
      </c>
      <c r="H7" s="3170">
        <f>SUMIF(59:59,YEAR(G7)&amp;"-"&amp;MONTH(G7),60:60)</f>
        <v>100</v>
      </c>
      <c r="I7" s="263">
        <f>G7</f>
        <v>46044</v>
      </c>
      <c r="J7" s="3170">
        <f>SUMIF(59:59,YEAR(I7)&amp;"-"&amp;MONTH(I7),60:60)</f>
        <v>100</v>
      </c>
      <c r="K7" s="35"/>
      <c r="L7" s="2070"/>
      <c r="M7" s="2021"/>
      <c r="N7" s="2021"/>
      <c r="O7" s="2021"/>
      <c r="P7" s="4515" t="s">
        <v>1598</v>
      </c>
      <c r="Q7" s="4476"/>
      <c r="R7" s="3516" t="s">
        <v>13</v>
      </c>
      <c r="S7" s="3517">
        <f t="shared" ref="S7:S15" si="0">F7</f>
        <v>100</v>
      </c>
      <c r="T7" s="3516" t="s">
        <v>13</v>
      </c>
      <c r="U7" s="3517">
        <f t="shared" ref="U7:U15" si="1">H7</f>
        <v>100</v>
      </c>
      <c r="V7" s="3516" t="s">
        <v>13</v>
      </c>
      <c r="W7" s="3517">
        <f t="shared" ref="W7:W15" si="2">J7</f>
        <v>100</v>
      </c>
      <c r="X7" s="512"/>
      <c r="Y7" s="4439" t="s">
        <v>1598</v>
      </c>
      <c r="Z7" s="4440"/>
      <c r="AA7" s="41">
        <f>D7/F7</f>
        <v>1</v>
      </c>
      <c r="AB7" s="41">
        <f>D7/H7</f>
        <v>1</v>
      </c>
      <c r="AC7" s="596">
        <f>D7/J7</f>
        <v>1</v>
      </c>
    </row>
    <row r="8" spans="1:29" s="61" customFormat="1" ht="15.75" thickBot="1">
      <c r="A8" s="260" t="s">
        <v>1599</v>
      </c>
      <c r="B8" s="261"/>
      <c r="C8" s="264" t="s">
        <v>3667</v>
      </c>
      <c r="D8" s="3172">
        <v>100</v>
      </c>
      <c r="E8" s="264" t="s">
        <v>3863</v>
      </c>
      <c r="F8" s="3748">
        <f>SUMIF(62:62,E8,63:63)-SUMIF(62:62,C8,63:63)+100</f>
        <v>103</v>
      </c>
      <c r="G8" s="264" t="s">
        <v>3863</v>
      </c>
      <c r="H8" s="3760">
        <f>SUMIF(62:62,G8,63:63)-SUMIF(62:62,C8,63:63)+100</f>
        <v>103</v>
      </c>
      <c r="I8" s="264" t="s">
        <v>3863</v>
      </c>
      <c r="J8" s="3760">
        <f>SUMIF(62:62,I8,63:63)-SUMIF(62:62,C8,63:63)+100</f>
        <v>103</v>
      </c>
      <c r="K8" s="35"/>
      <c r="L8" s="2070"/>
      <c r="M8" s="2021"/>
      <c r="N8" s="2021"/>
      <c r="O8" s="2021"/>
      <c r="P8" s="4515" t="s">
        <v>1601</v>
      </c>
      <c r="Q8" s="4469"/>
      <c r="R8" s="3516" t="s">
        <v>13</v>
      </c>
      <c r="S8" s="3517">
        <f t="shared" si="0"/>
        <v>103</v>
      </c>
      <c r="T8" s="3516" t="s">
        <v>13</v>
      </c>
      <c r="U8" s="3517">
        <f t="shared" si="1"/>
        <v>103</v>
      </c>
      <c r="V8" s="3516" t="s">
        <v>13</v>
      </c>
      <c r="W8" s="3517">
        <f t="shared" si="2"/>
        <v>103</v>
      </c>
      <c r="X8" s="512"/>
      <c r="Y8" s="4439" t="s">
        <v>1601</v>
      </c>
      <c r="Z8" s="4440"/>
      <c r="AA8" s="41">
        <f t="shared" ref="AA8:AA47" si="3">D8/F8</f>
        <v>0.970873786407767</v>
      </c>
      <c r="AB8" s="41">
        <f t="shared" ref="AB8:AB47" si="4">D8/H8</f>
        <v>0.970873786407767</v>
      </c>
      <c r="AC8" s="596">
        <f t="shared" ref="AC8:AC47" si="5">D8/J8</f>
        <v>0.970873786407767</v>
      </c>
    </row>
    <row r="9" spans="1:29" s="61" customFormat="1">
      <c r="A9" s="265" t="s">
        <v>1602</v>
      </c>
      <c r="B9" s="47" t="s">
        <v>1603</v>
      </c>
      <c r="C9" s="4155" t="s">
        <v>3862</v>
      </c>
      <c r="D9" s="3173">
        <v>100</v>
      </c>
      <c r="E9" s="268" t="s">
        <v>19</v>
      </c>
      <c r="F9" s="3749">
        <f>SUMIF(64:64,E9,65:65)-SUMIF(64:64,C9,65:65)+100</f>
        <v>100</v>
      </c>
      <c r="G9" s="267" t="s">
        <v>19</v>
      </c>
      <c r="H9" s="3749">
        <f>SUMIF(64:64,G9,65:65)-SUMIF(64:64,C9,65:65)+100</f>
        <v>100</v>
      </c>
      <c r="I9" s="267" t="s">
        <v>19</v>
      </c>
      <c r="J9" s="3749">
        <f>SUMIF(64:64,I9,65:65)-SUMIF(64:64,C9,65:65)+100</f>
        <v>100</v>
      </c>
      <c r="K9" s="35"/>
      <c r="L9" s="2070"/>
      <c r="M9" s="2021"/>
      <c r="N9" s="2021"/>
      <c r="O9" s="2021"/>
      <c r="P9" s="4453" t="s">
        <v>1604</v>
      </c>
      <c r="Q9" s="1787" t="str">
        <f t="shared" ref="Q9:Q15" si="6">B9</f>
        <v>用途</v>
      </c>
      <c r="R9" s="3516" t="s">
        <v>13</v>
      </c>
      <c r="S9" s="3517">
        <f t="shared" si="0"/>
        <v>100</v>
      </c>
      <c r="T9" s="3516" t="s">
        <v>13</v>
      </c>
      <c r="U9" s="3517">
        <f t="shared" si="1"/>
        <v>100</v>
      </c>
      <c r="V9" s="3516" t="s">
        <v>13</v>
      </c>
      <c r="W9" s="3517">
        <f t="shared" si="2"/>
        <v>100</v>
      </c>
      <c r="X9" s="512"/>
      <c r="Y9" s="4454" t="s">
        <v>1605</v>
      </c>
      <c r="Z9" s="41" t="str">
        <f t="shared" ref="Z9:Z15" si="7">Q9</f>
        <v>用途</v>
      </c>
      <c r="AA9" s="41">
        <f t="shared" si="3"/>
        <v>1</v>
      </c>
      <c r="AB9" s="41">
        <f t="shared" si="4"/>
        <v>1</v>
      </c>
      <c r="AC9" s="596">
        <f t="shared" si="5"/>
        <v>1</v>
      </c>
    </row>
    <row r="10" spans="1:29" s="271" customFormat="1" ht="27" hidden="1">
      <c r="A10" s="269"/>
      <c r="B10" s="270" t="s">
        <v>1606</v>
      </c>
      <c r="C10" s="2614"/>
      <c r="D10" s="3174">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453"/>
      <c r="Q10" s="1787" t="str">
        <f t="shared" si="6"/>
        <v>土地使用年限（年）</v>
      </c>
      <c r="R10" s="3516" t="s">
        <v>13</v>
      </c>
      <c r="S10" s="3517">
        <f t="shared" si="0"/>
        <v>100</v>
      </c>
      <c r="T10" s="3516" t="s">
        <v>13</v>
      </c>
      <c r="U10" s="3517">
        <f t="shared" si="1"/>
        <v>100</v>
      </c>
      <c r="V10" s="3516" t="s">
        <v>13</v>
      </c>
      <c r="W10" s="3517">
        <f t="shared" si="2"/>
        <v>100</v>
      </c>
      <c r="X10" s="512"/>
      <c r="Y10" s="4454"/>
      <c r="Z10" s="41" t="str">
        <f t="shared" si="7"/>
        <v>土地使用年限（年）</v>
      </c>
      <c r="AA10" s="41">
        <f t="shared" si="3"/>
        <v>1</v>
      </c>
      <c r="AB10" s="41">
        <f t="shared" si="4"/>
        <v>1</v>
      </c>
      <c r="AC10" s="596">
        <f t="shared" si="5"/>
        <v>1</v>
      </c>
    </row>
    <row r="11" spans="1:29" ht="15" hidden="1">
      <c r="A11" s="272"/>
      <c r="B11" s="270" t="s">
        <v>1607</v>
      </c>
      <c r="C11" s="273"/>
      <c r="D11" s="3174">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453"/>
      <c r="Q11" s="1787" t="str">
        <f t="shared" si="6"/>
        <v>容积率</v>
      </c>
      <c r="R11" s="3516" t="s">
        <v>13</v>
      </c>
      <c r="S11" s="3517">
        <f t="shared" si="0"/>
        <v>100</v>
      </c>
      <c r="T11" s="3516" t="s">
        <v>13</v>
      </c>
      <c r="U11" s="3517">
        <f t="shared" si="1"/>
        <v>100</v>
      </c>
      <c r="V11" s="3516" t="s">
        <v>13</v>
      </c>
      <c r="W11" s="3517">
        <f t="shared" si="2"/>
        <v>100</v>
      </c>
      <c r="X11" s="512"/>
      <c r="Y11" s="4454"/>
      <c r="Z11" s="41" t="str">
        <f t="shared" si="7"/>
        <v>容积率</v>
      </c>
      <c r="AA11" s="41">
        <f t="shared" si="3"/>
        <v>1</v>
      </c>
      <c r="AB11" s="41">
        <f t="shared" si="4"/>
        <v>1</v>
      </c>
      <c r="AC11" s="596">
        <f t="shared" si="5"/>
        <v>1</v>
      </c>
    </row>
    <row r="12" spans="1:29" s="61" customFormat="1" ht="15">
      <c r="A12" s="275"/>
      <c r="B12" s="4163" t="s">
        <v>3880</v>
      </c>
      <c r="C12" s="4164" t="s">
        <v>3893</v>
      </c>
      <c r="D12" s="3175">
        <v>100</v>
      </c>
      <c r="E12" s="276" t="s">
        <v>3881</v>
      </c>
      <c r="F12" s="3750">
        <f>SUMIF(71:71,E12,72:72)-SUMIF(71:71,C12,72:72)+100</f>
        <v>100</v>
      </c>
      <c r="G12" s="276" t="s">
        <v>3881</v>
      </c>
      <c r="H12" s="3750">
        <f>SUMIF(71:71,G12,72:72)-SUMIF(71:71,C12,72:72)+100</f>
        <v>100</v>
      </c>
      <c r="I12" s="276" t="s">
        <v>3894</v>
      </c>
      <c r="J12" s="3750">
        <f>SUMIF(71:71,I12,72:72)-SUMIF(71:71,C12,72:72)+100</f>
        <v>100</v>
      </c>
      <c r="K12" s="416"/>
      <c r="L12" s="2070"/>
      <c r="M12" s="2021"/>
      <c r="N12" s="2021"/>
      <c r="O12" s="2021"/>
      <c r="P12" s="4453"/>
      <c r="Q12" s="1787" t="str">
        <f t="shared" si="6"/>
        <v>免租期</v>
      </c>
      <c r="R12" s="3516" t="s">
        <v>13</v>
      </c>
      <c r="S12" s="3517">
        <f t="shared" si="0"/>
        <v>100</v>
      </c>
      <c r="T12" s="3516" t="s">
        <v>13</v>
      </c>
      <c r="U12" s="3517">
        <f t="shared" si="1"/>
        <v>100</v>
      </c>
      <c r="V12" s="3516" t="s">
        <v>13</v>
      </c>
      <c r="W12" s="3517">
        <f t="shared" si="2"/>
        <v>100</v>
      </c>
      <c r="X12" s="512"/>
      <c r="Y12" s="4454"/>
      <c r="Z12" s="41" t="str">
        <f t="shared" si="7"/>
        <v>免租期</v>
      </c>
      <c r="AA12" s="41">
        <f>D12/F12</f>
        <v>1</v>
      </c>
      <c r="AB12" s="41">
        <f>D12/H12</f>
        <v>1</v>
      </c>
      <c r="AC12" s="596">
        <f>D12/J12</f>
        <v>1</v>
      </c>
    </row>
    <row r="13" spans="1:29" ht="15">
      <c r="A13" s="272"/>
      <c r="B13" s="4174" t="s">
        <v>3882</v>
      </c>
      <c r="C13" s="277" t="s">
        <v>3892</v>
      </c>
      <c r="D13" s="3176">
        <v>100</v>
      </c>
      <c r="E13" s="4172" t="s">
        <v>3896</v>
      </c>
      <c r="F13" s="3750">
        <f>SUMIF(73:73,E13,74:74)-SUMIF(73:73,C13,74:74)+100</f>
        <v>104</v>
      </c>
      <c r="G13" s="4172" t="s">
        <v>3896</v>
      </c>
      <c r="H13" s="3755">
        <f>SUMIF(73:73,G13,74:74)-SUMIF(73:73,C13,74:74)+100</f>
        <v>104</v>
      </c>
      <c r="I13" s="4172" t="s">
        <v>3896</v>
      </c>
      <c r="J13" s="3755">
        <f>SUMIF(73:73,I13,74:74)-SUMIF(73:73,C13,74:74)+100</f>
        <v>104</v>
      </c>
      <c r="K13" s="416"/>
      <c r="L13" s="2074"/>
      <c r="M13" s="2069"/>
      <c r="N13" s="2069"/>
      <c r="O13" s="2069"/>
      <c r="P13" s="4453"/>
      <c r="Q13" s="1787" t="str">
        <f t="shared" si="6"/>
        <v>租期</v>
      </c>
      <c r="R13" s="3516" t="s">
        <v>13</v>
      </c>
      <c r="S13" s="3517">
        <f t="shared" si="0"/>
        <v>104</v>
      </c>
      <c r="T13" s="3516" t="s">
        <v>13</v>
      </c>
      <c r="U13" s="3517">
        <f t="shared" si="1"/>
        <v>104</v>
      </c>
      <c r="V13" s="3516" t="s">
        <v>13</v>
      </c>
      <c r="W13" s="3517">
        <f t="shared" si="2"/>
        <v>104</v>
      </c>
      <c r="X13" s="512"/>
      <c r="Y13" s="4454"/>
      <c r="Z13" s="41" t="str">
        <f t="shared" si="7"/>
        <v>租期</v>
      </c>
      <c r="AA13" s="41">
        <f t="shared" si="3"/>
        <v>0.96153846153846156</v>
      </c>
      <c r="AB13" s="41">
        <f t="shared" si="4"/>
        <v>0.96153846153846156</v>
      </c>
      <c r="AC13" s="596">
        <f t="shared" si="5"/>
        <v>0.96153846153846156</v>
      </c>
    </row>
    <row r="14" spans="1:29" ht="27.75" thickBot="1">
      <c r="A14" s="278"/>
      <c r="B14" s="4165" t="s">
        <v>3883</v>
      </c>
      <c r="C14" s="4166" t="s">
        <v>3884</v>
      </c>
      <c r="D14" s="3177">
        <v>100</v>
      </c>
      <c r="E14" s="4166" t="s">
        <v>3884</v>
      </c>
      <c r="F14" s="1452">
        <f>SUMIF(75:75,E14,76:76)-SUMIF(75:75,C14,76:76)+100</f>
        <v>100</v>
      </c>
      <c r="G14" s="4166" t="s">
        <v>3884</v>
      </c>
      <c r="H14" s="1452">
        <f>SUMIF(75:75,G14,76:76)-SUMIF(75:75,C14,76:76)+100</f>
        <v>100</v>
      </c>
      <c r="I14" s="4166" t="s">
        <v>3884</v>
      </c>
      <c r="J14" s="1452">
        <f>SUMIF(75:75,I14,76:76)-SUMIF(75:75,C14,76:76)+100</f>
        <v>100</v>
      </c>
      <c r="K14" s="416"/>
      <c r="L14" s="2074"/>
      <c r="M14" s="2069"/>
      <c r="N14" s="2069"/>
      <c r="O14" s="2069"/>
      <c r="P14" s="4453"/>
      <c r="Q14" s="1787" t="str">
        <f t="shared" si="6"/>
        <v>内涵</v>
      </c>
      <c r="R14" s="3516" t="s">
        <v>13</v>
      </c>
      <c r="S14" s="3517">
        <f t="shared" si="0"/>
        <v>100</v>
      </c>
      <c r="T14" s="3516" t="s">
        <v>13</v>
      </c>
      <c r="U14" s="3517">
        <f t="shared" si="1"/>
        <v>100</v>
      </c>
      <c r="V14" s="3516" t="s">
        <v>13</v>
      </c>
      <c r="W14" s="3517">
        <f t="shared" si="2"/>
        <v>100</v>
      </c>
      <c r="X14" s="512"/>
      <c r="Y14" s="4454"/>
      <c r="Z14" s="41" t="str">
        <f t="shared" si="7"/>
        <v>内涵</v>
      </c>
      <c r="AA14" s="41">
        <f t="shared" si="3"/>
        <v>1</v>
      </c>
      <c r="AB14" s="41">
        <f t="shared" si="4"/>
        <v>1</v>
      </c>
      <c r="AC14" s="596">
        <f t="shared" si="5"/>
        <v>1</v>
      </c>
    </row>
    <row r="15" spans="1:29" ht="15">
      <c r="A15" s="280" t="s">
        <v>1608</v>
      </c>
      <c r="B15" s="428" t="s">
        <v>1729</v>
      </c>
      <c r="C15" s="1495">
        <f>估价对象房地状况!C5</f>
        <v>0</v>
      </c>
      <c r="D15" s="3178">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489" t="s">
        <v>1609</v>
      </c>
      <c r="Q15" s="1587" t="str">
        <f t="shared" si="6"/>
        <v>办公集聚程度</v>
      </c>
      <c r="R15" s="3518" t="s">
        <v>13</v>
      </c>
      <c r="S15" s="3519">
        <f t="shared" si="0"/>
        <v>100</v>
      </c>
      <c r="T15" s="3518" t="s">
        <v>13</v>
      </c>
      <c r="U15" s="3519">
        <f t="shared" si="1"/>
        <v>100</v>
      </c>
      <c r="V15" s="3518" t="s">
        <v>13</v>
      </c>
      <c r="W15" s="3519">
        <f t="shared" si="2"/>
        <v>100</v>
      </c>
      <c r="X15" s="981"/>
      <c r="Y15" s="4482" t="s">
        <v>1609</v>
      </c>
      <c r="Z15" s="979" t="str">
        <f t="shared" si="7"/>
        <v>办公集聚程度</v>
      </c>
      <c r="AA15" s="979">
        <f t="shared" si="3"/>
        <v>1</v>
      </c>
      <c r="AB15" s="979">
        <f t="shared" si="4"/>
        <v>1</v>
      </c>
      <c r="AC15" s="1496">
        <f t="shared" si="5"/>
        <v>1</v>
      </c>
    </row>
    <row r="16" spans="1:29" ht="15">
      <c r="A16" s="272"/>
      <c r="B16" s="429"/>
      <c r="C16" s="1448" t="s">
        <v>3656</v>
      </c>
      <c r="D16" s="3179"/>
      <c r="E16" s="284" t="s">
        <v>3656</v>
      </c>
      <c r="F16" s="3752"/>
      <c r="G16" s="284" t="s">
        <v>3656</v>
      </c>
      <c r="H16" s="3753"/>
      <c r="I16" s="284" t="s">
        <v>3656</v>
      </c>
      <c r="J16" s="3752"/>
      <c r="K16" s="418"/>
      <c r="L16" s="2074"/>
      <c r="M16" s="2069"/>
      <c r="N16" s="2069"/>
      <c r="O16" s="2069"/>
      <c r="P16" s="4490"/>
      <c r="Q16" s="1587"/>
      <c r="R16" s="3518"/>
      <c r="S16" s="3519"/>
      <c r="T16" s="3518"/>
      <c r="U16" s="3519"/>
      <c r="V16" s="3518"/>
      <c r="W16" s="3519"/>
      <c r="X16" s="981"/>
      <c r="Y16" s="4483"/>
      <c r="Z16" s="979"/>
      <c r="AA16" s="979">
        <v>1</v>
      </c>
      <c r="AB16" s="979">
        <v>1</v>
      </c>
      <c r="AC16" s="1496">
        <v>1</v>
      </c>
    </row>
    <row r="17" spans="1:29" ht="15">
      <c r="A17" s="272"/>
      <c r="B17" s="430" t="s">
        <v>1243</v>
      </c>
      <c r="C17" s="1497">
        <f>估价对象房地状况!C6</f>
        <v>0</v>
      </c>
      <c r="D17" s="3180">
        <v>100</v>
      </c>
      <c r="E17" s="289"/>
      <c r="F17" s="3753">
        <f>SUMIF(79:79,E18,80:80)-SUMIF(79:79,C18,80:80)+100</f>
        <v>100</v>
      </c>
      <c r="G17" s="289"/>
      <c r="H17" s="3754">
        <f>SUMIF(79:79,G18,80:80)-SUMIF(79:79,C18,80:80)+100</f>
        <v>100</v>
      </c>
      <c r="I17" s="289"/>
      <c r="J17" s="3754">
        <f>SUMIF(79:79,I18,80:80)-SUMIF(79:79,C18,80:80)+100</f>
        <v>100</v>
      </c>
      <c r="K17" s="417"/>
      <c r="L17" s="2074"/>
      <c r="M17" s="2069"/>
      <c r="N17" s="2069"/>
      <c r="O17" s="2069"/>
      <c r="P17" s="4490"/>
      <c r="Q17" s="1587" t="str">
        <f>B17</f>
        <v>交通便捷度</v>
      </c>
      <c r="R17" s="3518" t="s">
        <v>13</v>
      </c>
      <c r="S17" s="3519">
        <f>F17</f>
        <v>100</v>
      </c>
      <c r="T17" s="3518" t="s">
        <v>13</v>
      </c>
      <c r="U17" s="3519">
        <f>H17</f>
        <v>100</v>
      </c>
      <c r="V17" s="3518" t="s">
        <v>13</v>
      </c>
      <c r="W17" s="3519">
        <f>J17</f>
        <v>100</v>
      </c>
      <c r="X17" s="981"/>
      <c r="Y17" s="4483"/>
      <c r="Z17" s="979" t="str">
        <f>Q17</f>
        <v>交通便捷度</v>
      </c>
      <c r="AA17" s="979">
        <f t="shared" si="3"/>
        <v>1</v>
      </c>
      <c r="AB17" s="979">
        <f t="shared" si="4"/>
        <v>1</v>
      </c>
      <c r="AC17" s="1496">
        <f t="shared" si="5"/>
        <v>1</v>
      </c>
    </row>
    <row r="18" spans="1:29" ht="15">
      <c r="A18" s="272"/>
      <c r="B18" s="431"/>
      <c r="C18" s="1498" t="s">
        <v>3656</v>
      </c>
      <c r="D18" s="3180"/>
      <c r="E18" s="1446" t="s">
        <v>3656</v>
      </c>
      <c r="F18" s="3753"/>
      <c r="G18" s="1446" t="s">
        <v>3656</v>
      </c>
      <c r="H18" s="3752"/>
      <c r="I18" s="1446" t="s">
        <v>3656</v>
      </c>
      <c r="J18" s="3752"/>
      <c r="K18" s="418"/>
      <c r="L18" s="2074"/>
      <c r="M18" s="2069"/>
      <c r="N18" s="2069"/>
      <c r="O18" s="2069"/>
      <c r="P18" s="4490"/>
      <c r="Q18" s="1587"/>
      <c r="R18" s="3518"/>
      <c r="S18" s="3519"/>
      <c r="T18" s="3518"/>
      <c r="U18" s="3519"/>
      <c r="V18" s="3518"/>
      <c r="W18" s="3519"/>
      <c r="X18" s="981"/>
      <c r="Y18" s="4483"/>
      <c r="Z18" s="979"/>
      <c r="AA18" s="979">
        <v>1</v>
      </c>
      <c r="AB18" s="979">
        <v>1</v>
      </c>
      <c r="AC18" s="1496">
        <v>1</v>
      </c>
    </row>
    <row r="19" spans="1:29" ht="15">
      <c r="A19" s="272"/>
      <c r="B19" s="430" t="s">
        <v>1730</v>
      </c>
      <c r="C19" s="1497">
        <f>估价对象房地状况!C7</f>
        <v>0</v>
      </c>
      <c r="D19" s="3181">
        <v>100</v>
      </c>
      <c r="E19" s="292"/>
      <c r="F19" s="3754">
        <f>SUMIF(81:81,E20,82:82)-SUMIF(81:81,C20,82:82)+100</f>
        <v>100</v>
      </c>
      <c r="G19" s="292"/>
      <c r="H19" s="3753">
        <f>SUMIF(81:81,G20,82:82)-SUMIF(81:81,C20,82:82)+100</f>
        <v>100</v>
      </c>
      <c r="I19" s="292"/>
      <c r="J19" s="3753">
        <f>SUMIF(81:81,I20,82:82)-SUMIF(81:81,C20,82:82)+100</f>
        <v>100</v>
      </c>
      <c r="K19" s="417"/>
      <c r="L19" s="2074"/>
      <c r="M19" s="2069"/>
      <c r="N19" s="2069"/>
      <c r="O19" s="2069"/>
      <c r="P19" s="4490"/>
      <c r="Q19" s="1587" t="str">
        <f>B19</f>
        <v>公共配套设施</v>
      </c>
      <c r="R19" s="3518" t="s">
        <v>13</v>
      </c>
      <c r="S19" s="3519">
        <f>F19</f>
        <v>100</v>
      </c>
      <c r="T19" s="3518" t="s">
        <v>13</v>
      </c>
      <c r="U19" s="3519">
        <f>H19</f>
        <v>100</v>
      </c>
      <c r="V19" s="3518" t="s">
        <v>13</v>
      </c>
      <c r="W19" s="3519">
        <f>J19</f>
        <v>100</v>
      </c>
      <c r="X19" s="981"/>
      <c r="Y19" s="4483"/>
      <c r="Z19" s="979" t="str">
        <f>Q19</f>
        <v>公共配套设施</v>
      </c>
      <c r="AA19" s="979">
        <f t="shared" si="3"/>
        <v>1</v>
      </c>
      <c r="AB19" s="979">
        <f t="shared" si="4"/>
        <v>1</v>
      </c>
      <c r="AC19" s="1496">
        <f t="shared" si="5"/>
        <v>1</v>
      </c>
    </row>
    <row r="20" spans="1:29" ht="15">
      <c r="A20" s="272"/>
      <c r="B20" s="431"/>
      <c r="C20" s="1448" t="s">
        <v>3657</v>
      </c>
      <c r="D20" s="3179"/>
      <c r="E20" s="1442" t="s">
        <v>3657</v>
      </c>
      <c r="F20" s="3752"/>
      <c r="G20" s="1442" t="s">
        <v>3657</v>
      </c>
      <c r="H20" s="3752"/>
      <c r="I20" s="1442" t="s">
        <v>3657</v>
      </c>
      <c r="J20" s="3752"/>
      <c r="K20" s="418"/>
      <c r="L20" s="2074"/>
      <c r="M20" s="2069"/>
      <c r="N20" s="2069"/>
      <c r="O20" s="2069"/>
      <c r="P20" s="4490"/>
      <c r="Q20" s="1587"/>
      <c r="R20" s="3518"/>
      <c r="S20" s="3519"/>
      <c r="T20" s="3518"/>
      <c r="U20" s="3519"/>
      <c r="V20" s="3518"/>
      <c r="W20" s="3519"/>
      <c r="X20" s="981"/>
      <c r="Y20" s="4483"/>
      <c r="Z20" s="979"/>
      <c r="AA20" s="979">
        <v>1</v>
      </c>
      <c r="AB20" s="979">
        <v>1</v>
      </c>
      <c r="AC20" s="1496">
        <v>1</v>
      </c>
    </row>
    <row r="21" spans="1:29" ht="15">
      <c r="A21" s="272"/>
      <c r="B21" s="432" t="s">
        <v>1731</v>
      </c>
      <c r="C21" s="1497">
        <f>估价对象房地状况!C8</f>
        <v>0</v>
      </c>
      <c r="D21" s="3180">
        <v>100</v>
      </c>
      <c r="E21" s="292"/>
      <c r="F21" s="3754">
        <f>SUMIF(83:83,E22,84:84)-SUMIF(83:83,C22,84:84)+100</f>
        <v>100</v>
      </c>
      <c r="G21" s="292"/>
      <c r="H21" s="3753">
        <f>SUMIF(83:83,G22,84:84)-SUMIF(83:83,C22,84:84)+100</f>
        <v>100</v>
      </c>
      <c r="I21" s="292"/>
      <c r="J21" s="3753">
        <f>SUMIF(83:83,I22,84:84)-SUMIF(83:83,C22,84:84)+100</f>
        <v>100</v>
      </c>
      <c r="K21" s="417"/>
      <c r="L21" s="2074"/>
      <c r="M21" s="2069"/>
      <c r="N21" s="2069"/>
      <c r="O21" s="2069"/>
      <c r="P21" s="4490"/>
      <c r="Q21" s="1587" t="str">
        <f>B21</f>
        <v>基础设施水平</v>
      </c>
      <c r="R21" s="3518" t="s">
        <v>13</v>
      </c>
      <c r="S21" s="3519">
        <f>F21</f>
        <v>100</v>
      </c>
      <c r="T21" s="3518" t="s">
        <v>13</v>
      </c>
      <c r="U21" s="3519">
        <f>H21</f>
        <v>100</v>
      </c>
      <c r="V21" s="3518" t="s">
        <v>13</v>
      </c>
      <c r="W21" s="3519">
        <f>J21</f>
        <v>100</v>
      </c>
      <c r="X21" s="981"/>
      <c r="Y21" s="4483"/>
      <c r="Z21" s="979" t="str">
        <f>Q21</f>
        <v>基础设施水平</v>
      </c>
      <c r="AA21" s="979">
        <f t="shared" ref="AA21" si="8">D21/F21</f>
        <v>1</v>
      </c>
      <c r="AB21" s="979">
        <f t="shared" ref="AB21" si="9">D21/H21</f>
        <v>1</v>
      </c>
      <c r="AC21" s="1496">
        <f t="shared" ref="AC21" si="10">D21/J21</f>
        <v>1</v>
      </c>
    </row>
    <row r="22" spans="1:29" ht="15">
      <c r="A22" s="272"/>
      <c r="B22" s="432"/>
      <c r="C22" s="1498" t="s">
        <v>3658</v>
      </c>
      <c r="D22" s="3179"/>
      <c r="E22" s="284" t="s">
        <v>3658</v>
      </c>
      <c r="F22" s="3752"/>
      <c r="G22" s="284" t="s">
        <v>3658</v>
      </c>
      <c r="H22" s="3752"/>
      <c r="I22" s="284" t="s">
        <v>3658</v>
      </c>
      <c r="J22" s="3752"/>
      <c r="K22" s="821"/>
      <c r="L22" s="2074"/>
      <c r="M22" s="2069"/>
      <c r="N22" s="2069"/>
      <c r="O22" s="2069"/>
      <c r="P22" s="4490"/>
      <c r="Q22" s="1587"/>
      <c r="R22" s="3518"/>
      <c r="S22" s="3519"/>
      <c r="T22" s="3518"/>
      <c r="U22" s="3519"/>
      <c r="V22" s="3518"/>
      <c r="W22" s="3519"/>
      <c r="X22" s="981"/>
      <c r="Y22" s="4483"/>
      <c r="Z22" s="979"/>
      <c r="AA22" s="979">
        <v>1</v>
      </c>
      <c r="AB22" s="979">
        <v>1</v>
      </c>
      <c r="AC22" s="1496">
        <v>1</v>
      </c>
    </row>
    <row r="23" spans="1:29" ht="15">
      <c r="A23" s="272"/>
      <c r="B23" s="430" t="s">
        <v>1732</v>
      </c>
      <c r="C23" s="1497">
        <f>估价对象房地状况!C9</f>
        <v>0</v>
      </c>
      <c r="D23" s="3180">
        <v>100</v>
      </c>
      <c r="E23" s="289"/>
      <c r="F23" s="3753">
        <f>SUMIF(85:85,E24,86:86)-SUMIF(85:85,C24,86:86)+100</f>
        <v>100</v>
      </c>
      <c r="G23" s="289"/>
      <c r="H23" s="3753">
        <f>SUMIF(85:85,G24,86:86)-SUMIF(85:85,C24,86:86)+100</f>
        <v>100</v>
      </c>
      <c r="I23" s="289"/>
      <c r="J23" s="3753">
        <f>SUMIF(85:85,I24,86:86)-SUMIF(85:85,C24,86:86)+100</f>
        <v>100</v>
      </c>
      <c r="K23" s="417"/>
      <c r="L23" s="2074"/>
      <c r="M23" s="2069"/>
      <c r="N23" s="2069"/>
      <c r="O23" s="2069"/>
      <c r="P23" s="4490"/>
      <c r="Q23" s="1587" t="str">
        <f>B23</f>
        <v>环境质量</v>
      </c>
      <c r="R23" s="3518" t="s">
        <v>13</v>
      </c>
      <c r="S23" s="3519">
        <f>F23</f>
        <v>100</v>
      </c>
      <c r="T23" s="3518" t="s">
        <v>13</v>
      </c>
      <c r="U23" s="3519">
        <f>H23</f>
        <v>100</v>
      </c>
      <c r="V23" s="3518" t="s">
        <v>13</v>
      </c>
      <c r="W23" s="3519">
        <f>J23</f>
        <v>100</v>
      </c>
      <c r="X23" s="981"/>
      <c r="Y23" s="4483"/>
      <c r="Z23" s="979" t="str">
        <f>Q23</f>
        <v>环境质量</v>
      </c>
      <c r="AA23" s="979">
        <f t="shared" si="3"/>
        <v>1</v>
      </c>
      <c r="AB23" s="979">
        <f t="shared" si="4"/>
        <v>1</v>
      </c>
      <c r="AC23" s="1496">
        <f t="shared" si="5"/>
        <v>1</v>
      </c>
    </row>
    <row r="24" spans="1:29" ht="15">
      <c r="A24" s="272"/>
      <c r="B24" s="432"/>
      <c r="C24" s="1448" t="s">
        <v>3656</v>
      </c>
      <c r="D24" s="3179"/>
      <c r="E24" s="1442" t="s">
        <v>3656</v>
      </c>
      <c r="F24" s="3752"/>
      <c r="G24" s="1442" t="s">
        <v>3656</v>
      </c>
      <c r="H24" s="3752"/>
      <c r="I24" s="1442" t="s">
        <v>3656</v>
      </c>
      <c r="J24" s="3752"/>
      <c r="K24" s="418"/>
      <c r="L24" s="2074"/>
      <c r="M24" s="2069"/>
      <c r="N24" s="2069"/>
      <c r="O24" s="2069"/>
      <c r="P24" s="4490"/>
      <c r="Q24" s="1587"/>
      <c r="R24" s="3518"/>
      <c r="S24" s="3519"/>
      <c r="T24" s="3518"/>
      <c r="U24" s="3519"/>
      <c r="V24" s="3518"/>
      <c r="W24" s="3519"/>
      <c r="X24" s="981"/>
      <c r="Y24" s="4483"/>
      <c r="Z24" s="979"/>
      <c r="AA24" s="979">
        <v>1</v>
      </c>
      <c r="AB24" s="979">
        <v>1</v>
      </c>
      <c r="AC24" s="1496">
        <v>1</v>
      </c>
    </row>
    <row r="25" spans="1:29" ht="27" hidden="1">
      <c r="A25" s="256"/>
      <c r="B25" s="430" t="s">
        <v>1733</v>
      </c>
      <c r="C25" s="1450"/>
      <c r="D25" s="3176">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490"/>
      <c r="Q25" s="1587" t="str">
        <f>B25</f>
        <v>毗邻道路的类型与等级</v>
      </c>
      <c r="R25" s="3518" t="s">
        <v>13</v>
      </c>
      <c r="S25" s="3519">
        <f>F25</f>
        <v>100</v>
      </c>
      <c r="T25" s="3518" t="s">
        <v>13</v>
      </c>
      <c r="U25" s="3519">
        <f>H25</f>
        <v>100</v>
      </c>
      <c r="V25" s="3518" t="s">
        <v>13</v>
      </c>
      <c r="W25" s="3519">
        <f>J25</f>
        <v>100</v>
      </c>
      <c r="X25" s="981"/>
      <c r="Y25" s="4483"/>
      <c r="Z25" s="979" t="str">
        <f>Q25</f>
        <v>毗邻道路的类型与等级</v>
      </c>
      <c r="AA25" s="979">
        <f t="shared" si="3"/>
        <v>1</v>
      </c>
      <c r="AB25" s="979">
        <f t="shared" si="4"/>
        <v>1</v>
      </c>
      <c r="AC25" s="1496">
        <f t="shared" si="5"/>
        <v>1</v>
      </c>
    </row>
    <row r="26" spans="1:29" ht="15" hidden="1">
      <c r="A26" s="256"/>
      <c r="B26" s="431"/>
      <c r="C26" s="433"/>
      <c r="D26" s="3176"/>
      <c r="E26" s="419"/>
      <c r="F26" s="3755"/>
      <c r="G26" s="433"/>
      <c r="H26" s="3755"/>
      <c r="I26" s="419"/>
      <c r="J26" s="3755"/>
      <c r="K26" s="418"/>
      <c r="L26" s="2074"/>
      <c r="M26" s="2069"/>
      <c r="N26" s="2069"/>
      <c r="O26" s="2069"/>
      <c r="P26" s="4490"/>
      <c r="Q26" s="1587"/>
      <c r="R26" s="3518"/>
      <c r="S26" s="3519"/>
      <c r="T26" s="3518"/>
      <c r="U26" s="3519"/>
      <c r="V26" s="3518"/>
      <c r="W26" s="3519"/>
      <c r="X26" s="981"/>
      <c r="Y26" s="4483"/>
      <c r="Z26" s="979"/>
      <c r="AA26" s="979">
        <v>1</v>
      </c>
      <c r="AB26" s="979">
        <v>1</v>
      </c>
      <c r="AC26" s="1496">
        <v>1</v>
      </c>
    </row>
    <row r="27" spans="1:29" ht="15" hidden="1">
      <c r="A27" s="272"/>
      <c r="B27" s="4176" t="s">
        <v>1701</v>
      </c>
      <c r="C27" s="4159"/>
      <c r="D27" s="3176">
        <v>100</v>
      </c>
      <c r="E27" s="4162"/>
      <c r="F27" s="3755">
        <f>SUMIF(89:89,E27,90:90)-SUMIF(89:89,C27,90:90)+100</f>
        <v>100</v>
      </c>
      <c r="G27" s="4159"/>
      <c r="H27" s="3755">
        <f>SUMIF(89:89,G27,90:90)-SUMIF(89:89,C27,90:90)+100</f>
        <v>100</v>
      </c>
      <c r="I27" s="4159"/>
      <c r="J27" s="3755">
        <f>SUMIF(89:89,I27,90:90)-SUMIF(89:89,C27,90:90)+100</f>
        <v>100</v>
      </c>
      <c r="K27" s="415">
        <v>2</v>
      </c>
      <c r="L27" s="2074"/>
      <c r="M27" s="4173" t="s">
        <v>3899</v>
      </c>
      <c r="N27" s="2069"/>
      <c r="O27" s="2069"/>
      <c r="P27" s="4490"/>
      <c r="Q27" s="1587" t="str">
        <f t="shared" ref="Q27:Q47" si="11">B27</f>
        <v>楼层</v>
      </c>
      <c r="R27" s="3518" t="s">
        <v>13</v>
      </c>
      <c r="S27" s="3519">
        <f>F27</f>
        <v>100</v>
      </c>
      <c r="T27" s="3518" t="s">
        <v>13</v>
      </c>
      <c r="U27" s="3519">
        <f>H27</f>
        <v>100</v>
      </c>
      <c r="V27" s="3518" t="s">
        <v>13</v>
      </c>
      <c r="W27" s="3519">
        <f>J27</f>
        <v>100</v>
      </c>
      <c r="X27" s="981"/>
      <c r="Y27" s="4483"/>
      <c r="Z27" s="979" t="str">
        <f>Q27</f>
        <v>楼层</v>
      </c>
      <c r="AA27" s="979">
        <f t="shared" si="3"/>
        <v>1</v>
      </c>
      <c r="AB27" s="979">
        <f t="shared" si="4"/>
        <v>1</v>
      </c>
      <c r="AC27" s="1496">
        <f t="shared" si="5"/>
        <v>1</v>
      </c>
    </row>
    <row r="28" spans="1:29" s="61" customFormat="1" ht="15" hidden="1">
      <c r="A28" s="275"/>
      <c r="B28" s="430" t="s">
        <v>1734</v>
      </c>
      <c r="C28" s="1499"/>
      <c r="D28" s="3182">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490"/>
      <c r="Q28" s="1787" t="str">
        <f t="shared" si="11"/>
        <v>朝向</v>
      </c>
      <c r="R28" s="3516" t="s">
        <v>13</v>
      </c>
      <c r="S28" s="3517">
        <f>F28</f>
        <v>100</v>
      </c>
      <c r="T28" s="3516" t="s">
        <v>13</v>
      </c>
      <c r="U28" s="3517">
        <f>H28</f>
        <v>100</v>
      </c>
      <c r="V28" s="3516" t="s">
        <v>13</v>
      </c>
      <c r="W28" s="3517">
        <f>J28</f>
        <v>100</v>
      </c>
      <c r="X28" s="512"/>
      <c r="Y28" s="4483"/>
      <c r="Z28" s="41" t="str">
        <f>Q28</f>
        <v>朝向</v>
      </c>
      <c r="AA28" s="979">
        <f>D28/F28</f>
        <v>1</v>
      </c>
      <c r="AB28" s="979">
        <f>D28/H28</f>
        <v>1</v>
      </c>
      <c r="AC28" s="1496">
        <f>D28/J28</f>
        <v>1</v>
      </c>
    </row>
    <row r="29" spans="1:29" ht="15.75" thickBot="1">
      <c r="A29" s="272"/>
      <c r="B29" s="4612" t="s">
        <v>3900</v>
      </c>
      <c r="C29" s="4613" t="s">
        <v>3901</v>
      </c>
      <c r="D29" s="3176">
        <v>100</v>
      </c>
      <c r="E29" s="4172" t="s">
        <v>3902</v>
      </c>
      <c r="F29" s="3755">
        <f>SUMIF(93:93,E29,94:94)-SUMIF(93:93,C29,94:94)+100</f>
        <v>102</v>
      </c>
      <c r="G29" s="4614" t="s">
        <v>3902</v>
      </c>
      <c r="H29" s="3755">
        <f>SUMIF(93:93,G29,94:94)-SUMIF(93:93,C29,94:94)+100</f>
        <v>102</v>
      </c>
      <c r="I29" s="4172" t="s">
        <v>3902</v>
      </c>
      <c r="J29" s="3755">
        <f>SUMIF(93:93,I29,94:94)-SUMIF(93:93,C29,94:94)+100</f>
        <v>102</v>
      </c>
      <c r="K29" s="416"/>
      <c r="L29" s="2074"/>
      <c r="M29" s="2069"/>
      <c r="N29" s="2069"/>
      <c r="O29" s="2069"/>
      <c r="P29" s="4490"/>
      <c r="Q29" s="1587" t="str">
        <f t="shared" si="11"/>
        <v>规模</v>
      </c>
      <c r="R29" s="3518" t="s">
        <v>13</v>
      </c>
      <c r="S29" s="3519">
        <f t="shared" ref="S29:S47" si="12">F29</f>
        <v>102</v>
      </c>
      <c r="T29" s="3518" t="s">
        <v>13</v>
      </c>
      <c r="U29" s="3519">
        <f t="shared" ref="U29:U47" si="13">H29</f>
        <v>102</v>
      </c>
      <c r="V29" s="3518" t="s">
        <v>13</v>
      </c>
      <c r="W29" s="3519">
        <f t="shared" ref="W29:W47" si="14">J29</f>
        <v>102</v>
      </c>
      <c r="X29" s="981"/>
      <c r="Y29" s="4483"/>
      <c r="Z29" s="979" t="str">
        <f t="shared" ref="Z29:Z47" si="15">Q29</f>
        <v>规模</v>
      </c>
      <c r="AA29" s="979">
        <f t="shared" si="3"/>
        <v>0.98039215686274506</v>
      </c>
      <c r="AB29" s="979">
        <f t="shared" si="4"/>
        <v>0.98039215686274506</v>
      </c>
      <c r="AC29" s="1496">
        <f t="shared" si="5"/>
        <v>0.98039215686274506</v>
      </c>
    </row>
    <row r="30" spans="1:29" ht="15" hidden="1">
      <c r="A30" s="272"/>
      <c r="B30" s="841"/>
      <c r="C30" s="1450"/>
      <c r="D30" s="3176">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490"/>
      <c r="Q30" s="1587">
        <f t="shared" si="11"/>
        <v>0</v>
      </c>
      <c r="R30" s="3518" t="s">
        <v>13</v>
      </c>
      <c r="S30" s="3519">
        <f t="shared" si="12"/>
        <v>100</v>
      </c>
      <c r="T30" s="3518" t="s">
        <v>13</v>
      </c>
      <c r="U30" s="3519">
        <f t="shared" si="13"/>
        <v>100</v>
      </c>
      <c r="V30" s="3518" t="s">
        <v>13</v>
      </c>
      <c r="W30" s="3519">
        <f t="shared" si="14"/>
        <v>100</v>
      </c>
      <c r="X30" s="981"/>
      <c r="Y30" s="4483"/>
      <c r="Z30" s="979">
        <f t="shared" si="15"/>
        <v>0</v>
      </c>
      <c r="AA30" s="979">
        <f t="shared" si="3"/>
        <v>1</v>
      </c>
      <c r="AB30" s="979">
        <f t="shared" si="4"/>
        <v>1</v>
      </c>
      <c r="AC30" s="1496">
        <f t="shared" si="5"/>
        <v>1</v>
      </c>
    </row>
    <row r="31" spans="1:29" ht="15" hidden="1">
      <c r="A31" s="272"/>
      <c r="B31" s="841"/>
      <c r="C31" s="1450"/>
      <c r="D31" s="3176">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490"/>
      <c r="Q31" s="1587">
        <f t="shared" si="11"/>
        <v>0</v>
      </c>
      <c r="R31" s="3518" t="s">
        <v>13</v>
      </c>
      <c r="S31" s="3519">
        <f t="shared" si="12"/>
        <v>100</v>
      </c>
      <c r="T31" s="3518" t="s">
        <v>13</v>
      </c>
      <c r="U31" s="3519">
        <f t="shared" si="13"/>
        <v>100</v>
      </c>
      <c r="V31" s="3518" t="s">
        <v>13</v>
      </c>
      <c r="W31" s="3519">
        <f t="shared" si="14"/>
        <v>100</v>
      </c>
      <c r="X31" s="981"/>
      <c r="Y31" s="4483"/>
      <c r="Z31" s="979">
        <f t="shared" si="15"/>
        <v>0</v>
      </c>
      <c r="AA31" s="979">
        <f t="shared" si="3"/>
        <v>1</v>
      </c>
      <c r="AB31" s="979">
        <f t="shared" si="4"/>
        <v>1</v>
      </c>
      <c r="AC31" s="1496">
        <f t="shared" si="5"/>
        <v>1</v>
      </c>
    </row>
    <row r="32" spans="1:29" ht="15.75" hidden="1" thickBot="1">
      <c r="A32" s="278"/>
      <c r="B32" s="434"/>
      <c r="C32" s="1451"/>
      <c r="D32" s="3177">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490"/>
      <c r="Q32" s="1587">
        <f t="shared" si="11"/>
        <v>0</v>
      </c>
      <c r="R32" s="3518" t="s">
        <v>13</v>
      </c>
      <c r="S32" s="3519">
        <f t="shared" si="12"/>
        <v>100</v>
      </c>
      <c r="T32" s="3518" t="s">
        <v>13</v>
      </c>
      <c r="U32" s="3519">
        <f t="shared" si="13"/>
        <v>100</v>
      </c>
      <c r="V32" s="3518" t="s">
        <v>13</v>
      </c>
      <c r="W32" s="3519">
        <f t="shared" si="14"/>
        <v>100</v>
      </c>
      <c r="X32" s="981"/>
      <c r="Y32" s="4483"/>
      <c r="Z32" s="979">
        <f t="shared" si="15"/>
        <v>0</v>
      </c>
      <c r="AA32" s="979">
        <f t="shared" si="3"/>
        <v>1</v>
      </c>
      <c r="AB32" s="979">
        <f t="shared" si="4"/>
        <v>1</v>
      </c>
      <c r="AC32" s="1496">
        <f t="shared" si="5"/>
        <v>1</v>
      </c>
    </row>
    <row r="33" spans="1:29" ht="15">
      <c r="A33" s="280" t="s">
        <v>1612</v>
      </c>
      <c r="B33" s="4177" t="s">
        <v>1735</v>
      </c>
      <c r="C33" s="4160" t="s">
        <v>3903</v>
      </c>
      <c r="D33" s="3183">
        <v>100</v>
      </c>
      <c r="E33" s="4160" t="s">
        <v>3890</v>
      </c>
      <c r="F33" s="3757">
        <f>SUMIF(101:101,E33,102:102)-SUMIF(101:101,C33,102:102)+100</f>
        <v>105</v>
      </c>
      <c r="G33" s="4160" t="s">
        <v>3903</v>
      </c>
      <c r="H33" s="3755">
        <f>SUMIF(101:101,G33,102:102)-SUMIF(101:101,C33,102:102)+100</f>
        <v>100</v>
      </c>
      <c r="I33" s="4160" t="s">
        <v>3903</v>
      </c>
      <c r="J33" s="3761">
        <f>SUMIF(101:101,I33,102:102)-SUMIF(101:101,C33,102:102)+100</f>
        <v>100</v>
      </c>
      <c r="K33" s="415">
        <v>5</v>
      </c>
      <c r="L33" s="2074"/>
      <c r="M33" s="4173" t="s">
        <v>3898</v>
      </c>
      <c r="N33" s="2069"/>
      <c r="O33" s="2069"/>
      <c r="P33" s="4484" t="s">
        <v>1614</v>
      </c>
      <c r="Q33" s="1587" t="str">
        <f t="shared" si="11"/>
        <v>建筑类型</v>
      </c>
      <c r="R33" s="3518" t="s">
        <v>13</v>
      </c>
      <c r="S33" s="3519">
        <f t="shared" si="12"/>
        <v>105</v>
      </c>
      <c r="T33" s="3518" t="s">
        <v>13</v>
      </c>
      <c r="U33" s="3519">
        <f t="shared" si="13"/>
        <v>100</v>
      </c>
      <c r="V33" s="3518" t="s">
        <v>13</v>
      </c>
      <c r="W33" s="3519">
        <f t="shared" si="14"/>
        <v>100</v>
      </c>
      <c r="X33" s="981"/>
      <c r="Y33" s="4487" t="s">
        <v>1614</v>
      </c>
      <c r="Z33" s="979" t="str">
        <f t="shared" si="15"/>
        <v>建筑类型</v>
      </c>
      <c r="AA33" s="979">
        <f t="shared" si="3"/>
        <v>0.95238095238095233</v>
      </c>
      <c r="AB33" s="979">
        <f t="shared" si="4"/>
        <v>1</v>
      </c>
      <c r="AC33" s="1496">
        <f t="shared" si="5"/>
        <v>1</v>
      </c>
    </row>
    <row r="34" spans="1:29" s="297" customFormat="1" ht="15">
      <c r="A34" s="295"/>
      <c r="B34" s="270" t="s">
        <v>1615</v>
      </c>
      <c r="C34" s="296">
        <f>'数据-汇总表'!F19</f>
        <v>1048.8</v>
      </c>
      <c r="D34" s="3174">
        <v>100</v>
      </c>
      <c r="E34" s="274">
        <v>300</v>
      </c>
      <c r="F34" s="3758">
        <f>LOOKUP(E34,104:104,105:105)-LOOKUP(C34,104:104,105:105)+100</f>
        <v>104</v>
      </c>
      <c r="G34" s="273">
        <v>120</v>
      </c>
      <c r="H34" s="3750">
        <f>LOOKUP(G34,104:104,105:105)-LOOKUP(C34,104:104,105:105)+100</f>
        <v>106</v>
      </c>
      <c r="I34" s="273">
        <v>99</v>
      </c>
      <c r="J34" s="3750">
        <f>LOOKUP(I34,104:104,105:105)-LOOKUP(C34,104:104,105:105)+100</f>
        <v>106</v>
      </c>
      <c r="K34" s="416"/>
      <c r="L34" s="2073"/>
      <c r="M34" s="2075"/>
      <c r="N34" s="2075"/>
      <c r="O34" s="2075"/>
      <c r="P34" s="4485"/>
      <c r="Q34" s="409" t="str">
        <f t="shared" si="11"/>
        <v>项目建筑规模</v>
      </c>
      <c r="R34" s="3520" t="s">
        <v>13</v>
      </c>
      <c r="S34" s="3521">
        <f t="shared" si="12"/>
        <v>104</v>
      </c>
      <c r="T34" s="3520" t="s">
        <v>13</v>
      </c>
      <c r="U34" s="3521">
        <f t="shared" si="13"/>
        <v>106</v>
      </c>
      <c r="V34" s="3520" t="s">
        <v>13</v>
      </c>
      <c r="W34" s="3521">
        <f t="shared" si="14"/>
        <v>106</v>
      </c>
      <c r="X34" s="517"/>
      <c r="Y34" s="4487"/>
      <c r="Z34" s="518" t="str">
        <f t="shared" si="15"/>
        <v>项目建筑规模</v>
      </c>
      <c r="AA34" s="979">
        <f t="shared" si="3"/>
        <v>0.96153846153846156</v>
      </c>
      <c r="AB34" s="979">
        <f t="shared" si="4"/>
        <v>0.94339622641509435</v>
      </c>
      <c r="AC34" s="1496">
        <f t="shared" si="5"/>
        <v>0.94339622641509435</v>
      </c>
    </row>
    <row r="35" spans="1:29" ht="15">
      <c r="A35" s="298"/>
      <c r="B35" s="270" t="s">
        <v>1616</v>
      </c>
      <c r="C35" s="4161" t="s">
        <v>3873</v>
      </c>
      <c r="D35" s="3176">
        <v>100</v>
      </c>
      <c r="E35" s="4161" t="s">
        <v>3879</v>
      </c>
      <c r="F35" s="3757">
        <f>SUMIF(106:106,E35,107:107)-SUMIF(106:106,C35,107:107)+100</f>
        <v>102</v>
      </c>
      <c r="G35" s="4161" t="s">
        <v>3879</v>
      </c>
      <c r="H35" s="3755">
        <f>SUMIF(106:106,G35,107:107)-SUMIF(106:106,C35,107:107)+100</f>
        <v>102</v>
      </c>
      <c r="I35" s="4161" t="s">
        <v>3879</v>
      </c>
      <c r="J35" s="3755">
        <f>SUMIF(106:106,I35,107:107)-SUMIF(106:106,C35,107:107)+100</f>
        <v>102</v>
      </c>
      <c r="K35" s="415">
        <v>2</v>
      </c>
      <c r="L35" s="2074"/>
      <c r="M35" s="2069"/>
      <c r="N35" s="2069"/>
      <c r="O35" s="2069"/>
      <c r="P35" s="4485"/>
      <c r="Q35" s="1587" t="str">
        <f t="shared" si="11"/>
        <v>建筑结构</v>
      </c>
      <c r="R35" s="3518" t="s">
        <v>13</v>
      </c>
      <c r="S35" s="3519">
        <f t="shared" si="12"/>
        <v>102</v>
      </c>
      <c r="T35" s="3518" t="s">
        <v>13</v>
      </c>
      <c r="U35" s="3519">
        <f t="shared" si="13"/>
        <v>102</v>
      </c>
      <c r="V35" s="3518" t="s">
        <v>13</v>
      </c>
      <c r="W35" s="3519">
        <f t="shared" si="14"/>
        <v>102</v>
      </c>
      <c r="X35" s="981"/>
      <c r="Y35" s="4487"/>
      <c r="Z35" s="979" t="str">
        <f t="shared" si="15"/>
        <v>建筑结构</v>
      </c>
      <c r="AA35" s="979">
        <f t="shared" si="3"/>
        <v>0.98039215686274506</v>
      </c>
      <c r="AB35" s="979">
        <f t="shared" si="4"/>
        <v>0.98039215686274506</v>
      </c>
      <c r="AC35" s="1496">
        <f t="shared" si="5"/>
        <v>0.98039215686274506</v>
      </c>
    </row>
    <row r="36" spans="1:29" ht="15">
      <c r="A36" s="298"/>
      <c r="B36" s="4175" t="s">
        <v>1703</v>
      </c>
      <c r="C36" s="4161" t="s">
        <v>3874</v>
      </c>
      <c r="D36" s="3176">
        <v>100</v>
      </c>
      <c r="E36" s="4161" t="s">
        <v>3874</v>
      </c>
      <c r="F36" s="3757">
        <f>SUMIF(108:108,E36,109:109)-SUMIF(108:108,C36,109:109)+100</f>
        <v>100</v>
      </c>
      <c r="G36" s="4161" t="s">
        <v>3874</v>
      </c>
      <c r="H36" s="3755">
        <f>SUMIF(108:108,G36,109:109)-SUMIF(108:108,C36,109:109)+100</f>
        <v>100</v>
      </c>
      <c r="I36" s="4161" t="s">
        <v>3874</v>
      </c>
      <c r="J36" s="3755">
        <f>SUMIF(108:108,I36,109:109)-SUMIF(108:108,C36,109:109)+100</f>
        <v>100</v>
      </c>
      <c r="K36" s="415">
        <v>2</v>
      </c>
      <c r="L36" s="2074"/>
      <c r="M36" s="2069"/>
      <c r="N36" s="2069"/>
      <c r="O36" s="2069"/>
      <c r="P36" s="4485"/>
      <c r="Q36" s="1587" t="str">
        <f t="shared" si="11"/>
        <v>公共部分装修</v>
      </c>
      <c r="R36" s="3518" t="s">
        <v>13</v>
      </c>
      <c r="S36" s="3519">
        <f t="shared" si="12"/>
        <v>100</v>
      </c>
      <c r="T36" s="3518" t="s">
        <v>13</v>
      </c>
      <c r="U36" s="3519">
        <f t="shared" si="13"/>
        <v>100</v>
      </c>
      <c r="V36" s="3518" t="s">
        <v>13</v>
      </c>
      <c r="W36" s="3519">
        <f t="shared" si="14"/>
        <v>100</v>
      </c>
      <c r="X36" s="981"/>
      <c r="Y36" s="4487"/>
      <c r="Z36" s="979" t="str">
        <f t="shared" si="15"/>
        <v>公共部分装修</v>
      </c>
      <c r="AA36" s="979">
        <f t="shared" si="3"/>
        <v>1</v>
      </c>
      <c r="AB36" s="979">
        <f t="shared" si="4"/>
        <v>1</v>
      </c>
      <c r="AC36" s="1496">
        <f t="shared" si="5"/>
        <v>1</v>
      </c>
    </row>
    <row r="37" spans="1:29" ht="15">
      <c r="A37" s="298"/>
      <c r="B37" s="270" t="s">
        <v>1704</v>
      </c>
      <c r="C37" s="300">
        <f>'数据-取费表'!N6</f>
        <v>0.62</v>
      </c>
      <c r="D37" s="3176">
        <v>100</v>
      </c>
      <c r="E37" s="300">
        <v>0.77</v>
      </c>
      <c r="F37" s="3757">
        <f>LOOKUP(E37,111:111,112:112)-LOOKUP(C37,111:111,112:112)+100</f>
        <v>101</v>
      </c>
      <c r="G37" s="300">
        <v>0.8</v>
      </c>
      <c r="H37" s="3757">
        <f>LOOKUP(G37,111:111,112:112)-LOOKUP(C37,111:111,112:112)+100</f>
        <v>102</v>
      </c>
      <c r="I37" s="300">
        <v>0.7</v>
      </c>
      <c r="J37" s="3755">
        <f>LOOKUP(I37,111:111,112:112)-LOOKUP(C37,111:111,112:112)+100</f>
        <v>101</v>
      </c>
      <c r="K37" s="415">
        <v>1</v>
      </c>
      <c r="L37" s="2074"/>
      <c r="M37" s="2069"/>
      <c r="N37" s="2069"/>
      <c r="O37" s="2069"/>
      <c r="P37" s="4485"/>
      <c r="Q37" s="1587" t="str">
        <f t="shared" si="11"/>
        <v>成新度</v>
      </c>
      <c r="R37" s="3518" t="s">
        <v>13</v>
      </c>
      <c r="S37" s="3519">
        <f t="shared" si="12"/>
        <v>101</v>
      </c>
      <c r="T37" s="3518" t="s">
        <v>13</v>
      </c>
      <c r="U37" s="3519">
        <f t="shared" si="13"/>
        <v>102</v>
      </c>
      <c r="V37" s="3518" t="s">
        <v>13</v>
      </c>
      <c r="W37" s="3519">
        <f t="shared" si="14"/>
        <v>101</v>
      </c>
      <c r="X37" s="981"/>
      <c r="Y37" s="4487"/>
      <c r="Z37" s="979" t="str">
        <f t="shared" si="15"/>
        <v>成新度</v>
      </c>
      <c r="AA37" s="979">
        <f t="shared" si="3"/>
        <v>0.99009900990099009</v>
      </c>
      <c r="AB37" s="979">
        <f t="shared" si="4"/>
        <v>0.98039215686274506</v>
      </c>
      <c r="AC37" s="1496">
        <f t="shared" si="5"/>
        <v>0.99009900990099009</v>
      </c>
    </row>
    <row r="38" spans="1:29" s="61" customFormat="1" ht="15" hidden="1">
      <c r="A38" s="299"/>
      <c r="B38" s="270" t="s">
        <v>1736</v>
      </c>
      <c r="C38" s="293"/>
      <c r="D38" s="3174">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485"/>
      <c r="Q38" s="1787" t="str">
        <f t="shared" si="11"/>
        <v>写字楼等级</v>
      </c>
      <c r="R38" s="3516" t="s">
        <v>13</v>
      </c>
      <c r="S38" s="3517">
        <f t="shared" si="12"/>
        <v>100</v>
      </c>
      <c r="T38" s="3516" t="s">
        <v>13</v>
      </c>
      <c r="U38" s="3517">
        <f t="shared" si="13"/>
        <v>100</v>
      </c>
      <c r="V38" s="3516" t="s">
        <v>13</v>
      </c>
      <c r="W38" s="3517">
        <f t="shared" si="14"/>
        <v>100</v>
      </c>
      <c r="X38" s="512"/>
      <c r="Y38" s="4487"/>
      <c r="Z38" s="41" t="str">
        <f t="shared" si="15"/>
        <v>写字楼等级</v>
      </c>
      <c r="AA38" s="41">
        <f t="shared" si="3"/>
        <v>1</v>
      </c>
      <c r="AB38" s="41">
        <f t="shared" si="4"/>
        <v>1</v>
      </c>
      <c r="AC38" s="596">
        <f t="shared" si="5"/>
        <v>1</v>
      </c>
    </row>
    <row r="39" spans="1:29" ht="15">
      <c r="A39" s="298"/>
      <c r="B39" s="270" t="s">
        <v>1737</v>
      </c>
      <c r="C39" s="4161" t="s">
        <v>3875</v>
      </c>
      <c r="D39" s="3176">
        <v>100</v>
      </c>
      <c r="E39" s="4161" t="s">
        <v>3875</v>
      </c>
      <c r="F39" s="3757">
        <f>SUMIF(115:115,E39,116:116)-SUMIF(115:115,C39,116:116)+100</f>
        <v>100</v>
      </c>
      <c r="G39" s="4161" t="s">
        <v>3875</v>
      </c>
      <c r="H39" s="3755">
        <f>SUMIF(115:115,G39,116:116)-SUMIF(115:115,C39,116:116)+100</f>
        <v>100</v>
      </c>
      <c r="I39" s="4161" t="s">
        <v>3875</v>
      </c>
      <c r="J39" s="3755">
        <f>SUMIF(115:115,I39,116:116)-SUMIF(115:115,C39,116:116)+100</f>
        <v>100</v>
      </c>
      <c r="K39" s="415">
        <v>2</v>
      </c>
      <c r="L39" s="2074"/>
      <c r="M39" s="2069"/>
      <c r="N39" s="2069"/>
      <c r="O39" s="2069"/>
      <c r="P39" s="4485" t="s">
        <v>1614</v>
      </c>
      <c r="Q39" s="1587" t="str">
        <f t="shared" si="11"/>
        <v>物业管理</v>
      </c>
      <c r="R39" s="3518" t="s">
        <v>13</v>
      </c>
      <c r="S39" s="3519">
        <f t="shared" si="12"/>
        <v>100</v>
      </c>
      <c r="T39" s="3518" t="s">
        <v>13</v>
      </c>
      <c r="U39" s="3519">
        <f t="shared" si="13"/>
        <v>100</v>
      </c>
      <c r="V39" s="3518" t="s">
        <v>13</v>
      </c>
      <c r="W39" s="3519">
        <f t="shared" si="14"/>
        <v>100</v>
      </c>
      <c r="X39" s="981"/>
      <c r="Y39" s="4487" t="s">
        <v>1614</v>
      </c>
      <c r="Z39" s="979" t="str">
        <f t="shared" si="15"/>
        <v>物业管理</v>
      </c>
      <c r="AA39" s="979">
        <f t="shared" si="3"/>
        <v>1</v>
      </c>
      <c r="AB39" s="979">
        <f t="shared" si="4"/>
        <v>1</v>
      </c>
      <c r="AC39" s="1496">
        <f t="shared" si="5"/>
        <v>1</v>
      </c>
    </row>
    <row r="40" spans="1:29" ht="15" hidden="1">
      <c r="A40" s="298"/>
      <c r="B40" s="270" t="s">
        <v>1705</v>
      </c>
      <c r="C40" s="4161" t="s">
        <v>3876</v>
      </c>
      <c r="D40" s="3176">
        <v>100</v>
      </c>
      <c r="E40" s="4161" t="s">
        <v>3876</v>
      </c>
      <c r="F40" s="3757">
        <f>SUMIF(117:117,E40,118:118)-SUMIF(117:117,C40,118:118)+100</f>
        <v>100</v>
      </c>
      <c r="G40" s="4161" t="s">
        <v>3876</v>
      </c>
      <c r="H40" s="3755">
        <f>SUMIF(117:117,G40,118:118)-SUMIF(117:117,C40,118:118)+100</f>
        <v>100</v>
      </c>
      <c r="I40" s="4161" t="s">
        <v>3876</v>
      </c>
      <c r="J40" s="3755">
        <f>SUMIF(117:117,I40,118:118)-SUMIF(117:117,C40,118:118)+100</f>
        <v>100</v>
      </c>
      <c r="K40" s="415"/>
      <c r="L40" s="2074"/>
      <c r="M40" s="2069"/>
      <c r="N40" s="2069"/>
      <c r="O40" s="2069"/>
      <c r="P40" s="4485"/>
      <c r="Q40" s="1587" t="str">
        <f t="shared" si="11"/>
        <v>市政基础设施</v>
      </c>
      <c r="R40" s="3518" t="s">
        <v>13</v>
      </c>
      <c r="S40" s="3519">
        <f t="shared" si="12"/>
        <v>100</v>
      </c>
      <c r="T40" s="3518" t="s">
        <v>13</v>
      </c>
      <c r="U40" s="3519">
        <f t="shared" si="13"/>
        <v>100</v>
      </c>
      <c r="V40" s="3518" t="s">
        <v>13</v>
      </c>
      <c r="W40" s="3519">
        <f t="shared" si="14"/>
        <v>100</v>
      </c>
      <c r="X40" s="981"/>
      <c r="Y40" s="4487"/>
      <c r="Z40" s="979" t="str">
        <f t="shared" si="15"/>
        <v>市政基础设施</v>
      </c>
      <c r="AA40" s="979">
        <f t="shared" si="3"/>
        <v>1</v>
      </c>
      <c r="AB40" s="979">
        <f t="shared" si="4"/>
        <v>1</v>
      </c>
      <c r="AC40" s="1496">
        <f t="shared" si="5"/>
        <v>1</v>
      </c>
    </row>
    <row r="41" spans="1:29" ht="15">
      <c r="A41" s="298"/>
      <c r="B41" s="270" t="s">
        <v>1707</v>
      </c>
      <c r="C41" s="4162" t="s">
        <v>3877</v>
      </c>
      <c r="D41" s="3176">
        <v>100</v>
      </c>
      <c r="E41" s="4162" t="s">
        <v>3877</v>
      </c>
      <c r="F41" s="3757">
        <f>SUMIF(119:119,E41,120:120)-SUMIF(119:119,C41,120:120)+100</f>
        <v>100</v>
      </c>
      <c r="G41" s="4162" t="s">
        <v>3877</v>
      </c>
      <c r="H41" s="3755">
        <f>SUMIF(119:119,G41,120:120)-SUMIF(119:119,C41,120:120)+100</f>
        <v>100</v>
      </c>
      <c r="I41" s="4162" t="s">
        <v>3877</v>
      </c>
      <c r="J41" s="3755">
        <f>SUMIF(119:119,I41,120:120)-SUMIF(119:119,C41,120:120)+100</f>
        <v>100</v>
      </c>
      <c r="K41" s="415">
        <v>5</v>
      </c>
      <c r="L41" s="2074"/>
      <c r="M41" s="2069"/>
      <c r="N41" s="2069"/>
      <c r="O41" s="2069"/>
      <c r="P41" s="4485"/>
      <c r="Q41" s="1587" t="str">
        <f t="shared" si="11"/>
        <v>层高</v>
      </c>
      <c r="R41" s="3518" t="s">
        <v>13</v>
      </c>
      <c r="S41" s="3519">
        <f t="shared" si="12"/>
        <v>100</v>
      </c>
      <c r="T41" s="3518" t="s">
        <v>13</v>
      </c>
      <c r="U41" s="3519">
        <f t="shared" si="13"/>
        <v>100</v>
      </c>
      <c r="V41" s="3518" t="s">
        <v>13</v>
      </c>
      <c r="W41" s="3519">
        <f t="shared" si="14"/>
        <v>100</v>
      </c>
      <c r="X41" s="981"/>
      <c r="Y41" s="4487"/>
      <c r="Z41" s="979" t="str">
        <f t="shared" si="15"/>
        <v>层高</v>
      </c>
      <c r="AA41" s="979">
        <f t="shared" si="3"/>
        <v>1</v>
      </c>
      <c r="AB41" s="979">
        <f t="shared" si="4"/>
        <v>1</v>
      </c>
      <c r="AC41" s="1496">
        <f t="shared" si="5"/>
        <v>1</v>
      </c>
    </row>
    <row r="42" spans="1:29" s="297" customFormat="1" ht="15" hidden="1">
      <c r="A42" s="295"/>
      <c r="B42" s="980" t="s">
        <v>1738</v>
      </c>
      <c r="C42" s="277"/>
      <c r="D42" s="3176">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485"/>
      <c r="Q42" s="409" t="str">
        <f t="shared" si="11"/>
        <v>单套建筑面积</v>
      </c>
      <c r="R42" s="3520" t="s">
        <v>13</v>
      </c>
      <c r="S42" s="3521">
        <f t="shared" si="12"/>
        <v>100</v>
      </c>
      <c r="T42" s="3520" t="s">
        <v>13</v>
      </c>
      <c r="U42" s="3521">
        <f t="shared" si="13"/>
        <v>100</v>
      </c>
      <c r="V42" s="3520" t="s">
        <v>13</v>
      </c>
      <c r="W42" s="3521">
        <f t="shared" si="14"/>
        <v>100</v>
      </c>
      <c r="X42" s="517"/>
      <c r="Y42" s="4487"/>
      <c r="Z42" s="518" t="str">
        <f t="shared" si="15"/>
        <v>单套建筑面积</v>
      </c>
      <c r="AA42" s="979">
        <f t="shared" si="3"/>
        <v>1</v>
      </c>
      <c r="AB42" s="979">
        <f t="shared" si="4"/>
        <v>1</v>
      </c>
      <c r="AC42" s="1496">
        <f t="shared" si="5"/>
        <v>1</v>
      </c>
    </row>
    <row r="43" spans="1:29" ht="15">
      <c r="A43" s="298"/>
      <c r="B43" s="270" t="s">
        <v>1710</v>
      </c>
      <c r="C43" s="4161" t="s">
        <v>3878</v>
      </c>
      <c r="D43" s="3176">
        <v>100</v>
      </c>
      <c r="E43" s="4161" t="s">
        <v>3874</v>
      </c>
      <c r="F43" s="3757">
        <f>SUMIF(123:123,E43,124:124)-SUMIF(123:123,C43,124:124)+100</f>
        <v>102</v>
      </c>
      <c r="G43" s="4161" t="s">
        <v>3874</v>
      </c>
      <c r="H43" s="3755">
        <f>SUMIF(123:123,G43,124:124)-SUMIF(123:123,C43,124:124)+100</f>
        <v>102</v>
      </c>
      <c r="I43" s="4161" t="s">
        <v>3874</v>
      </c>
      <c r="J43" s="3755">
        <f>SUMIF(123:123,I43,124:124)-SUMIF(123:123,C43,124:124)+100</f>
        <v>102</v>
      </c>
      <c r="K43" s="415">
        <v>2</v>
      </c>
      <c r="L43" s="2074"/>
      <c r="M43" s="2069"/>
      <c r="N43" s="2069"/>
      <c r="O43" s="2069"/>
      <c r="P43" s="4485"/>
      <c r="Q43" s="1587" t="str">
        <f t="shared" si="11"/>
        <v>内部装修</v>
      </c>
      <c r="R43" s="3518" t="s">
        <v>13</v>
      </c>
      <c r="S43" s="3519">
        <f t="shared" si="12"/>
        <v>102</v>
      </c>
      <c r="T43" s="3518" t="s">
        <v>13</v>
      </c>
      <c r="U43" s="3519">
        <f t="shared" si="13"/>
        <v>102</v>
      </c>
      <c r="V43" s="3518" t="s">
        <v>13</v>
      </c>
      <c r="W43" s="3519">
        <f t="shared" si="14"/>
        <v>102</v>
      </c>
      <c r="X43" s="981"/>
      <c r="Y43" s="4487"/>
      <c r="Z43" s="979" t="str">
        <f t="shared" si="15"/>
        <v>内部装修</v>
      </c>
      <c r="AA43" s="979">
        <f t="shared" si="3"/>
        <v>0.98039215686274506</v>
      </c>
      <c r="AB43" s="979">
        <f t="shared" si="4"/>
        <v>0.98039215686274506</v>
      </c>
      <c r="AC43" s="1496">
        <f t="shared" si="5"/>
        <v>0.98039215686274506</v>
      </c>
    </row>
    <row r="44" spans="1:29" ht="15">
      <c r="A44" s="298"/>
      <c r="B44" s="4175" t="s">
        <v>1625</v>
      </c>
      <c r="C44" s="293" t="s">
        <v>3656</v>
      </c>
      <c r="D44" s="3176">
        <v>100</v>
      </c>
      <c r="E44" s="1449" t="s">
        <v>3657</v>
      </c>
      <c r="F44" s="3757">
        <f>SUMIF(125:125,E44,126:126)-SUMIF(125:125,C44,126:126)+100</f>
        <v>102</v>
      </c>
      <c r="G44" s="1449" t="s">
        <v>3657</v>
      </c>
      <c r="H44" s="3755">
        <f>SUMIF(125:125,G44,126:126)-SUMIF(125:125,C44,126:126)+100</f>
        <v>102</v>
      </c>
      <c r="I44" s="1449" t="s">
        <v>3657</v>
      </c>
      <c r="J44" s="3755">
        <f>SUMIF(125:125,I44,126:126)-SUMIF(125:125,C44,126:126)+100</f>
        <v>102</v>
      </c>
      <c r="K44" s="415">
        <v>2</v>
      </c>
      <c r="L44" s="2074"/>
      <c r="M44" s="2069"/>
      <c r="N44" s="2069"/>
      <c r="O44" s="2069"/>
      <c r="P44" s="4485"/>
      <c r="Q44" s="1587" t="str">
        <f t="shared" si="11"/>
        <v>内部装修维护情况</v>
      </c>
      <c r="R44" s="3518" t="s">
        <v>13</v>
      </c>
      <c r="S44" s="3519">
        <f t="shared" si="12"/>
        <v>102</v>
      </c>
      <c r="T44" s="3518" t="s">
        <v>13</v>
      </c>
      <c r="U44" s="3519">
        <f t="shared" si="13"/>
        <v>102</v>
      </c>
      <c r="V44" s="3518" t="s">
        <v>13</v>
      </c>
      <c r="W44" s="3519">
        <f t="shared" si="14"/>
        <v>102</v>
      </c>
      <c r="X44" s="981"/>
      <c r="Y44" s="4487"/>
      <c r="Z44" s="979" t="str">
        <f t="shared" si="15"/>
        <v>内部装修维护情况</v>
      </c>
      <c r="AA44" s="979">
        <f t="shared" si="3"/>
        <v>0.98039215686274506</v>
      </c>
      <c r="AB44" s="979">
        <f t="shared" si="4"/>
        <v>0.98039215686274506</v>
      </c>
      <c r="AC44" s="1496">
        <f t="shared" si="5"/>
        <v>0.98039215686274506</v>
      </c>
    </row>
    <row r="45" spans="1:29" s="61" customFormat="1" ht="15.75" thickBot="1">
      <c r="A45" s="299"/>
      <c r="B45" s="4167" t="s">
        <v>3885</v>
      </c>
      <c r="C45" s="300">
        <v>0.8</v>
      </c>
      <c r="D45" s="3174">
        <v>100</v>
      </c>
      <c r="E45" s="4168">
        <v>0.7</v>
      </c>
      <c r="F45" s="3758">
        <f>SUMIF(127:127,E45,128:128)-SUMIF(127:127,C45,128:128)+100</f>
        <v>98</v>
      </c>
      <c r="G45" s="4168">
        <v>0.7</v>
      </c>
      <c r="H45" s="3750">
        <f>SUMIF(127:127,G45,128:128)-SUMIF(127:127,C45,128:128)+100</f>
        <v>98</v>
      </c>
      <c r="I45" s="4168">
        <v>0.6</v>
      </c>
      <c r="J45" s="3750">
        <f>SUMIF(127:127,I45,128:128)-SUMIF(127:127,C45,128:128)+100</f>
        <v>96</v>
      </c>
      <c r="K45" s="416"/>
      <c r="L45" s="2070"/>
      <c r="M45" s="2021"/>
      <c r="N45" s="2021"/>
      <c r="O45" s="2021"/>
      <c r="P45" s="4485"/>
      <c r="Q45" s="1787" t="str">
        <f t="shared" si="11"/>
        <v>使用率</v>
      </c>
      <c r="R45" s="3516" t="s">
        <v>13</v>
      </c>
      <c r="S45" s="3517">
        <f t="shared" si="12"/>
        <v>98</v>
      </c>
      <c r="T45" s="3516" t="s">
        <v>13</v>
      </c>
      <c r="U45" s="3517">
        <f t="shared" si="13"/>
        <v>98</v>
      </c>
      <c r="V45" s="3516" t="s">
        <v>13</v>
      </c>
      <c r="W45" s="3517">
        <f t="shared" si="14"/>
        <v>96</v>
      </c>
      <c r="X45" s="512"/>
      <c r="Y45" s="4487"/>
      <c r="Z45" s="41" t="str">
        <f t="shared" si="15"/>
        <v>使用率</v>
      </c>
      <c r="AA45" s="41">
        <f t="shared" si="3"/>
        <v>1.0204081632653061</v>
      </c>
      <c r="AB45" s="41">
        <f t="shared" si="4"/>
        <v>1.0204081632653061</v>
      </c>
      <c r="AC45" s="596">
        <f t="shared" si="5"/>
        <v>1.0416666666666667</v>
      </c>
    </row>
    <row r="46" spans="1:29" ht="15" hidden="1">
      <c r="A46" s="298"/>
      <c r="B46" s="824">
        <v>111</v>
      </c>
      <c r="C46" s="277"/>
      <c r="D46" s="3176">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485"/>
      <c r="Q46" s="1587">
        <f t="shared" si="11"/>
        <v>111</v>
      </c>
      <c r="R46" s="3518" t="s">
        <v>13</v>
      </c>
      <c r="S46" s="3519">
        <f t="shared" si="12"/>
        <v>100</v>
      </c>
      <c r="T46" s="3518" t="s">
        <v>13</v>
      </c>
      <c r="U46" s="3519">
        <f t="shared" si="13"/>
        <v>100</v>
      </c>
      <c r="V46" s="3518" t="s">
        <v>13</v>
      </c>
      <c r="W46" s="3519">
        <f t="shared" si="14"/>
        <v>100</v>
      </c>
      <c r="X46" s="981"/>
      <c r="Y46" s="4487"/>
      <c r="Z46" s="979">
        <f t="shared" si="15"/>
        <v>111</v>
      </c>
      <c r="AA46" s="979">
        <f t="shared" si="3"/>
        <v>1</v>
      </c>
      <c r="AB46" s="979">
        <f t="shared" si="4"/>
        <v>1</v>
      </c>
      <c r="AC46" s="1496">
        <f t="shared" si="5"/>
        <v>1</v>
      </c>
    </row>
    <row r="47" spans="1:29" ht="15.75" hidden="1" thickBot="1">
      <c r="A47" s="303"/>
      <c r="B47" s="1441">
        <v>111</v>
      </c>
      <c r="C47" s="279"/>
      <c r="D47" s="3177">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486"/>
      <c r="Q47" s="1587">
        <f t="shared" si="11"/>
        <v>111</v>
      </c>
      <c r="R47" s="3518" t="s">
        <v>13</v>
      </c>
      <c r="S47" s="3519">
        <f t="shared" si="12"/>
        <v>100</v>
      </c>
      <c r="T47" s="3518" t="s">
        <v>13</v>
      </c>
      <c r="U47" s="3519">
        <f t="shared" si="13"/>
        <v>100</v>
      </c>
      <c r="V47" s="3518" t="s">
        <v>13</v>
      </c>
      <c r="W47" s="3519">
        <f t="shared" si="14"/>
        <v>100</v>
      </c>
      <c r="X47" s="981"/>
      <c r="Y47" s="4488"/>
      <c r="Z47" s="979">
        <f t="shared" si="15"/>
        <v>111</v>
      </c>
      <c r="AA47" s="979">
        <f t="shared" si="3"/>
        <v>1</v>
      </c>
      <c r="AB47" s="979">
        <f t="shared" si="4"/>
        <v>1</v>
      </c>
      <c r="AC47" s="1496">
        <f t="shared" si="5"/>
        <v>1</v>
      </c>
    </row>
    <row r="48" spans="1:29" ht="15">
      <c r="A48" s="304" t="s">
        <v>1626</v>
      </c>
      <c r="B48" s="305"/>
      <c r="C48" s="829" t="s">
        <v>0</v>
      </c>
      <c r="D48" s="306"/>
      <c r="E48" s="3166">
        <v>3</v>
      </c>
      <c r="F48" s="3510"/>
      <c r="G48" s="3594">
        <v>2.6</v>
      </c>
      <c r="H48" s="3512"/>
      <c r="I48" s="3166">
        <v>2.4500000000000002</v>
      </c>
      <c r="J48" s="3512"/>
      <c r="K48" s="3106"/>
      <c r="L48" s="2076"/>
      <c r="M48" s="2069"/>
      <c r="N48" s="2069"/>
      <c r="O48" s="2069"/>
      <c r="P48" s="4453" t="str">
        <f>A48</f>
        <v>成交单价（元/平方米）</v>
      </c>
      <c r="Q48" s="4480"/>
      <c r="R48" s="4481">
        <f>E48</f>
        <v>3</v>
      </c>
      <c r="S48" s="4481"/>
      <c r="T48" s="4481">
        <f>G48</f>
        <v>2.6</v>
      </c>
      <c r="U48" s="4481"/>
      <c r="V48" s="4481">
        <f>I48</f>
        <v>2.4500000000000002</v>
      </c>
      <c r="W48" s="4481"/>
      <c r="X48" s="283"/>
      <c r="Y48" s="519"/>
      <c r="Z48" s="283"/>
      <c r="AA48" s="283"/>
      <c r="AB48" s="283"/>
      <c r="AC48" s="429"/>
    </row>
    <row r="49" spans="1:29" ht="15.75" thickBot="1">
      <c r="A49" s="307" t="s">
        <v>1711</v>
      </c>
      <c r="B49" s="308"/>
      <c r="C49" s="3149">
        <f>R50</f>
        <v>2.2000000000000002</v>
      </c>
      <c r="D49" s="1782" t="s">
        <v>2054</v>
      </c>
      <c r="E49" s="3151">
        <f>R49</f>
        <v>2.4</v>
      </c>
      <c r="F49" s="3044"/>
      <c r="G49" s="3149">
        <f>T49</f>
        <v>2.1</v>
      </c>
      <c r="H49" s="3044"/>
      <c r="I49" s="3151">
        <f>V49</f>
        <v>2.1</v>
      </c>
      <c r="J49" s="3044"/>
      <c r="K49" s="3099">
        <f>F49+H49+J49</f>
        <v>0</v>
      </c>
      <c r="L49" s="2076"/>
      <c r="M49" s="2069"/>
      <c r="N49" s="2069"/>
      <c r="O49" s="2069"/>
      <c r="P49" s="4453" t="str">
        <f>A49</f>
        <v>比较价值（元/平方米）</v>
      </c>
      <c r="Q49" s="4480"/>
      <c r="R49" s="4481">
        <f>IF(F1="售价",ROUND(PRODUCT(R48,AA7:AA47),0),ROUND(PRODUCT(R48,AA7:AA47),1))</f>
        <v>2.4</v>
      </c>
      <c r="S49" s="4481"/>
      <c r="T49" s="4481">
        <f>IF(F1="售价",ROUND(PRODUCT(T48,AB7:AB47),0),ROUND(PRODUCT(T48,AB7:AB47),1))</f>
        <v>2.1</v>
      </c>
      <c r="U49" s="4481"/>
      <c r="V49" s="4481">
        <f>IF(F1="售价",ROUND(PRODUCT(V48,AC7:AC47),0),ROUND(PRODUCT(V48,AC7:AC47),1))</f>
        <v>2.1</v>
      </c>
      <c r="W49" s="4481"/>
      <c r="X49" s="283"/>
      <c r="Y49" s="283"/>
      <c r="Z49" s="283"/>
      <c r="AA49" s="283"/>
      <c r="AB49" s="283"/>
      <c r="AC49" s="429"/>
    </row>
    <row r="50" spans="1:29" ht="15.75" thickBot="1">
      <c r="A50" s="309" t="s">
        <v>1712</v>
      </c>
      <c r="B50" s="310"/>
      <c r="C50" s="3167">
        <f>R50</f>
        <v>2.2000000000000002</v>
      </c>
      <c r="D50" s="259"/>
      <c r="E50" s="259"/>
      <c r="F50" s="259"/>
      <c r="G50" s="259"/>
      <c r="H50" s="259"/>
      <c r="I50" s="259"/>
      <c r="J50" s="311"/>
      <c r="K50" s="520"/>
      <c r="L50" s="2076"/>
      <c r="M50" s="2069"/>
      <c r="N50" s="2069"/>
      <c r="O50" s="2069"/>
      <c r="P50" s="4518" t="str">
        <f>A50</f>
        <v>估价对象XX用房的比较价值（楼面单价，元/平方米）</v>
      </c>
      <c r="Q50" s="4519"/>
      <c r="R50" s="4520">
        <f>IF(F1="售价",ROUND(IF(D49="简单平均",AVERAGE(R49:V49),R49*F49+T49*H49+V49*J49),0),ROUND(IF(D49="简单平均",AVERAGE(R49:V49),R49*F49+T49*H49+V49*J49),1))</f>
        <v>2.2000000000000002</v>
      </c>
      <c r="S50" s="4520"/>
      <c r="T50" s="4520"/>
      <c r="U50" s="4520"/>
      <c r="V50" s="4520"/>
      <c r="W50" s="4520"/>
      <c r="X50" s="1482"/>
      <c r="Y50" s="1482"/>
      <c r="Z50" s="1482"/>
      <c r="AA50" s="1482"/>
      <c r="AB50" s="1482"/>
      <c r="AC50" s="1483"/>
    </row>
    <row r="51" spans="1:29">
      <c r="A51" s="4158" t="s">
        <v>3870</v>
      </c>
      <c r="B51" s="2069">
        <f>ROUND(C50*1.1,2)</f>
        <v>2.42</v>
      </c>
      <c r="C51" s="2069"/>
      <c r="D51" s="2069"/>
      <c r="E51" s="2069">
        <v>2012</v>
      </c>
      <c r="F51" s="2069"/>
      <c r="G51" s="2069">
        <v>2014</v>
      </c>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4158" t="s">
        <v>3871</v>
      </c>
      <c r="B52" s="2069">
        <f>ROUND(C50*0.9,2)</f>
        <v>1.98</v>
      </c>
      <c r="C52" s="2069"/>
      <c r="D52" s="2069"/>
      <c r="E52" s="2069">
        <f>ROUND(1-(2026-E51)/60,2)</f>
        <v>0.77</v>
      </c>
      <c r="F52" s="2069"/>
      <c r="G52" s="2069">
        <f>ROUND(1-(2026-G51)/60,2)</f>
        <v>0.8</v>
      </c>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0.25</v>
      </c>
      <c r="F53" s="317" t="str">
        <f>IF(OR(E53&gt;=0.3,E53&lt;=-0.3),"超过30%","")</f>
        <v/>
      </c>
      <c r="G53" s="316">
        <f>IF(G48&lt;G49,G49/G48-1,G48/G49-1)</f>
        <v>0.23809523809523814</v>
      </c>
      <c r="H53" s="317" t="str">
        <f>IF(OR(G53&gt;=0.3,G53&lt;=-0.3),"超过30%","")</f>
        <v/>
      </c>
      <c r="I53" s="316">
        <f>IF(I48&lt;I49,I49/I48-1,I48/I49-1)</f>
        <v>0.16666666666666674</v>
      </c>
      <c r="J53" s="317" t="str">
        <f>IF(OR(I53&gt;=0.3,I53&lt;=-0.3),"超过30%","")</f>
        <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0.14285714285714279</v>
      </c>
      <c r="F54" s="317" t="str">
        <f>IF(OR(E54&gt;=0.2,E54&lt;=-0.2),"超过20%","")</f>
        <v/>
      </c>
      <c r="G54" s="316">
        <f>IF(G49&lt;I49,I49/G49-1,G49/I49-1)</f>
        <v>0</v>
      </c>
      <c r="H54" s="317" t="str">
        <f>IF(OR(G54&gt;=0.2,G54&lt;=-0.2),"超过20%","")</f>
        <v/>
      </c>
      <c r="I54" s="316">
        <f>IF(I49&lt;E49,E49/I49-1,I49/E49-1)</f>
        <v>0.14285714285714279</v>
      </c>
      <c r="J54" s="317" t="str">
        <f>IF(OR(I54&gt;=0.2,I54&lt;=-0.2),"超过20%","")</f>
        <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0.15384615384615374</v>
      </c>
      <c r="F55" s="317" t="str">
        <f>IF(OR(E55&gt;=0.3,E55&lt;=-0.3),"超过30%","")</f>
        <v/>
      </c>
      <c r="G55" s="316">
        <f>IF(G48&lt;I48,I48/G48-1,G48/I48-1)</f>
        <v>6.1224489795918435E-2</v>
      </c>
      <c r="H55" s="317" t="str">
        <f>IF(OR(G55&gt;=0.3,G55&lt;=-0.3),"超过30%","")</f>
        <v/>
      </c>
      <c r="I55" s="316">
        <f>IF(I48&lt;E48,E48/I48-1,I48/E48-1)</f>
        <v>0.22448979591836715</v>
      </c>
      <c r="J55" s="317" t="str">
        <f>IF(OR(I55&gt;=0.3,I55&lt;=-0.3),"超过30%","")</f>
        <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1716</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1634</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1599</v>
      </c>
      <c r="B62" s="325"/>
      <c r="C62" s="337" t="s">
        <v>1694</v>
      </c>
      <c r="D62" s="4156" t="s">
        <v>3864</v>
      </c>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v>103</v>
      </c>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1637</v>
      </c>
      <c r="B64" s="340" t="s">
        <v>1603</v>
      </c>
      <c r="C64" s="341" t="str">
        <f>C9</f>
        <v>办公</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1606</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t="str">
        <f>B12</f>
        <v>免租期</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t="str">
        <f>B13</f>
        <v>租期</v>
      </c>
      <c r="C73" s="365" t="s">
        <v>3895</v>
      </c>
      <c r="D73" s="365" t="s">
        <v>3897</v>
      </c>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v>100</v>
      </c>
      <c r="D74" s="370">
        <v>104</v>
      </c>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t="str">
        <f>B14</f>
        <v>内涵</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1608</v>
      </c>
      <c r="B77" s="340" t="s">
        <v>1739</v>
      </c>
      <c r="C77" s="382" t="s">
        <v>1639</v>
      </c>
      <c r="D77" s="382" t="s">
        <v>1640</v>
      </c>
      <c r="E77" s="382" t="s">
        <v>1641</v>
      </c>
      <c r="F77" s="382" t="s">
        <v>1642</v>
      </c>
      <c r="G77" s="382" t="s">
        <v>1643</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1644</v>
      </c>
      <c r="C79" s="386" t="s">
        <v>1639</v>
      </c>
      <c r="D79" s="386" t="s">
        <v>1640</v>
      </c>
      <c r="E79" s="386" t="s">
        <v>1641</v>
      </c>
      <c r="F79" s="386" t="s">
        <v>1642</v>
      </c>
      <c r="G79" s="386" t="s">
        <v>1643</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1645</v>
      </c>
      <c r="C81" s="386" t="s">
        <v>1639</v>
      </c>
      <c r="D81" s="386" t="s">
        <v>1640</v>
      </c>
      <c r="E81" s="386" t="s">
        <v>1641</v>
      </c>
      <c r="F81" s="386" t="s">
        <v>1642</v>
      </c>
      <c r="G81" s="386" t="s">
        <v>1643</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1731</v>
      </c>
      <c r="C83" s="453" t="s">
        <v>1717</v>
      </c>
      <c r="D83" s="453" t="s">
        <v>1718</v>
      </c>
      <c r="E83" s="453" t="s">
        <v>1719</v>
      </c>
      <c r="F83" s="453" t="s">
        <v>1720</v>
      </c>
      <c r="G83" s="453" t="s">
        <v>1721</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1740</v>
      </c>
      <c r="C85" s="386" t="s">
        <v>1639</v>
      </c>
      <c r="D85" s="386" t="s">
        <v>1640</v>
      </c>
      <c r="E85" s="386" t="s">
        <v>1641</v>
      </c>
      <c r="F85" s="386" t="s">
        <v>1642</v>
      </c>
      <c r="G85" s="386" t="s">
        <v>1643</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1741</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4152" t="s">
        <v>3889</v>
      </c>
      <c r="D89" s="4152" t="s">
        <v>3872</v>
      </c>
      <c r="E89" s="4152" t="s">
        <v>3888</v>
      </c>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98</v>
      </c>
      <c r="E90" s="355">
        <f t="shared" ref="E90:M90" si="20">D90-$K27</f>
        <v>96</v>
      </c>
      <c r="F90" s="355">
        <f t="shared" si="20"/>
        <v>94</v>
      </c>
      <c r="G90" s="355">
        <f t="shared" si="20"/>
        <v>92</v>
      </c>
      <c r="H90" s="355">
        <f t="shared" si="20"/>
        <v>90</v>
      </c>
      <c r="I90" s="355">
        <f t="shared" si="20"/>
        <v>88</v>
      </c>
      <c r="J90" s="355">
        <f t="shared" si="20"/>
        <v>86</v>
      </c>
      <c r="K90" s="355">
        <f t="shared" si="20"/>
        <v>84</v>
      </c>
      <c r="L90" s="355">
        <f t="shared" si="20"/>
        <v>82</v>
      </c>
      <c r="M90" s="355">
        <f t="shared" si="20"/>
        <v>80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t="str">
        <f>B29</f>
        <v>规模</v>
      </c>
      <c r="C93" s="4152" t="s">
        <v>3901</v>
      </c>
      <c r="D93" s="4152" t="s">
        <v>3902</v>
      </c>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v>100</v>
      </c>
      <c r="D94" s="347">
        <v>102</v>
      </c>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0</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0</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0</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1612</v>
      </c>
      <c r="B101" s="340" t="s">
        <v>1654</v>
      </c>
      <c r="C101" s="4169" t="s">
        <v>3891</v>
      </c>
      <c r="D101" s="4169" t="s">
        <v>3898</v>
      </c>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95</v>
      </c>
      <c r="E102" s="355">
        <f t="shared" si="22"/>
        <v>90</v>
      </c>
      <c r="F102" s="355">
        <f t="shared" si="22"/>
        <v>85</v>
      </c>
      <c r="G102" s="355">
        <f t="shared" si="22"/>
        <v>80</v>
      </c>
      <c r="H102" s="355">
        <f t="shared" si="22"/>
        <v>75</v>
      </c>
      <c r="I102" s="355">
        <f t="shared" si="22"/>
        <v>70</v>
      </c>
      <c r="J102" s="355">
        <f t="shared" si="22"/>
        <v>65</v>
      </c>
      <c r="K102" s="355">
        <f t="shared" si="22"/>
        <v>60</v>
      </c>
      <c r="L102" s="355">
        <f t="shared" si="22"/>
        <v>55</v>
      </c>
      <c r="M102" s="356">
        <f t="shared" si="22"/>
        <v>50</v>
      </c>
      <c r="N102" s="2104"/>
      <c r="O102" s="2104"/>
      <c r="P102" s="2112"/>
      <c r="Q102" s="2090"/>
      <c r="R102" s="2069"/>
      <c r="S102" s="2069"/>
      <c r="T102" s="2069"/>
      <c r="U102" s="2069"/>
      <c r="V102" s="2069"/>
      <c r="W102" s="2069"/>
      <c r="X102" s="2069"/>
      <c r="Y102" s="2069"/>
      <c r="Z102" s="2069"/>
      <c r="AA102" s="2069"/>
      <c r="AB102" s="2069"/>
      <c r="AC102" s="2069"/>
    </row>
    <row r="103" spans="1:29" ht="29.25" thickTop="1">
      <c r="A103" s="272"/>
      <c r="B103" s="349" t="s">
        <v>1655</v>
      </c>
      <c r="C103" s="386" t="str">
        <f>C104&amp;"(含)"&amp;"-"&amp;D104</f>
        <v>0(含)-200</v>
      </c>
      <c r="D103" s="386" t="str">
        <f t="shared" ref="D103:L103" si="23">D104&amp;"(含)"&amp;"-"&amp;E104</f>
        <v>200(含)-500</v>
      </c>
      <c r="E103" s="386" t="str">
        <f t="shared" si="23"/>
        <v>500(含)-1000</v>
      </c>
      <c r="F103" s="386" t="str">
        <f t="shared" si="23"/>
        <v>1000(含)-5000</v>
      </c>
      <c r="G103" s="386" t="str">
        <f t="shared" si="23"/>
        <v>5000(含)-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v>0</v>
      </c>
      <c r="D104" s="5">
        <v>200</v>
      </c>
      <c r="E104" s="5">
        <v>500</v>
      </c>
      <c r="F104" s="5">
        <v>1000</v>
      </c>
      <c r="G104" s="5">
        <v>5000</v>
      </c>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v>100</v>
      </c>
      <c r="D105" s="347">
        <v>98</v>
      </c>
      <c r="E105" s="347">
        <v>96</v>
      </c>
      <c r="F105" s="347">
        <v>94</v>
      </c>
      <c r="G105" s="347">
        <v>92</v>
      </c>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1656</v>
      </c>
      <c r="C106" s="4152" t="s">
        <v>3879</v>
      </c>
      <c r="D106" s="4152" t="s">
        <v>3873</v>
      </c>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98</v>
      </c>
      <c r="E107" s="355">
        <f t="shared" si="24"/>
        <v>96</v>
      </c>
      <c r="F107" s="355">
        <f t="shared" si="24"/>
        <v>94</v>
      </c>
      <c r="G107" s="355">
        <f t="shared" si="24"/>
        <v>92</v>
      </c>
      <c r="H107" s="355">
        <f t="shared" si="24"/>
        <v>90</v>
      </c>
      <c r="I107" s="355">
        <f t="shared" si="24"/>
        <v>88</v>
      </c>
      <c r="J107" s="355">
        <f t="shared" si="24"/>
        <v>86</v>
      </c>
      <c r="K107" s="355">
        <f t="shared" si="24"/>
        <v>84</v>
      </c>
      <c r="L107" s="355">
        <f t="shared" si="24"/>
        <v>82</v>
      </c>
      <c r="M107" s="356">
        <f t="shared" si="24"/>
        <v>80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1658</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98</v>
      </c>
      <c r="E109" s="355">
        <f t="shared" si="25"/>
        <v>96</v>
      </c>
      <c r="F109" s="355">
        <f t="shared" si="25"/>
        <v>94</v>
      </c>
      <c r="G109" s="355">
        <f t="shared" si="25"/>
        <v>92</v>
      </c>
      <c r="H109" s="355">
        <f t="shared" si="25"/>
        <v>90</v>
      </c>
      <c r="I109" s="355">
        <f t="shared" si="25"/>
        <v>88</v>
      </c>
      <c r="J109" s="355">
        <f t="shared" si="25"/>
        <v>86</v>
      </c>
      <c r="K109" s="355">
        <f t="shared" si="25"/>
        <v>84</v>
      </c>
      <c r="L109" s="355">
        <f t="shared" si="25"/>
        <v>82</v>
      </c>
      <c r="M109" s="356">
        <f t="shared" si="25"/>
        <v>80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101</v>
      </c>
      <c r="E112" s="355">
        <f t="shared" ref="E112:M112" si="26">D112+$K37</f>
        <v>102</v>
      </c>
      <c r="F112" s="355">
        <f t="shared" si="26"/>
        <v>103</v>
      </c>
      <c r="G112" s="355">
        <f t="shared" si="26"/>
        <v>104</v>
      </c>
      <c r="H112" s="355">
        <f t="shared" si="26"/>
        <v>105</v>
      </c>
      <c r="I112" s="355">
        <f t="shared" si="26"/>
        <v>106</v>
      </c>
      <c r="J112" s="355">
        <f t="shared" si="26"/>
        <v>107</v>
      </c>
      <c r="K112" s="355">
        <f t="shared" si="26"/>
        <v>108</v>
      </c>
      <c r="L112" s="355">
        <f t="shared" si="26"/>
        <v>109</v>
      </c>
      <c r="M112" s="355">
        <f t="shared" si="26"/>
        <v>110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1742</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1659</v>
      </c>
      <c r="C115" s="4152" t="s">
        <v>3875</v>
      </c>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98</v>
      </c>
      <c r="E116" s="355">
        <f t="shared" si="28"/>
        <v>96</v>
      </c>
      <c r="F116" s="355">
        <f t="shared" si="28"/>
        <v>94</v>
      </c>
      <c r="G116" s="355">
        <f t="shared" si="28"/>
        <v>92</v>
      </c>
      <c r="H116" s="355">
        <f t="shared" si="28"/>
        <v>90</v>
      </c>
      <c r="I116" s="355">
        <f t="shared" si="28"/>
        <v>88</v>
      </c>
      <c r="J116" s="355">
        <f t="shared" si="28"/>
        <v>86</v>
      </c>
      <c r="K116" s="355">
        <f t="shared" si="28"/>
        <v>84</v>
      </c>
      <c r="L116" s="355">
        <f t="shared" si="28"/>
        <v>82</v>
      </c>
      <c r="M116" s="356">
        <f t="shared" si="28"/>
        <v>80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1660</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1743</v>
      </c>
      <c r="C119" s="4170" t="s">
        <v>3877</v>
      </c>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95</v>
      </c>
      <c r="E120" s="355">
        <f t="shared" ref="E120:M120" si="29">D120-$K41</f>
        <v>90</v>
      </c>
      <c r="F120" s="355">
        <f t="shared" si="29"/>
        <v>85</v>
      </c>
      <c r="G120" s="355">
        <f t="shared" si="29"/>
        <v>80</v>
      </c>
      <c r="H120" s="355">
        <f t="shared" si="29"/>
        <v>75</v>
      </c>
      <c r="I120" s="355">
        <f t="shared" si="29"/>
        <v>70</v>
      </c>
      <c r="J120" s="355">
        <f t="shared" si="29"/>
        <v>65</v>
      </c>
      <c r="K120" s="355">
        <f t="shared" si="29"/>
        <v>60</v>
      </c>
      <c r="L120" s="355">
        <f t="shared" si="29"/>
        <v>55</v>
      </c>
      <c r="M120" s="355">
        <f t="shared" si="29"/>
        <v>50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1726</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1662</v>
      </c>
      <c r="C123" s="4152" t="s">
        <v>3874</v>
      </c>
      <c r="D123" s="4152" t="s">
        <v>3878</v>
      </c>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98</v>
      </c>
      <c r="E124" s="355">
        <f t="shared" si="30"/>
        <v>96</v>
      </c>
      <c r="F124" s="355">
        <f t="shared" si="30"/>
        <v>94</v>
      </c>
      <c r="G124" s="355">
        <f t="shared" si="30"/>
        <v>92</v>
      </c>
      <c r="H124" s="355">
        <f t="shared" si="30"/>
        <v>90</v>
      </c>
      <c r="I124" s="355">
        <f t="shared" si="30"/>
        <v>88</v>
      </c>
      <c r="J124" s="355">
        <f t="shared" si="30"/>
        <v>86</v>
      </c>
      <c r="K124" s="355">
        <f t="shared" si="30"/>
        <v>84</v>
      </c>
      <c r="L124" s="355">
        <f t="shared" si="30"/>
        <v>82</v>
      </c>
      <c r="M124" s="356">
        <f t="shared" si="30"/>
        <v>80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1663</v>
      </c>
      <c r="C125" s="386" t="s">
        <v>1639</v>
      </c>
      <c r="D125" s="386" t="s">
        <v>1640</v>
      </c>
      <c r="E125" s="386" t="s">
        <v>1641</v>
      </c>
      <c r="F125" s="386" t="s">
        <v>1642</v>
      </c>
      <c r="G125" s="386" t="s">
        <v>1643</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98</v>
      </c>
      <c r="E126" s="355">
        <f>D126-$K44</f>
        <v>96</v>
      </c>
      <c r="F126" s="355">
        <f>E126-$K44</f>
        <v>94</v>
      </c>
      <c r="G126" s="355">
        <f>F126-$K44</f>
        <v>92</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t="str">
        <f>B45</f>
        <v>使用率</v>
      </c>
      <c r="C127" s="4171">
        <v>0.8</v>
      </c>
      <c r="D127" s="4171">
        <v>0.7</v>
      </c>
      <c r="E127" s="4171">
        <v>0.6</v>
      </c>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v>100</v>
      </c>
      <c r="D128" s="347">
        <v>98</v>
      </c>
      <c r="E128" s="347">
        <v>96</v>
      </c>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E2" xr:uid="{00000000-0002-0000-1B00-000015000000}">
      <formula1>"需扣减承租人权益,——"</formula1>
    </dataValidation>
    <dataValidation type="list" allowBlank="1" showInputMessage="1" showErrorMessage="1" sqref="H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 type="list" allowBlank="1" showInputMessage="1" showErrorMessage="1" sqref="C2" xr:uid="{00000000-0002-0000-1B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K37" sqref="K37"/>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1" thickBot="1">
      <c r="A1" s="877" t="s">
        <v>1578</v>
      </c>
      <c r="B1" s="3078" t="s">
        <v>1684</v>
      </c>
      <c r="C1" s="893" t="s">
        <v>1580</v>
      </c>
      <c r="D1" s="880"/>
      <c r="E1" s="2607" t="s">
        <v>3849</v>
      </c>
      <c r="F1" s="1433" t="s">
        <v>3850</v>
      </c>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1.75" thickTop="1" thickBot="1">
      <c r="A2" s="876" t="s">
        <v>1437</v>
      </c>
      <c r="B2" s="3124">
        <f>IF(C2="含税",D2,ROUND(D2/(1+F3),0))</f>
        <v>0.60829999999999995</v>
      </c>
      <c r="C2" s="3025" t="s">
        <v>3848</v>
      </c>
      <c r="D2" s="3152">
        <f>IF(E1="项目模式",IF(E2="——",ROUND(C49*D3/10000,0),ROUND(C49*D3/10000,0)-F2),IF(E1="单套模式",IF(E2="——",ROUND(C49*D3/10000,4),ROUND(C49*D3/10000,4)-F2)))</f>
        <v>0.60829999999999995</v>
      </c>
      <c r="E2" s="1435" t="s">
        <v>41</v>
      </c>
      <c r="F2" s="3153"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1" thickBot="1">
      <c r="A3" s="116" t="s">
        <v>1439</v>
      </c>
      <c r="B3" s="3125">
        <f>IF(E2="——",C49,ROUND(B2*10000/D3,0))</f>
        <v>5.8</v>
      </c>
      <c r="C3" s="252" t="s">
        <v>1686</v>
      </c>
      <c r="D3" s="3125">
        <f>IF(D1="",'数据-汇总表'!E3,SUMIF('数据-汇总表'!$C19:$C33,D1,'数据-汇总表'!$E19:$E33))</f>
        <v>1048.8</v>
      </c>
      <c r="E3" s="3033" t="s">
        <v>3519</v>
      </c>
      <c r="F3" s="3034">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1687</v>
      </c>
      <c r="B4" s="254"/>
      <c r="C4" s="4455" t="s">
        <v>1688</v>
      </c>
      <c r="D4" s="4456"/>
      <c r="E4" s="4457" t="s">
        <v>1689</v>
      </c>
      <c r="F4" s="4458"/>
      <c r="G4" s="4455" t="s">
        <v>1690</v>
      </c>
      <c r="H4" s="4456"/>
      <c r="I4" s="4455" t="s">
        <v>1691</v>
      </c>
      <c r="J4" s="4456"/>
      <c r="K4" s="3107" t="s">
        <v>1692</v>
      </c>
      <c r="L4" s="2068"/>
      <c r="M4" s="2069"/>
      <c r="N4" s="2069"/>
      <c r="O4" s="2069"/>
      <c r="P4" s="4459" t="s">
        <v>1693</v>
      </c>
      <c r="Q4" s="4460"/>
      <c r="R4" s="4441" t="s">
        <v>1689</v>
      </c>
      <c r="S4" s="4442"/>
      <c r="T4" s="4441" t="s">
        <v>1690</v>
      </c>
      <c r="U4" s="4442"/>
      <c r="V4" s="4467" t="s">
        <v>1691</v>
      </c>
      <c r="W4" s="4467"/>
      <c r="X4" s="981"/>
      <c r="Y4" s="4470" t="s">
        <v>1693</v>
      </c>
      <c r="Z4" s="4471"/>
      <c r="AA4" s="4436" t="s">
        <v>1689</v>
      </c>
      <c r="AB4" s="4521" t="s">
        <v>1690</v>
      </c>
      <c r="AC4" s="4436" t="s">
        <v>1691</v>
      </c>
    </row>
    <row r="5" spans="1:29" ht="15">
      <c r="A5" s="256"/>
      <c r="B5" s="257"/>
      <c r="C5" s="4447" t="s">
        <v>1591</v>
      </c>
      <c r="D5" s="4448"/>
      <c r="E5" s="4445" t="s">
        <v>1592</v>
      </c>
      <c r="F5" s="4446"/>
      <c r="G5" s="4447" t="s">
        <v>1593</v>
      </c>
      <c r="H5" s="4448"/>
      <c r="I5" s="4447" t="s">
        <v>1594</v>
      </c>
      <c r="J5" s="4448"/>
      <c r="K5" s="3107"/>
      <c r="L5" s="2068"/>
      <c r="M5" s="2069"/>
      <c r="N5" s="2069"/>
      <c r="O5" s="2069"/>
      <c r="P5" s="4461"/>
      <c r="Q5" s="4462"/>
      <c r="R5" s="4443"/>
      <c r="S5" s="4444"/>
      <c r="T5" s="4443"/>
      <c r="U5" s="4444"/>
      <c r="V5" s="4467"/>
      <c r="W5" s="4467"/>
      <c r="X5" s="981"/>
      <c r="Y5" s="4472"/>
      <c r="Z5" s="4473"/>
      <c r="AA5" s="4437"/>
      <c r="AB5" s="4521"/>
      <c r="AC5" s="4437"/>
    </row>
    <row r="6" spans="1:29" ht="15.75" thickBot="1">
      <c r="A6" s="258"/>
      <c r="B6" s="259"/>
      <c r="C6" s="4449" t="s">
        <v>1595</v>
      </c>
      <c r="D6" s="4450"/>
      <c r="E6" s="4451" t="s">
        <v>1595</v>
      </c>
      <c r="F6" s="4452"/>
      <c r="G6" s="4449" t="s">
        <v>1595</v>
      </c>
      <c r="H6" s="4450"/>
      <c r="I6" s="4449" t="s">
        <v>1595</v>
      </c>
      <c r="J6" s="4450"/>
      <c r="K6" s="3107" t="s">
        <v>1596</v>
      </c>
      <c r="L6" s="2068"/>
      <c r="M6" s="2069"/>
      <c r="N6" s="2069"/>
      <c r="O6" s="2069"/>
      <c r="P6" s="4463"/>
      <c r="Q6" s="4464"/>
      <c r="R6" s="4443"/>
      <c r="S6" s="4444"/>
      <c r="T6" s="4465"/>
      <c r="U6" s="4466"/>
      <c r="V6" s="4467"/>
      <c r="W6" s="4467"/>
      <c r="X6" s="981"/>
      <c r="Y6" s="4474"/>
      <c r="Z6" s="4475"/>
      <c r="AA6" s="4438"/>
      <c r="AB6" s="4521"/>
      <c r="AC6" s="4438"/>
    </row>
    <row r="7" spans="1:29" s="61" customFormat="1" ht="15.75" thickBot="1">
      <c r="A7" s="260" t="s">
        <v>1597</v>
      </c>
      <c r="B7" s="261"/>
      <c r="C7" s="262">
        <f>'数据-取费表'!B2</f>
        <v>46044</v>
      </c>
      <c r="D7" s="3154">
        <v>100</v>
      </c>
      <c r="E7" s="3084">
        <f>C7</f>
        <v>46044</v>
      </c>
      <c r="F7" s="3130">
        <f>SUMIF(58:58,YEAR(E7)&amp;"-"&amp;MONTH(E7),59:59)</f>
        <v>100</v>
      </c>
      <c r="G7" s="3084">
        <f>E7</f>
        <v>46044</v>
      </c>
      <c r="H7" s="3129">
        <f>SUMIF(58:58,YEAR(G7)&amp;"-"&amp;MONTH(G7),59:59)</f>
        <v>100</v>
      </c>
      <c r="I7" s="3084">
        <f>G7</f>
        <v>46044</v>
      </c>
      <c r="J7" s="3129">
        <f>SUMIF(58:58,YEAR(I7)&amp;"-"&amp;MONTH(I7),59:59)</f>
        <v>100</v>
      </c>
      <c r="K7" s="3100"/>
      <c r="L7" s="2070"/>
      <c r="M7" s="2021"/>
      <c r="N7" s="2021"/>
      <c r="O7" s="2021"/>
      <c r="P7" s="4468" t="s">
        <v>1598</v>
      </c>
      <c r="Q7" s="4476"/>
      <c r="R7" s="3516" t="s">
        <v>13</v>
      </c>
      <c r="S7" s="3517">
        <f t="shared" ref="S7:S15" si="0">F7</f>
        <v>100</v>
      </c>
      <c r="T7" s="3516" t="s">
        <v>13</v>
      </c>
      <c r="U7" s="3517">
        <f t="shared" ref="U7:U15" si="1">H7</f>
        <v>100</v>
      </c>
      <c r="V7" s="3516" t="s">
        <v>13</v>
      </c>
      <c r="W7" s="3517">
        <f t="shared" ref="W7:W15" si="2">J7</f>
        <v>100</v>
      </c>
      <c r="X7" s="512"/>
      <c r="Y7" s="4439" t="s">
        <v>1598</v>
      </c>
      <c r="Z7" s="4440"/>
      <c r="AA7" s="41">
        <f>D7/F7</f>
        <v>1</v>
      </c>
      <c r="AB7" s="41">
        <f>D7/H7</f>
        <v>1</v>
      </c>
      <c r="AC7" s="41">
        <f>D7/J7</f>
        <v>1</v>
      </c>
    </row>
    <row r="8" spans="1:29" s="61" customFormat="1" ht="15.75" thickBot="1">
      <c r="A8" s="260" t="s">
        <v>1599</v>
      </c>
      <c r="B8" s="261"/>
      <c r="C8" s="264"/>
      <c r="D8" s="3154">
        <v>100</v>
      </c>
      <c r="E8" s="3056"/>
      <c r="F8" s="3142">
        <f>SUMIF(61:61,E8,62:62)-SUMIF(61:61,C8,62:62)+100</f>
        <v>100</v>
      </c>
      <c r="G8" s="3056"/>
      <c r="H8" s="3131">
        <f>SUMIF(61:61,G8,62:62)-SUMIF(61:61,C8,62:62)+100</f>
        <v>100</v>
      </c>
      <c r="I8" s="3056"/>
      <c r="J8" s="3131">
        <f>SUMIF(61:61,I8,62:62)-SUMIF(61:61,C8,62:62)+100</f>
        <v>100</v>
      </c>
      <c r="K8" s="3100"/>
      <c r="L8" s="2070"/>
      <c r="M8" s="2021"/>
      <c r="N8" s="2021"/>
      <c r="O8" s="2021"/>
      <c r="P8" s="4468" t="s">
        <v>1601</v>
      </c>
      <c r="Q8" s="4469"/>
      <c r="R8" s="3516" t="s">
        <v>13</v>
      </c>
      <c r="S8" s="3517">
        <f t="shared" si="0"/>
        <v>100</v>
      </c>
      <c r="T8" s="3516" t="s">
        <v>13</v>
      </c>
      <c r="U8" s="3517">
        <f t="shared" si="1"/>
        <v>100</v>
      </c>
      <c r="V8" s="3516" t="s">
        <v>13</v>
      </c>
      <c r="W8" s="3517">
        <f t="shared" si="2"/>
        <v>100</v>
      </c>
      <c r="X8" s="512"/>
      <c r="Y8" s="4439" t="s">
        <v>1601</v>
      </c>
      <c r="Z8" s="4440"/>
      <c r="AA8" s="41">
        <f t="shared" ref="AA8:AA46" si="3">D8/F8</f>
        <v>1</v>
      </c>
      <c r="AB8" s="41">
        <f t="shared" ref="AB8:AB46" si="4">D8/H8</f>
        <v>1</v>
      </c>
      <c r="AC8" s="41">
        <f t="shared" ref="AC8:AC46" si="5">D8/J8</f>
        <v>1</v>
      </c>
    </row>
    <row r="9" spans="1:29" s="61" customFormat="1">
      <c r="A9" s="265" t="s">
        <v>1602</v>
      </c>
      <c r="B9" s="3035" t="s">
        <v>1603</v>
      </c>
      <c r="C9" s="3057"/>
      <c r="D9" s="3155">
        <v>100</v>
      </c>
      <c r="E9" s="3085"/>
      <c r="F9" s="3143">
        <f>SUMIF(63:63,E9,64:64)-SUMIF(63:63,C9,64:64)+100</f>
        <v>100</v>
      </c>
      <c r="G9" s="3085"/>
      <c r="H9" s="3132">
        <f>SUMIF(63:63,G9,64:64)-SUMIF(63:63,C9,64:64)+100</f>
        <v>100</v>
      </c>
      <c r="I9" s="3085"/>
      <c r="J9" s="3132">
        <f>SUMIF(63:63,I9,64:64)-SUMIF(63:63,C9,64:64)+100</f>
        <v>100</v>
      </c>
      <c r="K9" s="3100"/>
      <c r="L9" s="2070"/>
      <c r="M9" s="2021"/>
      <c r="N9" s="2021"/>
      <c r="O9" s="2021"/>
      <c r="P9" s="4453" t="s">
        <v>1604</v>
      </c>
      <c r="Q9" s="1787" t="str">
        <f t="shared" ref="Q9:Q15" si="6">B9</f>
        <v>用途</v>
      </c>
      <c r="R9" s="3516" t="s">
        <v>13</v>
      </c>
      <c r="S9" s="3517">
        <f t="shared" si="0"/>
        <v>100</v>
      </c>
      <c r="T9" s="3516" t="s">
        <v>13</v>
      </c>
      <c r="U9" s="3517">
        <f t="shared" si="1"/>
        <v>100</v>
      </c>
      <c r="V9" s="3516" t="s">
        <v>13</v>
      </c>
      <c r="W9" s="3517">
        <f t="shared" si="2"/>
        <v>100</v>
      </c>
      <c r="X9" s="512"/>
      <c r="Y9" s="4454"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100"/>
      <c r="L10" s="2071"/>
      <c r="M10" s="2072"/>
      <c r="N10" s="2072"/>
      <c r="O10" s="2072"/>
      <c r="P10" s="4453"/>
      <c r="Q10" s="1787" t="str">
        <f t="shared" si="6"/>
        <v>土地使用年限（年）</v>
      </c>
      <c r="R10" s="3516" t="s">
        <v>13</v>
      </c>
      <c r="S10" s="3517">
        <f t="shared" si="0"/>
        <v>100</v>
      </c>
      <c r="T10" s="3516" t="s">
        <v>13</v>
      </c>
      <c r="U10" s="3517">
        <f t="shared" si="1"/>
        <v>100</v>
      </c>
      <c r="V10" s="3516" t="s">
        <v>13</v>
      </c>
      <c r="W10" s="3517">
        <f t="shared" si="2"/>
        <v>100</v>
      </c>
      <c r="X10" s="512"/>
      <c r="Y10" s="4454"/>
      <c r="Z10" s="41" t="str">
        <f t="shared" si="7"/>
        <v>土地使用年限（年）</v>
      </c>
      <c r="AA10" s="41">
        <f t="shared" si="3"/>
        <v>1</v>
      </c>
      <c r="AB10" s="41">
        <f t="shared" si="4"/>
        <v>1</v>
      </c>
      <c r="AC10" s="41">
        <f t="shared" si="5"/>
        <v>1</v>
      </c>
    </row>
    <row r="11" spans="1:29" ht="15.75" thickBot="1">
      <c r="A11" s="272"/>
      <c r="B11" s="3030" t="s">
        <v>1607</v>
      </c>
      <c r="C11" s="3059"/>
      <c r="D11" s="3156">
        <v>100</v>
      </c>
      <c r="E11" s="3087"/>
      <c r="F11" s="3144">
        <f>LOOKUP(E11,68:68,69:69)-LOOKUP(C11,68:68,69:69)+100</f>
        <v>100</v>
      </c>
      <c r="G11" s="3059"/>
      <c r="H11" s="3133">
        <f>LOOKUP(G11,68:68,69:69)-LOOKUP(C11,68:68,69:69)+100</f>
        <v>100</v>
      </c>
      <c r="I11" s="3059"/>
      <c r="J11" s="3133">
        <f>LOOKUP(I11,68:68,69:69)-LOOKUP(C11,68:68,69:69)+100</f>
        <v>100</v>
      </c>
      <c r="K11" s="3101"/>
      <c r="L11" s="2073"/>
      <c r="M11" s="2069"/>
      <c r="N11" s="2069"/>
      <c r="O11" s="2069"/>
      <c r="P11" s="4453"/>
      <c r="Q11" s="1787" t="str">
        <f t="shared" si="6"/>
        <v>容积率</v>
      </c>
      <c r="R11" s="3516" t="s">
        <v>13</v>
      </c>
      <c r="S11" s="3517">
        <f t="shared" si="0"/>
        <v>100</v>
      </c>
      <c r="T11" s="3516" t="s">
        <v>13</v>
      </c>
      <c r="U11" s="3517">
        <f t="shared" si="1"/>
        <v>100</v>
      </c>
      <c r="V11" s="3516" t="s">
        <v>13</v>
      </c>
      <c r="W11" s="3517">
        <f t="shared" si="2"/>
        <v>100</v>
      </c>
      <c r="X11" s="512"/>
      <c r="Y11" s="4454"/>
      <c r="Z11" s="41" t="str">
        <f t="shared" si="7"/>
        <v>容积率</v>
      </c>
      <c r="AA11" s="41">
        <f t="shared" si="3"/>
        <v>1</v>
      </c>
      <c r="AB11" s="41">
        <f t="shared" si="4"/>
        <v>1</v>
      </c>
      <c r="AC11" s="41">
        <f t="shared" si="5"/>
        <v>1</v>
      </c>
    </row>
    <row r="12" spans="1:29" s="61" customFormat="1" ht="15" hidden="1">
      <c r="A12" s="275"/>
      <c r="B12" s="3036">
        <v>111</v>
      </c>
      <c r="C12" s="3060"/>
      <c r="D12" s="3157">
        <v>100</v>
      </c>
      <c r="E12" s="3061"/>
      <c r="F12" s="3144">
        <f>SUMIF(70:70,E12,71:71)-SUMIF(70:70,C12,71:71)+100</f>
        <v>100</v>
      </c>
      <c r="G12" s="3061"/>
      <c r="H12" s="3133">
        <f>SUMIF(70:70,G12,71:71)-SUMIF(70:70,C12,71:71)+100</f>
        <v>100</v>
      </c>
      <c r="I12" s="3061"/>
      <c r="J12" s="3133">
        <f>SUMIF(70:70,I12,71:71)-SUMIF(70:70,C12,71:71)+100</f>
        <v>100</v>
      </c>
      <c r="K12" s="3102"/>
      <c r="L12" s="2070"/>
      <c r="M12" s="2021"/>
      <c r="N12" s="2021"/>
      <c r="O12" s="2021"/>
      <c r="P12" s="4453"/>
      <c r="Q12" s="1787">
        <f t="shared" si="6"/>
        <v>111</v>
      </c>
      <c r="R12" s="3516" t="s">
        <v>13</v>
      </c>
      <c r="S12" s="3517">
        <f t="shared" si="0"/>
        <v>100</v>
      </c>
      <c r="T12" s="3516" t="s">
        <v>13</v>
      </c>
      <c r="U12" s="3517">
        <f t="shared" si="1"/>
        <v>100</v>
      </c>
      <c r="V12" s="3516" t="s">
        <v>13</v>
      </c>
      <c r="W12" s="3517">
        <f t="shared" si="2"/>
        <v>100</v>
      </c>
      <c r="X12" s="512"/>
      <c r="Y12" s="4454"/>
      <c r="Z12" s="41">
        <f t="shared" si="7"/>
        <v>111</v>
      </c>
      <c r="AA12" s="41">
        <f>D12/F12</f>
        <v>1</v>
      </c>
      <c r="AB12" s="41">
        <f>D12/H12</f>
        <v>1</v>
      </c>
      <c r="AC12" s="41">
        <f>D12/J12</f>
        <v>1</v>
      </c>
    </row>
    <row r="13" spans="1:29" ht="15" hidden="1">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102"/>
      <c r="L13" s="2074"/>
      <c r="M13" s="2069"/>
      <c r="N13" s="2069"/>
      <c r="O13" s="2069"/>
      <c r="P13" s="4453"/>
      <c r="Q13" s="1787">
        <f t="shared" si="6"/>
        <v>111</v>
      </c>
      <c r="R13" s="3516" t="s">
        <v>13</v>
      </c>
      <c r="S13" s="3517">
        <f t="shared" si="0"/>
        <v>100</v>
      </c>
      <c r="T13" s="3516" t="s">
        <v>13</v>
      </c>
      <c r="U13" s="3517">
        <f t="shared" si="1"/>
        <v>100</v>
      </c>
      <c r="V13" s="3516" t="s">
        <v>13</v>
      </c>
      <c r="W13" s="3517">
        <f t="shared" si="2"/>
        <v>100</v>
      </c>
      <c r="X13" s="512"/>
      <c r="Y13" s="4454"/>
      <c r="Z13" s="41">
        <f t="shared" si="7"/>
        <v>111</v>
      </c>
      <c r="AA13" s="41">
        <f t="shared" si="3"/>
        <v>1</v>
      </c>
      <c r="AB13" s="41">
        <f t="shared" si="4"/>
        <v>1</v>
      </c>
      <c r="AC13" s="41">
        <f t="shared" si="5"/>
        <v>1</v>
      </c>
    </row>
    <row r="14" spans="1:29" ht="15.75" hidden="1" thickBot="1">
      <c r="A14" s="278"/>
      <c r="B14" s="3037">
        <v>111</v>
      </c>
      <c r="C14" s="3062"/>
      <c r="D14" s="3159">
        <v>100</v>
      </c>
      <c r="E14" s="3061"/>
      <c r="F14" s="3145">
        <f>SUMIF(74:74,E14,75:75)-SUMIF(74:74,C14,75:75)+100</f>
        <v>100</v>
      </c>
      <c r="G14" s="3061"/>
      <c r="H14" s="3135">
        <f>SUMIF(74:74,G14,75:75)-SUMIF(74:74,C14,75:75)+100</f>
        <v>100</v>
      </c>
      <c r="I14" s="3061"/>
      <c r="J14" s="3135">
        <f>SUMIF(74:74,I14,75:75)-SUMIF(74:74,C14,75:75)+100</f>
        <v>100</v>
      </c>
      <c r="K14" s="3102"/>
      <c r="L14" s="2074"/>
      <c r="M14" s="2069"/>
      <c r="N14" s="2069"/>
      <c r="O14" s="2069"/>
      <c r="P14" s="4453"/>
      <c r="Q14" s="1787">
        <f t="shared" si="6"/>
        <v>111</v>
      </c>
      <c r="R14" s="3516" t="s">
        <v>13</v>
      </c>
      <c r="S14" s="3517">
        <f t="shared" si="0"/>
        <v>100</v>
      </c>
      <c r="T14" s="3516" t="s">
        <v>13</v>
      </c>
      <c r="U14" s="3517">
        <f t="shared" si="1"/>
        <v>100</v>
      </c>
      <c r="V14" s="3516" t="s">
        <v>13</v>
      </c>
      <c r="W14" s="3517">
        <f t="shared" si="2"/>
        <v>100</v>
      </c>
      <c r="X14" s="512"/>
      <c r="Y14" s="4454"/>
      <c r="Z14" s="41">
        <f t="shared" si="7"/>
        <v>111</v>
      </c>
      <c r="AA14" s="41">
        <f t="shared" si="3"/>
        <v>1</v>
      </c>
      <c r="AB14" s="41">
        <f t="shared" si="4"/>
        <v>1</v>
      </c>
      <c r="AC14" s="41">
        <f t="shared" si="5"/>
        <v>1</v>
      </c>
    </row>
    <row r="15" spans="1:29" ht="15">
      <c r="A15" s="280" t="s">
        <v>1608</v>
      </c>
      <c r="B15" s="3038" t="s">
        <v>1695</v>
      </c>
      <c r="C15" s="3063">
        <f>估价对象房地状况!C4</f>
        <v>0</v>
      </c>
      <c r="D15" s="3160">
        <v>100</v>
      </c>
      <c r="E15" s="3088"/>
      <c r="F15" s="3743">
        <f>SUMIF(76:76,E16,77:77)-SUMIF(76:76,C16,77:77)+100</f>
        <v>100</v>
      </c>
      <c r="G15" s="3094"/>
      <c r="H15" s="3136">
        <f>SUMIF(76:76,G16,77:77)-SUMIF(76:76,C16,77:77)+100</f>
        <v>100</v>
      </c>
      <c r="I15" s="3088"/>
      <c r="J15" s="3136">
        <f>SUMIF(76:76,I16,77:77)-SUMIF(76:76,C16,77:77)+100</f>
        <v>100</v>
      </c>
      <c r="K15" s="3103"/>
      <c r="L15" s="2074"/>
      <c r="M15" s="2069"/>
      <c r="N15" s="2069"/>
      <c r="O15" s="2069"/>
      <c r="P15" s="4489" t="s">
        <v>1609</v>
      </c>
      <c r="Q15" s="1587" t="str">
        <f t="shared" si="6"/>
        <v>商业繁华度</v>
      </c>
      <c r="R15" s="3518" t="s">
        <v>13</v>
      </c>
      <c r="S15" s="3519">
        <f t="shared" si="0"/>
        <v>100</v>
      </c>
      <c r="T15" s="3518" t="s">
        <v>13</v>
      </c>
      <c r="U15" s="3519">
        <f t="shared" si="1"/>
        <v>100</v>
      </c>
      <c r="V15" s="3518" t="s">
        <v>13</v>
      </c>
      <c r="W15" s="3519">
        <f t="shared" si="2"/>
        <v>100</v>
      </c>
      <c r="X15" s="981"/>
      <c r="Y15" s="4482" t="s">
        <v>1609</v>
      </c>
      <c r="Z15" s="979" t="str">
        <f t="shared" si="7"/>
        <v>商业繁华度</v>
      </c>
      <c r="AA15" s="979">
        <f t="shared" si="3"/>
        <v>1</v>
      </c>
      <c r="AB15" s="979">
        <f t="shared" si="4"/>
        <v>1</v>
      </c>
      <c r="AC15" s="979">
        <f t="shared" si="5"/>
        <v>1</v>
      </c>
    </row>
    <row r="16" spans="1:29" ht="15">
      <c r="A16" s="272"/>
      <c r="B16" s="3039"/>
      <c r="C16" s="3064"/>
      <c r="D16" s="3161"/>
      <c r="E16" s="3064"/>
      <c r="F16" s="3744"/>
      <c r="G16" s="3064"/>
      <c r="H16" s="3138"/>
      <c r="I16" s="3064"/>
      <c r="J16" s="3137"/>
      <c r="K16" s="3104"/>
      <c r="L16" s="2074"/>
      <c r="M16" s="2069"/>
      <c r="N16" s="2069"/>
      <c r="O16" s="2069"/>
      <c r="P16" s="4490"/>
      <c r="Q16" s="1587"/>
      <c r="R16" s="3518"/>
      <c r="S16" s="3519"/>
      <c r="T16" s="3518"/>
      <c r="U16" s="3519"/>
      <c r="V16" s="3518"/>
      <c r="W16" s="3519"/>
      <c r="X16" s="981"/>
      <c r="Y16" s="4483"/>
      <c r="Z16" s="979"/>
      <c r="AA16" s="979">
        <v>1</v>
      </c>
      <c r="AB16" s="979">
        <v>1</v>
      </c>
      <c r="AC16" s="979">
        <v>1</v>
      </c>
    </row>
    <row r="17" spans="1:29" ht="15">
      <c r="A17" s="272"/>
      <c r="B17" s="3040" t="s">
        <v>1243</v>
      </c>
      <c r="C17" s="3065">
        <f>估价对象房地状况!C6</f>
        <v>0</v>
      </c>
      <c r="D17" s="3162">
        <v>100</v>
      </c>
      <c r="E17" s="3089"/>
      <c r="F17" s="3745">
        <f>SUMIF(78:78,E18,79:79)-SUMIF(78:78,C18,79:79)+100</f>
        <v>100</v>
      </c>
      <c r="G17" s="3095"/>
      <c r="H17" s="3139">
        <f>SUMIF(78:78,G18,79:79)-SUMIF(78:78,C18,79:79)+100</f>
        <v>100</v>
      </c>
      <c r="I17" s="3089"/>
      <c r="J17" s="3139">
        <f>SUMIF(78:78,I18,79:79)-SUMIF(78:78,C18,79:79)+100</f>
        <v>100</v>
      </c>
      <c r="K17" s="3103"/>
      <c r="L17" s="2074"/>
      <c r="M17" s="2069"/>
      <c r="N17" s="2069"/>
      <c r="O17" s="2069"/>
      <c r="P17" s="4490"/>
      <c r="Q17" s="1587" t="str">
        <f>B17</f>
        <v>交通便捷度</v>
      </c>
      <c r="R17" s="3518" t="s">
        <v>13</v>
      </c>
      <c r="S17" s="3519">
        <f>F17</f>
        <v>100</v>
      </c>
      <c r="T17" s="3518" t="s">
        <v>13</v>
      </c>
      <c r="U17" s="3519">
        <f>H17</f>
        <v>100</v>
      </c>
      <c r="V17" s="3518" t="s">
        <v>13</v>
      </c>
      <c r="W17" s="3519">
        <f>J17</f>
        <v>100</v>
      </c>
      <c r="X17" s="981"/>
      <c r="Y17" s="4483"/>
      <c r="Z17" s="979" t="str">
        <f>Q17</f>
        <v>交通便捷度</v>
      </c>
      <c r="AA17" s="979">
        <f t="shared" si="3"/>
        <v>1</v>
      </c>
      <c r="AB17" s="979">
        <f t="shared" si="4"/>
        <v>1</v>
      </c>
      <c r="AC17" s="979">
        <f t="shared" si="5"/>
        <v>1</v>
      </c>
    </row>
    <row r="18" spans="1:29" ht="15">
      <c r="A18" s="272"/>
      <c r="B18" s="3041"/>
      <c r="C18" s="3066"/>
      <c r="D18" s="3162"/>
      <c r="E18" s="3090"/>
      <c r="F18" s="3745"/>
      <c r="G18" s="3096"/>
      <c r="H18" s="3137"/>
      <c r="I18" s="3090"/>
      <c r="J18" s="3137"/>
      <c r="K18" s="3104"/>
      <c r="L18" s="2074"/>
      <c r="M18" s="2069"/>
      <c r="N18" s="2069"/>
      <c r="O18" s="2069"/>
      <c r="P18" s="4490"/>
      <c r="Q18" s="1587"/>
      <c r="R18" s="3518"/>
      <c r="S18" s="3519"/>
      <c r="T18" s="3518"/>
      <c r="U18" s="3519"/>
      <c r="V18" s="3518"/>
      <c r="W18" s="3519"/>
      <c r="X18" s="981"/>
      <c r="Y18" s="4483"/>
      <c r="Z18" s="979"/>
      <c r="AA18" s="979">
        <v>1</v>
      </c>
      <c r="AB18" s="979">
        <v>1</v>
      </c>
      <c r="AC18" s="979">
        <v>1</v>
      </c>
    </row>
    <row r="19" spans="1:29" ht="15">
      <c r="A19" s="272"/>
      <c r="B19" s="3040" t="s">
        <v>1696</v>
      </c>
      <c r="C19" s="3065">
        <f>估价对象房地状况!C7</f>
        <v>0</v>
      </c>
      <c r="D19" s="3163">
        <v>100</v>
      </c>
      <c r="E19" s="3091"/>
      <c r="F19" s="3746">
        <f>SUMIF(80:80,E20,81:81)-SUMIF(80:80,C20,81:81)+100</f>
        <v>100</v>
      </c>
      <c r="G19" s="3097"/>
      <c r="H19" s="3138">
        <f>SUMIF(80:80,G20,81:81)-SUMIF(80:80,C20,81:81)+100</f>
        <v>100</v>
      </c>
      <c r="I19" s="3091"/>
      <c r="J19" s="3138">
        <f>SUMIF(80:80,I20,81:81)-SUMIF(80:80,C20,81:81)+100</f>
        <v>100</v>
      </c>
      <c r="K19" s="3103"/>
      <c r="L19" s="2074"/>
      <c r="M19" s="2069"/>
      <c r="N19" s="2069"/>
      <c r="O19" s="2069"/>
      <c r="P19" s="4490"/>
      <c r="Q19" s="1587" t="str">
        <f>B19</f>
        <v>公共配套设施</v>
      </c>
      <c r="R19" s="3518" t="s">
        <v>13</v>
      </c>
      <c r="S19" s="3519">
        <f>F19</f>
        <v>100</v>
      </c>
      <c r="T19" s="3518" t="s">
        <v>13</v>
      </c>
      <c r="U19" s="3519">
        <f>H19</f>
        <v>100</v>
      </c>
      <c r="V19" s="3518" t="s">
        <v>13</v>
      </c>
      <c r="W19" s="3519">
        <f>J19</f>
        <v>100</v>
      </c>
      <c r="X19" s="981"/>
      <c r="Y19" s="4483"/>
      <c r="Z19" s="979" t="str">
        <f>Q19</f>
        <v>公共配套设施</v>
      </c>
      <c r="AA19" s="979">
        <f t="shared" si="3"/>
        <v>1</v>
      </c>
      <c r="AB19" s="979">
        <f t="shared" si="4"/>
        <v>1</v>
      </c>
      <c r="AC19" s="979">
        <f t="shared" si="5"/>
        <v>1</v>
      </c>
    </row>
    <row r="20" spans="1:29" ht="15">
      <c r="A20" s="272"/>
      <c r="B20" s="3041"/>
      <c r="C20" s="3064"/>
      <c r="D20" s="3161"/>
      <c r="E20" s="3092"/>
      <c r="F20" s="3744"/>
      <c r="G20" s="3098"/>
      <c r="H20" s="3137"/>
      <c r="I20" s="3092"/>
      <c r="J20" s="3137"/>
      <c r="K20" s="3104"/>
      <c r="L20" s="2074"/>
      <c r="M20" s="2069"/>
      <c r="N20" s="2069"/>
      <c r="O20" s="2069"/>
      <c r="P20" s="4490"/>
      <c r="Q20" s="1587"/>
      <c r="R20" s="3518"/>
      <c r="S20" s="3519"/>
      <c r="T20" s="3518"/>
      <c r="U20" s="3519"/>
      <c r="V20" s="3518"/>
      <c r="W20" s="3519"/>
      <c r="X20" s="981"/>
      <c r="Y20" s="4483"/>
      <c r="Z20" s="979"/>
      <c r="AA20" s="979">
        <v>1</v>
      </c>
      <c r="AB20" s="979">
        <v>1</v>
      </c>
      <c r="AC20" s="979">
        <v>1</v>
      </c>
    </row>
    <row r="21" spans="1:29" ht="15">
      <c r="A21" s="272"/>
      <c r="B21" s="3042" t="s">
        <v>1697</v>
      </c>
      <c r="C21" s="3065">
        <f>估价对象房地状况!C8</f>
        <v>0</v>
      </c>
      <c r="D21" s="3163">
        <v>100</v>
      </c>
      <c r="E21" s="3091"/>
      <c r="F21" s="3746">
        <f>SUMIF(82:82,E22,83:83)-SUMIF(82:82,C22,83:83)+100</f>
        <v>100</v>
      </c>
      <c r="G21" s="3097"/>
      <c r="H21" s="3138">
        <f>SUMIF(82:82,G22,83:83)-SUMIF(82:82,C22,83:83)+100</f>
        <v>100</v>
      </c>
      <c r="I21" s="3091"/>
      <c r="J21" s="3138">
        <f>SUMIF(82:82,I22,83:83)-SUMIF(82:82,C22,83:83)+100</f>
        <v>100</v>
      </c>
      <c r="K21" s="3103"/>
      <c r="L21" s="2074"/>
      <c r="M21" s="2069"/>
      <c r="N21" s="2069"/>
      <c r="O21" s="2069"/>
      <c r="P21" s="4490"/>
      <c r="Q21" s="1587" t="str">
        <f>B21</f>
        <v>基础设施水平</v>
      </c>
      <c r="R21" s="3518" t="s">
        <v>13</v>
      </c>
      <c r="S21" s="3519">
        <f>F21</f>
        <v>100</v>
      </c>
      <c r="T21" s="3518" t="s">
        <v>13</v>
      </c>
      <c r="U21" s="3519">
        <f>H21</f>
        <v>100</v>
      </c>
      <c r="V21" s="3518" t="s">
        <v>13</v>
      </c>
      <c r="W21" s="3519">
        <f>J21</f>
        <v>100</v>
      </c>
      <c r="X21" s="981"/>
      <c r="Y21" s="4483"/>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744"/>
      <c r="G22" s="3064"/>
      <c r="H22" s="3137"/>
      <c r="I22" s="3064"/>
      <c r="J22" s="3137"/>
      <c r="K22" s="3105"/>
      <c r="L22" s="2074"/>
      <c r="M22" s="2069"/>
      <c r="N22" s="2069"/>
      <c r="O22" s="2069"/>
      <c r="P22" s="4490"/>
      <c r="Q22" s="1587"/>
      <c r="R22" s="3518"/>
      <c r="S22" s="3519"/>
      <c r="T22" s="3518"/>
      <c r="U22" s="3519"/>
      <c r="V22" s="3518"/>
      <c r="W22" s="3519"/>
      <c r="X22" s="981"/>
      <c r="Y22" s="4483"/>
      <c r="Z22" s="979"/>
      <c r="AA22" s="979">
        <v>1</v>
      </c>
      <c r="AB22" s="979">
        <v>1</v>
      </c>
      <c r="AC22" s="979">
        <v>1</v>
      </c>
    </row>
    <row r="23" spans="1:29" ht="15">
      <c r="A23" s="272"/>
      <c r="B23" s="3040" t="s">
        <v>1245</v>
      </c>
      <c r="C23" s="3079">
        <f>估价对象房地状况!C9</f>
        <v>0</v>
      </c>
      <c r="D23" s="3162">
        <v>100</v>
      </c>
      <c r="E23" s="3089"/>
      <c r="F23" s="3745">
        <f>SUMIF(84:84,E24,85:85)-SUMIF(84:84,C24,85:85)+100</f>
        <v>100</v>
      </c>
      <c r="G23" s="3095"/>
      <c r="H23" s="3138">
        <f>SUMIF(84:84,G24,85:85)-SUMIF(84:84,C24,85:85)+100</f>
        <v>100</v>
      </c>
      <c r="I23" s="3089"/>
      <c r="J23" s="3138">
        <f>SUMIF(84:84,I24,85:85)-SUMIF(84:84,C24,85:85)+100</f>
        <v>100</v>
      </c>
      <c r="K23" s="3103"/>
      <c r="L23" s="2074"/>
      <c r="M23" s="2069"/>
      <c r="N23" s="2069"/>
      <c r="O23" s="2069"/>
      <c r="P23" s="4490"/>
      <c r="Q23" s="1587" t="str">
        <f>B23</f>
        <v>自然及人文环境</v>
      </c>
      <c r="R23" s="3518" t="s">
        <v>13</v>
      </c>
      <c r="S23" s="3519">
        <f>F23</f>
        <v>100</v>
      </c>
      <c r="T23" s="3518" t="s">
        <v>13</v>
      </c>
      <c r="U23" s="3519">
        <f>H23</f>
        <v>100</v>
      </c>
      <c r="V23" s="3518" t="s">
        <v>13</v>
      </c>
      <c r="W23" s="3519">
        <f>J23</f>
        <v>100</v>
      </c>
      <c r="X23" s="981"/>
      <c r="Y23" s="4483"/>
      <c r="Z23" s="979" t="str">
        <f>Q23</f>
        <v>自然及人文环境</v>
      </c>
      <c r="AA23" s="979">
        <f t="shared" si="3"/>
        <v>1</v>
      </c>
      <c r="AB23" s="979">
        <f t="shared" si="4"/>
        <v>1</v>
      </c>
      <c r="AC23" s="979">
        <f t="shared" si="5"/>
        <v>1</v>
      </c>
    </row>
    <row r="24" spans="1:29" ht="15">
      <c r="A24" s="272"/>
      <c r="B24" s="3041"/>
      <c r="C24" s="3064"/>
      <c r="D24" s="3161"/>
      <c r="E24" s="3092"/>
      <c r="F24" s="3744"/>
      <c r="G24" s="3098"/>
      <c r="H24" s="3137"/>
      <c r="I24" s="3092"/>
      <c r="J24" s="3137"/>
      <c r="K24" s="3104"/>
      <c r="L24" s="2074"/>
      <c r="M24" s="2069"/>
      <c r="N24" s="2069"/>
      <c r="O24" s="2069"/>
      <c r="P24" s="4490"/>
      <c r="Q24" s="1587"/>
      <c r="R24" s="3518"/>
      <c r="S24" s="3519"/>
      <c r="T24" s="3518"/>
      <c r="U24" s="3519"/>
      <c r="V24" s="3518"/>
      <c r="W24" s="3519"/>
      <c r="X24" s="981"/>
      <c r="Y24" s="4483"/>
      <c r="Z24" s="979"/>
      <c r="AA24" s="979">
        <v>1</v>
      </c>
      <c r="AB24" s="979">
        <v>1</v>
      </c>
      <c r="AC24" s="979">
        <v>1</v>
      </c>
    </row>
    <row r="25" spans="1:29" ht="15">
      <c r="A25" s="272"/>
      <c r="B25" s="3030" t="s">
        <v>1698</v>
      </c>
      <c r="C25" s="3080"/>
      <c r="D25" s="3158">
        <v>100</v>
      </c>
      <c r="E25" s="3080"/>
      <c r="F25" s="3146">
        <f>SUMIF(86:86,E25,87:87)-SUMIF(86:86,C25,87:87)+100</f>
        <v>100</v>
      </c>
      <c r="G25" s="3080"/>
      <c r="H25" s="3134">
        <f>SUMIF(86:86,G25,87:87)-SUMIF(86:86,C25,87:87)+100</f>
        <v>100</v>
      </c>
      <c r="I25" s="3080"/>
      <c r="J25" s="3134">
        <f>SUMIF(86:86,I25,87:87)-SUMIF(86:86,C25,87:87)+100</f>
        <v>100</v>
      </c>
      <c r="K25" s="3101"/>
      <c r="L25" s="2074"/>
      <c r="M25" s="2069"/>
      <c r="N25" s="2069"/>
      <c r="O25" s="2069"/>
      <c r="P25" s="4490"/>
      <c r="Q25" s="1587" t="str">
        <f t="shared" ref="Q25:Q46" si="11">B25</f>
        <v>临街状况</v>
      </c>
      <c r="R25" s="3518" t="s">
        <v>13</v>
      </c>
      <c r="S25" s="3519">
        <f>F25</f>
        <v>100</v>
      </c>
      <c r="T25" s="3518" t="s">
        <v>13</v>
      </c>
      <c r="U25" s="3519">
        <f>H25</f>
        <v>100</v>
      </c>
      <c r="V25" s="3518" t="s">
        <v>13</v>
      </c>
      <c r="W25" s="3519">
        <f>J25</f>
        <v>100</v>
      </c>
      <c r="X25" s="981"/>
      <c r="Y25" s="4483"/>
      <c r="Z25" s="979" t="str">
        <f>Q25</f>
        <v>临街状况</v>
      </c>
      <c r="AA25" s="979">
        <f t="shared" si="3"/>
        <v>1</v>
      </c>
      <c r="AB25" s="979">
        <f t="shared" si="4"/>
        <v>1</v>
      </c>
      <c r="AC25" s="979">
        <f t="shared" si="5"/>
        <v>1</v>
      </c>
    </row>
    <row r="26" spans="1:29" ht="15">
      <c r="A26" s="272"/>
      <c r="B26" s="3043" t="s">
        <v>1699</v>
      </c>
      <c r="C26" s="3061"/>
      <c r="D26" s="3158">
        <v>100</v>
      </c>
      <c r="E26" s="3061"/>
      <c r="F26" s="3146">
        <f>SUMIF(88:88,E26,89:89)-SUMIF(88:88,C26,89:89)+100</f>
        <v>100</v>
      </c>
      <c r="G26" s="3061"/>
      <c r="H26" s="3134">
        <f>SUMIF(88:88,G26,89:89)-SUMIF(88:88,C26,89:89)+100</f>
        <v>100</v>
      </c>
      <c r="I26" s="3061"/>
      <c r="J26" s="3134">
        <f>SUMIF(88:88,I26,89:89)-SUMIF(88:88,C26,89:89)+100</f>
        <v>100</v>
      </c>
      <c r="K26" s="3102"/>
      <c r="L26" s="2074"/>
      <c r="M26" s="2069"/>
      <c r="N26" s="2069"/>
      <c r="O26" s="2069"/>
      <c r="P26" s="4490"/>
      <c r="Q26" s="1587" t="str">
        <f t="shared" si="11"/>
        <v>平面位置/可视性</v>
      </c>
      <c r="R26" s="3518" t="s">
        <v>13</v>
      </c>
      <c r="S26" s="3519">
        <f>F26</f>
        <v>100</v>
      </c>
      <c r="T26" s="3518" t="s">
        <v>13</v>
      </c>
      <c r="U26" s="3519">
        <f>H26</f>
        <v>100</v>
      </c>
      <c r="V26" s="3518" t="s">
        <v>13</v>
      </c>
      <c r="W26" s="3519">
        <f>J26</f>
        <v>100</v>
      </c>
      <c r="X26" s="981"/>
      <c r="Y26" s="4483"/>
      <c r="Z26" s="979" t="str">
        <f>Q26</f>
        <v>平面位置/可视性</v>
      </c>
      <c r="AA26" s="979">
        <f t="shared" si="3"/>
        <v>1</v>
      </c>
      <c r="AB26" s="979">
        <f t="shared" si="4"/>
        <v>1</v>
      </c>
      <c r="AC26" s="979">
        <f t="shared" si="5"/>
        <v>1</v>
      </c>
    </row>
    <row r="27" spans="1:29" s="61" customFormat="1" ht="15">
      <c r="A27" s="275"/>
      <c r="B27" s="3040" t="s">
        <v>1700</v>
      </c>
      <c r="C27" s="3081" t="s">
        <v>3656</v>
      </c>
      <c r="D27" s="3164">
        <v>100</v>
      </c>
      <c r="E27" s="3081" t="s">
        <v>3852</v>
      </c>
      <c r="F27" s="3747">
        <f>SUMIF(90:90,E27,91:91)-SUMIF(90:90,C27,91:91)+100</f>
        <v>105</v>
      </c>
      <c r="G27" s="3081" t="s">
        <v>3852</v>
      </c>
      <c r="H27" s="3140">
        <f>SUMIF(90:90,G27,91:91)-SUMIF(90:90,C27,91:91)+100</f>
        <v>105</v>
      </c>
      <c r="I27" s="3081" t="s">
        <v>3852</v>
      </c>
      <c r="J27" s="3140">
        <f>SUMIF(90:90,I27,91:91)-SUMIF(90:90,C27,91:91)+100</f>
        <v>105</v>
      </c>
      <c r="K27" s="3101">
        <v>5</v>
      </c>
      <c r="L27" s="2070"/>
      <c r="M27" s="2021"/>
      <c r="N27" s="2021"/>
      <c r="O27" s="2021"/>
      <c r="P27" s="4490"/>
      <c r="Q27" s="1787" t="str">
        <f t="shared" si="11"/>
        <v>人流量</v>
      </c>
      <c r="R27" s="3516" t="s">
        <v>13</v>
      </c>
      <c r="S27" s="3517">
        <f>F27</f>
        <v>105</v>
      </c>
      <c r="T27" s="3516" t="s">
        <v>13</v>
      </c>
      <c r="U27" s="3517">
        <f>H27</f>
        <v>105</v>
      </c>
      <c r="V27" s="3516" t="s">
        <v>13</v>
      </c>
      <c r="W27" s="3517">
        <f>J27</f>
        <v>105</v>
      </c>
      <c r="X27" s="512"/>
      <c r="Y27" s="4483"/>
      <c r="Z27" s="41" t="str">
        <f>Q27</f>
        <v>人流量</v>
      </c>
      <c r="AA27" s="979">
        <f>D27/F27</f>
        <v>0.95238095238095233</v>
      </c>
      <c r="AB27" s="979">
        <f>D27/H27</f>
        <v>0.95238095238095233</v>
      </c>
      <c r="AC27" s="979">
        <f>D27/J27</f>
        <v>0.95238095238095233</v>
      </c>
    </row>
    <row r="28" spans="1:29" ht="15.75" thickBot="1">
      <c r="A28" s="272"/>
      <c r="B28" s="3030" t="s">
        <v>1701</v>
      </c>
      <c r="C28" s="3080"/>
      <c r="D28" s="3158">
        <v>100</v>
      </c>
      <c r="E28" s="3080"/>
      <c r="F28" s="3146">
        <f>SUMIF(92:92,E28,93:93)-SUMIF(92:92,C28,93:93)+100</f>
        <v>100</v>
      </c>
      <c r="G28" s="3080"/>
      <c r="H28" s="3134">
        <f>SUMIF(92:92,G28,93:93)-SUMIF(92:92,C28,93:93)+100</f>
        <v>100</v>
      </c>
      <c r="I28" s="3080"/>
      <c r="J28" s="3134">
        <f>SUMIF(92:92,I28,93:93)-SUMIF(92:92,C28,93:93)+100</f>
        <v>100</v>
      </c>
      <c r="K28" s="3102"/>
      <c r="L28" s="2074"/>
      <c r="M28" s="2069"/>
      <c r="N28" s="2069"/>
      <c r="O28" s="2069"/>
      <c r="P28" s="4490"/>
      <c r="Q28" s="1587" t="str">
        <f t="shared" si="11"/>
        <v>楼层</v>
      </c>
      <c r="R28" s="3518" t="s">
        <v>13</v>
      </c>
      <c r="S28" s="3519">
        <f t="shared" ref="S28:S46" si="12">F28</f>
        <v>100</v>
      </c>
      <c r="T28" s="3518" t="s">
        <v>13</v>
      </c>
      <c r="U28" s="3519">
        <f t="shared" ref="U28:U46" si="13">H28</f>
        <v>100</v>
      </c>
      <c r="V28" s="3518" t="s">
        <v>13</v>
      </c>
      <c r="W28" s="3519">
        <f t="shared" ref="W28:W46" si="14">J28</f>
        <v>100</v>
      </c>
      <c r="X28" s="981"/>
      <c r="Y28" s="4483"/>
      <c r="Z28" s="979" t="str">
        <f t="shared" ref="Z28:Z46" si="15">Q28</f>
        <v>楼层</v>
      </c>
      <c r="AA28" s="979">
        <f t="shared" si="3"/>
        <v>1</v>
      </c>
      <c r="AB28" s="979">
        <f t="shared" si="4"/>
        <v>1</v>
      </c>
      <c r="AC28" s="979">
        <f t="shared" si="5"/>
        <v>1</v>
      </c>
    </row>
    <row r="29" spans="1:29" ht="15" hidden="1">
      <c r="A29" s="272"/>
      <c r="B29" s="3043">
        <v>111</v>
      </c>
      <c r="C29" s="3061"/>
      <c r="D29" s="3158">
        <v>100</v>
      </c>
      <c r="E29" s="3061"/>
      <c r="F29" s="3146">
        <f>SUMIF(94:94,E29,95:95)-SUMIF(94:94,C29,95:95)+100</f>
        <v>100</v>
      </c>
      <c r="G29" s="3061"/>
      <c r="H29" s="3134">
        <f>SUMIF(94:94,G29,95:95)-SUMIF(94:94,C29,95:95)+100</f>
        <v>100</v>
      </c>
      <c r="I29" s="3061"/>
      <c r="J29" s="3134">
        <f>SUMIF(94:94,I29,95:95)-SUMIF(94:94,C29,95:95)+100</f>
        <v>100</v>
      </c>
      <c r="K29" s="3102"/>
      <c r="L29" s="2074"/>
      <c r="M29" s="2069"/>
      <c r="N29" s="2069"/>
      <c r="O29" s="2069"/>
      <c r="P29" s="4490"/>
      <c r="Q29" s="1587">
        <f t="shared" si="11"/>
        <v>111</v>
      </c>
      <c r="R29" s="3518" t="s">
        <v>13</v>
      </c>
      <c r="S29" s="3519">
        <f t="shared" si="12"/>
        <v>100</v>
      </c>
      <c r="T29" s="3518" t="s">
        <v>13</v>
      </c>
      <c r="U29" s="3519">
        <f t="shared" si="13"/>
        <v>100</v>
      </c>
      <c r="V29" s="3518" t="s">
        <v>13</v>
      </c>
      <c r="W29" s="3519">
        <f t="shared" si="14"/>
        <v>100</v>
      </c>
      <c r="X29" s="981"/>
      <c r="Y29" s="4483"/>
      <c r="Z29" s="979">
        <f t="shared" si="15"/>
        <v>111</v>
      </c>
      <c r="AA29" s="979">
        <f t="shared" si="3"/>
        <v>1</v>
      </c>
      <c r="AB29" s="979">
        <f t="shared" si="4"/>
        <v>1</v>
      </c>
      <c r="AC29" s="979">
        <f t="shared" si="5"/>
        <v>1</v>
      </c>
    </row>
    <row r="30" spans="1:29" ht="15" hidden="1">
      <c r="A30" s="272"/>
      <c r="B30" s="3043">
        <v>111</v>
      </c>
      <c r="C30" s="3061"/>
      <c r="D30" s="3158">
        <v>100</v>
      </c>
      <c r="E30" s="3061"/>
      <c r="F30" s="3146">
        <f>SUMIF(96:96,E30,97:97)-SUMIF(96:96,C30,97:97)+100</f>
        <v>100</v>
      </c>
      <c r="G30" s="3061"/>
      <c r="H30" s="3134">
        <f>SUMIF(96:96,G30,97:97)-SUMIF(96:96,C30,97:97)+100</f>
        <v>100</v>
      </c>
      <c r="I30" s="3061"/>
      <c r="J30" s="3134">
        <f>SUMIF(96:96,I30,97:97)-SUMIF(96:96,C30,97:97)+100</f>
        <v>100</v>
      </c>
      <c r="K30" s="3102"/>
      <c r="L30" s="2074"/>
      <c r="M30" s="2069"/>
      <c r="N30" s="2069"/>
      <c r="O30" s="2069"/>
      <c r="P30" s="4490"/>
      <c r="Q30" s="1587">
        <f t="shared" si="11"/>
        <v>111</v>
      </c>
      <c r="R30" s="3518" t="s">
        <v>13</v>
      </c>
      <c r="S30" s="3519">
        <f t="shared" si="12"/>
        <v>100</v>
      </c>
      <c r="T30" s="3518" t="s">
        <v>13</v>
      </c>
      <c r="U30" s="3519">
        <f t="shared" si="13"/>
        <v>100</v>
      </c>
      <c r="V30" s="3518" t="s">
        <v>13</v>
      </c>
      <c r="W30" s="3519">
        <f t="shared" si="14"/>
        <v>100</v>
      </c>
      <c r="X30" s="981"/>
      <c r="Y30" s="4483"/>
      <c r="Z30" s="979">
        <f t="shared" si="15"/>
        <v>111</v>
      </c>
      <c r="AA30" s="979">
        <f t="shared" si="3"/>
        <v>1</v>
      </c>
      <c r="AB30" s="979">
        <f t="shared" si="4"/>
        <v>1</v>
      </c>
      <c r="AC30" s="979">
        <f t="shared" si="5"/>
        <v>1</v>
      </c>
    </row>
    <row r="31" spans="1:29" ht="15.75" hidden="1" thickBot="1">
      <c r="A31" s="278"/>
      <c r="B31" s="3043">
        <v>111</v>
      </c>
      <c r="C31" s="3062"/>
      <c r="D31" s="3159">
        <v>100</v>
      </c>
      <c r="E31" s="3061"/>
      <c r="F31" s="3145">
        <f>SUMIF(98:98,E31,99:99)-SUMIF(98:98,C31,99:99)+100</f>
        <v>100</v>
      </c>
      <c r="G31" s="3061"/>
      <c r="H31" s="3135">
        <f>SUMIF(98:98,G31,99:99)-SUMIF(98:98,C31,99:99)+100</f>
        <v>100</v>
      </c>
      <c r="I31" s="3061"/>
      <c r="J31" s="3135">
        <f>SUMIF(98:98,I31,99:99)-SUMIF(98:98,C31,99:99)+100</f>
        <v>100</v>
      </c>
      <c r="K31" s="3102"/>
      <c r="L31" s="2074"/>
      <c r="M31" s="2069"/>
      <c r="N31" s="2069"/>
      <c r="O31" s="2069"/>
      <c r="P31" s="4490"/>
      <c r="Q31" s="1587">
        <f t="shared" si="11"/>
        <v>111</v>
      </c>
      <c r="R31" s="3518" t="s">
        <v>13</v>
      </c>
      <c r="S31" s="3519">
        <f t="shared" si="12"/>
        <v>100</v>
      </c>
      <c r="T31" s="3518" t="s">
        <v>13</v>
      </c>
      <c r="U31" s="3519">
        <f t="shared" si="13"/>
        <v>100</v>
      </c>
      <c r="V31" s="3518" t="s">
        <v>13</v>
      </c>
      <c r="W31" s="3519">
        <f t="shared" si="14"/>
        <v>100</v>
      </c>
      <c r="X31" s="981"/>
      <c r="Y31" s="4483"/>
      <c r="Z31" s="979">
        <f t="shared" si="15"/>
        <v>111</v>
      </c>
      <c r="AA31" s="979">
        <f t="shared" si="3"/>
        <v>1</v>
      </c>
      <c r="AB31" s="979">
        <f t="shared" si="4"/>
        <v>1</v>
      </c>
      <c r="AC31" s="979">
        <f t="shared" si="5"/>
        <v>1</v>
      </c>
    </row>
    <row r="32" spans="1:29" ht="15">
      <c r="A32" s="280" t="s">
        <v>1612</v>
      </c>
      <c r="B32" s="3035" t="s">
        <v>1702</v>
      </c>
      <c r="C32" s="3068"/>
      <c r="D32" s="3165">
        <v>100</v>
      </c>
      <c r="E32" s="3068"/>
      <c r="F32" s="3146">
        <f>SUMIF(100:100,E32,101:101)-SUMIF(100:100,C32,101:101)+100</f>
        <v>100</v>
      </c>
      <c r="G32" s="3068"/>
      <c r="H32" s="3134">
        <f>SUMIF(100:100,G32,101:101)-SUMIF(100:100,C32,101:101)+100</f>
        <v>100</v>
      </c>
      <c r="I32" s="3068"/>
      <c r="J32" s="3141">
        <f>SUMIF(100:100,I32,101:101)-SUMIF(100:100,C32,101:101)+100</f>
        <v>100</v>
      </c>
      <c r="K32" s="3101"/>
      <c r="L32" s="2074"/>
      <c r="M32" s="2069"/>
      <c r="N32" s="2069"/>
      <c r="O32" s="2069"/>
      <c r="P32" s="4484" t="s">
        <v>1614</v>
      </c>
      <c r="Q32" s="1587" t="str">
        <f t="shared" si="11"/>
        <v>商业类型</v>
      </c>
      <c r="R32" s="3518" t="s">
        <v>13</v>
      </c>
      <c r="S32" s="3519">
        <f t="shared" si="12"/>
        <v>100</v>
      </c>
      <c r="T32" s="3518" t="s">
        <v>13</v>
      </c>
      <c r="U32" s="3519">
        <f t="shared" si="13"/>
        <v>100</v>
      </c>
      <c r="V32" s="3518" t="s">
        <v>13</v>
      </c>
      <c r="W32" s="3519">
        <f t="shared" si="14"/>
        <v>100</v>
      </c>
      <c r="X32" s="981"/>
      <c r="Y32" s="4487" t="s">
        <v>1614</v>
      </c>
      <c r="Z32" s="979" t="str">
        <f t="shared" si="15"/>
        <v>商业类型</v>
      </c>
      <c r="AA32" s="979">
        <f t="shared" si="3"/>
        <v>1</v>
      </c>
      <c r="AB32" s="979">
        <f t="shared" si="4"/>
        <v>1</v>
      </c>
      <c r="AC32" s="979">
        <f t="shared" si="5"/>
        <v>1</v>
      </c>
    </row>
    <row r="33" spans="1:29" s="297" customFormat="1" ht="15">
      <c r="A33" s="295"/>
      <c r="B33" s="3030" t="s">
        <v>1615</v>
      </c>
      <c r="C33" s="3069"/>
      <c r="D33" s="3156">
        <v>100</v>
      </c>
      <c r="E33" s="3087"/>
      <c r="F33" s="3144">
        <f>LOOKUP(E33,103:103,104:104)-LOOKUP(C33,103:103,104:104)+100</f>
        <v>100</v>
      </c>
      <c r="G33" s="3059"/>
      <c r="H33" s="3133">
        <f>LOOKUP(G33,103:103,104:104)-LOOKUP(C33,103:103,104:104)+100</f>
        <v>100</v>
      </c>
      <c r="I33" s="3059"/>
      <c r="J33" s="3133">
        <f>LOOKUP(I33,103:103,104:104)-LOOKUP(C33,103:103,104:104)+100</f>
        <v>100</v>
      </c>
      <c r="K33" s="3102"/>
      <c r="L33" s="2073"/>
      <c r="M33" s="2075"/>
      <c r="N33" s="2075"/>
      <c r="O33" s="2075"/>
      <c r="P33" s="4485"/>
      <c r="Q33" s="409" t="str">
        <f t="shared" si="11"/>
        <v>项目建筑规模</v>
      </c>
      <c r="R33" s="3520" t="s">
        <v>13</v>
      </c>
      <c r="S33" s="3521">
        <f t="shared" si="12"/>
        <v>100</v>
      </c>
      <c r="T33" s="3520" t="s">
        <v>13</v>
      </c>
      <c r="U33" s="3521">
        <f t="shared" si="13"/>
        <v>100</v>
      </c>
      <c r="V33" s="3520" t="s">
        <v>13</v>
      </c>
      <c r="W33" s="3521">
        <f t="shared" si="14"/>
        <v>100</v>
      </c>
      <c r="X33" s="517"/>
      <c r="Y33" s="4487"/>
      <c r="Z33" s="518" t="str">
        <f t="shared" si="15"/>
        <v>项目建筑规模</v>
      </c>
      <c r="AA33" s="979">
        <f t="shared" si="3"/>
        <v>1</v>
      </c>
      <c r="AB33" s="979">
        <f t="shared" si="4"/>
        <v>1</v>
      </c>
      <c r="AC33" s="979">
        <f t="shared" si="5"/>
        <v>1</v>
      </c>
    </row>
    <row r="34" spans="1:29" ht="15">
      <c r="A34" s="298"/>
      <c r="B34" s="3030" t="s">
        <v>1616</v>
      </c>
      <c r="C34" s="3067"/>
      <c r="D34" s="3158">
        <v>100</v>
      </c>
      <c r="E34" s="3067"/>
      <c r="F34" s="3146">
        <f>SUMIF(105:105,E34,106:106)-SUMIF(105:105,C34,106:106)+100</f>
        <v>100</v>
      </c>
      <c r="G34" s="3067"/>
      <c r="H34" s="3134">
        <f>SUMIF(105:105,G34,106:106)-SUMIF(105:105,C34,106:106)+100</f>
        <v>100</v>
      </c>
      <c r="I34" s="3067"/>
      <c r="J34" s="3134">
        <f>SUMIF(105:105,I34,106:106)-SUMIF(105:105,C34,106:106)+100</f>
        <v>100</v>
      </c>
      <c r="K34" s="3101"/>
      <c r="L34" s="2074"/>
      <c r="M34" s="2069"/>
      <c r="N34" s="2069"/>
      <c r="O34" s="2069"/>
      <c r="P34" s="4485"/>
      <c r="Q34" s="1587" t="str">
        <f t="shared" si="11"/>
        <v>建筑结构</v>
      </c>
      <c r="R34" s="3518" t="s">
        <v>13</v>
      </c>
      <c r="S34" s="3519">
        <f t="shared" si="12"/>
        <v>100</v>
      </c>
      <c r="T34" s="3518" t="s">
        <v>13</v>
      </c>
      <c r="U34" s="3519">
        <f t="shared" si="13"/>
        <v>100</v>
      </c>
      <c r="V34" s="3518" t="s">
        <v>13</v>
      </c>
      <c r="W34" s="3519">
        <f t="shared" si="14"/>
        <v>100</v>
      </c>
      <c r="X34" s="981"/>
      <c r="Y34" s="4487"/>
      <c r="Z34" s="979" t="str">
        <f t="shared" si="15"/>
        <v>建筑结构</v>
      </c>
      <c r="AA34" s="979">
        <f t="shared" si="3"/>
        <v>1</v>
      </c>
      <c r="AB34" s="979">
        <f t="shared" si="4"/>
        <v>1</v>
      </c>
      <c r="AC34" s="979">
        <f t="shared" si="5"/>
        <v>1</v>
      </c>
    </row>
    <row r="35" spans="1:29" ht="15">
      <c r="A35" s="298"/>
      <c r="B35" s="3030" t="s">
        <v>1703</v>
      </c>
      <c r="C35" s="3070"/>
      <c r="D35" s="3158">
        <v>100</v>
      </c>
      <c r="E35" s="3070"/>
      <c r="F35" s="3146">
        <f>SUMIF(107:107,E35,108:108)-SUMIF(107:107,C35,108:108)+100</f>
        <v>100</v>
      </c>
      <c r="G35" s="3070"/>
      <c r="H35" s="3134">
        <f>SUMIF(107:107,G35,108:108)-SUMIF(107:107,C35,108:108)+100</f>
        <v>100</v>
      </c>
      <c r="I35" s="3070"/>
      <c r="J35" s="3134">
        <f>SUMIF(107:107,I35,108:108)-SUMIF(107:107,C35,108:108)+100</f>
        <v>100</v>
      </c>
      <c r="K35" s="3101"/>
      <c r="L35" s="2074"/>
      <c r="M35" s="2069"/>
      <c r="N35" s="2069"/>
      <c r="O35" s="2069"/>
      <c r="P35" s="4485"/>
      <c r="Q35" s="1587" t="str">
        <f t="shared" si="11"/>
        <v>公共部分装修</v>
      </c>
      <c r="R35" s="3518" t="s">
        <v>13</v>
      </c>
      <c r="S35" s="3519">
        <f t="shared" si="12"/>
        <v>100</v>
      </c>
      <c r="T35" s="3518" t="s">
        <v>13</v>
      </c>
      <c r="U35" s="3519">
        <f t="shared" si="13"/>
        <v>100</v>
      </c>
      <c r="V35" s="3518" t="s">
        <v>13</v>
      </c>
      <c r="W35" s="3519">
        <f t="shared" si="14"/>
        <v>100</v>
      </c>
      <c r="X35" s="981"/>
      <c r="Y35" s="4487"/>
      <c r="Z35" s="979" t="str">
        <f t="shared" si="15"/>
        <v>公共部分装修</v>
      </c>
      <c r="AA35" s="979">
        <f t="shared" si="3"/>
        <v>1</v>
      </c>
      <c r="AB35" s="979">
        <f t="shared" si="4"/>
        <v>1</v>
      </c>
      <c r="AC35" s="979">
        <f t="shared" si="5"/>
        <v>1</v>
      </c>
    </row>
    <row r="36" spans="1:29" ht="15">
      <c r="A36" s="298"/>
      <c r="B36" s="3030" t="s">
        <v>1704</v>
      </c>
      <c r="C36" s="3071">
        <v>0.7</v>
      </c>
      <c r="D36" s="3158">
        <v>100</v>
      </c>
      <c r="E36" s="3071">
        <v>0.8</v>
      </c>
      <c r="F36" s="3146">
        <f>LOOKUP(E36,110:110,111:111)-LOOKUP(C36,110:110,111:111)+100</f>
        <v>105</v>
      </c>
      <c r="G36" s="3071">
        <v>0.8</v>
      </c>
      <c r="H36" s="3146">
        <f>LOOKUP(G36,110:110,111:111)-LOOKUP(C36,110:110,111:111)+100</f>
        <v>105</v>
      </c>
      <c r="I36" s="3071">
        <v>0.8</v>
      </c>
      <c r="J36" s="3134">
        <f>LOOKUP(I36,110:110,111:111)-LOOKUP(C36,110:110,111:111)+100</f>
        <v>105</v>
      </c>
      <c r="K36" s="3101">
        <v>5</v>
      </c>
      <c r="L36" s="2074"/>
      <c r="M36" s="2069"/>
      <c r="N36" s="2069"/>
      <c r="O36" s="2069"/>
      <c r="P36" s="4485"/>
      <c r="Q36" s="1587" t="str">
        <f t="shared" si="11"/>
        <v>成新度</v>
      </c>
      <c r="R36" s="3518" t="s">
        <v>13</v>
      </c>
      <c r="S36" s="3519">
        <f t="shared" si="12"/>
        <v>105</v>
      </c>
      <c r="T36" s="3518" t="s">
        <v>13</v>
      </c>
      <c r="U36" s="3519">
        <f t="shared" si="13"/>
        <v>105</v>
      </c>
      <c r="V36" s="3518" t="s">
        <v>13</v>
      </c>
      <c r="W36" s="3519">
        <f t="shared" si="14"/>
        <v>105</v>
      </c>
      <c r="X36" s="981"/>
      <c r="Y36" s="4487"/>
      <c r="Z36" s="979" t="str">
        <f t="shared" si="15"/>
        <v>成新度</v>
      </c>
      <c r="AA36" s="979">
        <f t="shared" si="3"/>
        <v>0.95238095238095233</v>
      </c>
      <c r="AB36" s="979">
        <f t="shared" si="4"/>
        <v>0.95238095238095233</v>
      </c>
      <c r="AC36" s="979">
        <f t="shared" si="5"/>
        <v>0.95238095238095233</v>
      </c>
    </row>
    <row r="37" spans="1:29" s="61" customFormat="1" ht="15">
      <c r="A37" s="299"/>
      <c r="B37" s="3030" t="s">
        <v>1705</v>
      </c>
      <c r="C37" s="3070"/>
      <c r="D37" s="3156">
        <v>100</v>
      </c>
      <c r="E37" s="3070"/>
      <c r="F37" s="3146">
        <f>SUMIF(112:112,E37,113:113)-SUMIF(112:112,C37,113:113)+100</f>
        <v>100</v>
      </c>
      <c r="G37" s="3070"/>
      <c r="H37" s="3134">
        <f>SUMIF(112:112,G37,113:113)-SUMIF(112:112,C37,113:113)+100</f>
        <v>100</v>
      </c>
      <c r="I37" s="3070"/>
      <c r="J37" s="3134">
        <f>SUMIF(112:112,I37,113:113)-SUMIF(112:112,C37,113:113)+100</f>
        <v>100</v>
      </c>
      <c r="K37" s="3101"/>
      <c r="L37" s="2070"/>
      <c r="M37" s="2021"/>
      <c r="N37" s="2021"/>
      <c r="O37" s="2021"/>
      <c r="P37" s="4485"/>
      <c r="Q37" s="1787" t="str">
        <f t="shared" si="11"/>
        <v>市政基础设施</v>
      </c>
      <c r="R37" s="3516" t="s">
        <v>13</v>
      </c>
      <c r="S37" s="3517">
        <f t="shared" si="12"/>
        <v>100</v>
      </c>
      <c r="T37" s="3516" t="s">
        <v>13</v>
      </c>
      <c r="U37" s="3517">
        <f t="shared" si="13"/>
        <v>100</v>
      </c>
      <c r="V37" s="3516" t="s">
        <v>13</v>
      </c>
      <c r="W37" s="3517">
        <f t="shared" si="14"/>
        <v>100</v>
      </c>
      <c r="X37" s="512"/>
      <c r="Y37" s="4487"/>
      <c r="Z37" s="41" t="str">
        <f t="shared" si="15"/>
        <v>市政基础设施</v>
      </c>
      <c r="AA37" s="41">
        <f t="shared" si="3"/>
        <v>1</v>
      </c>
      <c r="AB37" s="41">
        <f t="shared" si="4"/>
        <v>1</v>
      </c>
      <c r="AC37" s="41">
        <f t="shared" si="5"/>
        <v>1</v>
      </c>
    </row>
    <row r="38" spans="1:29" ht="15">
      <c r="A38" s="298"/>
      <c r="B38" s="3030" t="s">
        <v>1706</v>
      </c>
      <c r="C38" s="3070"/>
      <c r="D38" s="3158">
        <v>100</v>
      </c>
      <c r="E38" s="3070"/>
      <c r="F38" s="3146">
        <f>SUMIF(114:114,E38,115:115)-SUMIF(114:114,C38,115:115)+100</f>
        <v>100</v>
      </c>
      <c r="G38" s="3070"/>
      <c r="H38" s="3134">
        <f>SUMIF(114:114,G38,115:115)-SUMIF(114:114,C38,115:115)+100</f>
        <v>100</v>
      </c>
      <c r="I38" s="3070"/>
      <c r="J38" s="3134">
        <f>SUMIF(114:114,I38,115:115)-SUMIF(114:114,C38,115:115)+100</f>
        <v>100</v>
      </c>
      <c r="K38" s="3101"/>
      <c r="L38" s="2074"/>
      <c r="M38" s="2069"/>
      <c r="N38" s="2069"/>
      <c r="O38" s="2069"/>
      <c r="P38" s="4485" t="s">
        <v>1614</v>
      </c>
      <c r="Q38" s="1587" t="str">
        <f t="shared" si="11"/>
        <v>业态</v>
      </c>
      <c r="R38" s="3518" t="s">
        <v>13</v>
      </c>
      <c r="S38" s="3519">
        <f t="shared" si="12"/>
        <v>100</v>
      </c>
      <c r="T38" s="3518" t="s">
        <v>13</v>
      </c>
      <c r="U38" s="3519">
        <f t="shared" si="13"/>
        <v>100</v>
      </c>
      <c r="V38" s="3518" t="s">
        <v>13</v>
      </c>
      <c r="W38" s="3519">
        <f t="shared" si="14"/>
        <v>100</v>
      </c>
      <c r="X38" s="981"/>
      <c r="Y38" s="4487" t="s">
        <v>1614</v>
      </c>
      <c r="Z38" s="979" t="str">
        <f t="shared" si="15"/>
        <v>业态</v>
      </c>
      <c r="AA38" s="979">
        <f t="shared" si="3"/>
        <v>1</v>
      </c>
      <c r="AB38" s="979">
        <f t="shared" si="4"/>
        <v>1</v>
      </c>
      <c r="AC38" s="979">
        <f t="shared" si="5"/>
        <v>1</v>
      </c>
    </row>
    <row r="39" spans="1:29" ht="15">
      <c r="A39" s="298"/>
      <c r="B39" s="3030" t="s">
        <v>1707</v>
      </c>
      <c r="C39" s="3070"/>
      <c r="D39" s="3158">
        <v>100</v>
      </c>
      <c r="E39" s="3070"/>
      <c r="F39" s="3146">
        <f>SUMIF(116:116,E39,117:117)-SUMIF(116:116,C39,117:117)+100</f>
        <v>100</v>
      </c>
      <c r="G39" s="3070"/>
      <c r="H39" s="3134">
        <f>SUMIF(116:116,G39,117:117)-SUMIF(116:116,C39,117:117)+100</f>
        <v>100</v>
      </c>
      <c r="I39" s="3070"/>
      <c r="J39" s="3134">
        <f>SUMIF(116:116,I39,117:117)-SUMIF(116:116,C39,117:117)+100</f>
        <v>100</v>
      </c>
      <c r="K39" s="3101"/>
      <c r="L39" s="2074"/>
      <c r="M39" s="2069"/>
      <c r="N39" s="2069"/>
      <c r="O39" s="2069"/>
      <c r="P39" s="4485"/>
      <c r="Q39" s="1587" t="str">
        <f t="shared" si="11"/>
        <v>层高</v>
      </c>
      <c r="R39" s="3518" t="s">
        <v>13</v>
      </c>
      <c r="S39" s="3519">
        <f t="shared" si="12"/>
        <v>100</v>
      </c>
      <c r="T39" s="3518" t="s">
        <v>13</v>
      </c>
      <c r="U39" s="3519">
        <f t="shared" si="13"/>
        <v>100</v>
      </c>
      <c r="V39" s="3518" t="s">
        <v>13</v>
      </c>
      <c r="W39" s="3519">
        <f t="shared" si="14"/>
        <v>100</v>
      </c>
      <c r="X39" s="981"/>
      <c r="Y39" s="4487"/>
      <c r="Z39" s="979" t="str">
        <f t="shared" si="15"/>
        <v>层高</v>
      </c>
      <c r="AA39" s="979">
        <f t="shared" si="3"/>
        <v>1</v>
      </c>
      <c r="AB39" s="979">
        <f t="shared" si="4"/>
        <v>1</v>
      </c>
      <c r="AC39" s="979">
        <f t="shared" si="5"/>
        <v>1</v>
      </c>
    </row>
    <row r="40" spans="1:29" ht="15">
      <c r="A40" s="298"/>
      <c r="B40" s="3030" t="s">
        <v>1708</v>
      </c>
      <c r="C40" s="3082"/>
      <c r="D40" s="3158">
        <v>100</v>
      </c>
      <c r="E40" s="3093"/>
      <c r="F40" s="3146">
        <f>SUMIF(118:118,E40,119:119)-SUMIF(118:118,C40,119:119)+100</f>
        <v>100</v>
      </c>
      <c r="G40" s="3093"/>
      <c r="H40" s="3134">
        <f>SUMIF(118:118,G40,119:119)-SUMIF(118:118,C40,119:119)+100</f>
        <v>100</v>
      </c>
      <c r="I40" s="3093"/>
      <c r="J40" s="3134">
        <f>SUMIF(118:118,I40,119:119)-SUMIF(118:118,C40,119:119)+100</f>
        <v>100</v>
      </c>
      <c r="K40" s="3102"/>
      <c r="L40" s="2074"/>
      <c r="M40" s="2069"/>
      <c r="N40" s="2069"/>
      <c r="O40" s="2069"/>
      <c r="P40" s="4485"/>
      <c r="Q40" s="1587" t="str">
        <f t="shared" si="11"/>
        <v>单套建筑面积</v>
      </c>
      <c r="R40" s="3518" t="s">
        <v>13</v>
      </c>
      <c r="S40" s="3519">
        <f t="shared" si="12"/>
        <v>100</v>
      </c>
      <c r="T40" s="3518" t="s">
        <v>13</v>
      </c>
      <c r="U40" s="3519">
        <f t="shared" si="13"/>
        <v>100</v>
      </c>
      <c r="V40" s="3518" t="s">
        <v>13</v>
      </c>
      <c r="W40" s="3519">
        <f t="shared" si="14"/>
        <v>100</v>
      </c>
      <c r="X40" s="981"/>
      <c r="Y40" s="4487"/>
      <c r="Z40" s="979" t="str">
        <f t="shared" si="15"/>
        <v>单套建筑面积</v>
      </c>
      <c r="AA40" s="979">
        <f t="shared" si="3"/>
        <v>1</v>
      </c>
      <c r="AB40" s="979">
        <f t="shared" si="4"/>
        <v>1</v>
      </c>
      <c r="AC40" s="979">
        <f t="shared" si="5"/>
        <v>1</v>
      </c>
    </row>
    <row r="41" spans="1:29" s="297" customFormat="1" ht="15">
      <c r="A41" s="295"/>
      <c r="B41" s="3083" t="s">
        <v>1709</v>
      </c>
      <c r="C41" s="3080"/>
      <c r="D41" s="3158">
        <v>100</v>
      </c>
      <c r="E41" s="3080"/>
      <c r="F41" s="3146">
        <f>SUMIF(120:120,E41,121:121)-SUMIF(120:120,C41,121:121)+100</f>
        <v>100</v>
      </c>
      <c r="G41" s="3080"/>
      <c r="H41" s="3134">
        <f>SUMIF(120:120,G41,121:121)-SUMIF(120:120,C41,121:121)+100</f>
        <v>100</v>
      </c>
      <c r="I41" s="3080"/>
      <c r="J41" s="3134">
        <f>SUMIF(120:120,I41,121:121)-SUMIF(120:120,C41,121:121)+100</f>
        <v>100</v>
      </c>
      <c r="K41" s="3101"/>
      <c r="L41" s="2073"/>
      <c r="M41" s="2075"/>
      <c r="N41" s="2075"/>
      <c r="O41" s="2075"/>
      <c r="P41" s="4485"/>
      <c r="Q41" s="409" t="str">
        <f t="shared" si="11"/>
        <v>进深比</v>
      </c>
      <c r="R41" s="3520" t="s">
        <v>13</v>
      </c>
      <c r="S41" s="3521">
        <f t="shared" si="12"/>
        <v>100</v>
      </c>
      <c r="T41" s="3520" t="s">
        <v>13</v>
      </c>
      <c r="U41" s="3521">
        <f t="shared" si="13"/>
        <v>100</v>
      </c>
      <c r="V41" s="3520" t="s">
        <v>13</v>
      </c>
      <c r="W41" s="3521">
        <f t="shared" si="14"/>
        <v>100</v>
      </c>
      <c r="X41" s="517"/>
      <c r="Y41" s="4487"/>
      <c r="Z41" s="518" t="str">
        <f t="shared" si="15"/>
        <v>进深比</v>
      </c>
      <c r="AA41" s="979">
        <f t="shared" si="3"/>
        <v>1</v>
      </c>
      <c r="AB41" s="979">
        <f t="shared" si="4"/>
        <v>1</v>
      </c>
      <c r="AC41" s="979">
        <f t="shared" si="5"/>
        <v>1</v>
      </c>
    </row>
    <row r="42" spans="1:29" ht="15">
      <c r="A42" s="298"/>
      <c r="B42" s="3030" t="s">
        <v>1710</v>
      </c>
      <c r="C42" s="3070"/>
      <c r="D42" s="3158">
        <v>100</v>
      </c>
      <c r="E42" s="3070"/>
      <c r="F42" s="3146">
        <f>SUMIF(122:122,E42,123:123)-SUMIF(122:122,C42,123:123)+100</f>
        <v>100</v>
      </c>
      <c r="G42" s="3070"/>
      <c r="H42" s="3134">
        <f>SUMIF(122:122,G42,123:123)-SUMIF(122:122,C42,123:123)+100</f>
        <v>100</v>
      </c>
      <c r="I42" s="3070"/>
      <c r="J42" s="3134">
        <f>SUMIF(122:122,I42,123:123)-SUMIF(122:122,C42,123:123)+100</f>
        <v>100</v>
      </c>
      <c r="K42" s="3101"/>
      <c r="L42" s="2074"/>
      <c r="M42" s="2069"/>
      <c r="N42" s="2069"/>
      <c r="O42" s="2069"/>
      <c r="P42" s="4485"/>
      <c r="Q42" s="1587" t="str">
        <f t="shared" si="11"/>
        <v>内部装修</v>
      </c>
      <c r="R42" s="3518" t="s">
        <v>13</v>
      </c>
      <c r="S42" s="3519">
        <f t="shared" si="12"/>
        <v>100</v>
      </c>
      <c r="T42" s="3518" t="s">
        <v>13</v>
      </c>
      <c r="U42" s="3519">
        <f t="shared" si="13"/>
        <v>100</v>
      </c>
      <c r="V42" s="3518" t="s">
        <v>13</v>
      </c>
      <c r="W42" s="3519">
        <f t="shared" si="14"/>
        <v>100</v>
      </c>
      <c r="X42" s="981"/>
      <c r="Y42" s="4487"/>
      <c r="Z42" s="979" t="str">
        <f t="shared" si="15"/>
        <v>内部装修</v>
      </c>
      <c r="AA42" s="979">
        <f t="shared" si="3"/>
        <v>1</v>
      </c>
      <c r="AB42" s="979">
        <f t="shared" si="4"/>
        <v>1</v>
      </c>
      <c r="AC42" s="979">
        <f t="shared" si="5"/>
        <v>1</v>
      </c>
    </row>
    <row r="43" spans="1:29" ht="15.75" thickBot="1">
      <c r="A43" s="298"/>
      <c r="B43" s="3030" t="s">
        <v>1625</v>
      </c>
      <c r="C43" s="3070"/>
      <c r="D43" s="3158">
        <v>100</v>
      </c>
      <c r="E43" s="3070"/>
      <c r="F43" s="3146">
        <f>SUMIF(124:124,E43,125:125)-SUMIF(124:124,C43,125:125)+100</f>
        <v>100</v>
      </c>
      <c r="G43" s="3070"/>
      <c r="H43" s="3134">
        <f>SUMIF(124:124,G43,125:125)-SUMIF(124:124,C43,125:125)+100</f>
        <v>100</v>
      </c>
      <c r="I43" s="3070"/>
      <c r="J43" s="3134">
        <f>SUMIF(124:124,I43,125:125)-SUMIF(124:124,C43,125:125)+100</f>
        <v>100</v>
      </c>
      <c r="K43" s="3101"/>
      <c r="L43" s="2074"/>
      <c r="M43" s="2069"/>
      <c r="N43" s="2069"/>
      <c r="O43" s="2069"/>
      <c r="P43" s="4485"/>
      <c r="Q43" s="1587" t="str">
        <f t="shared" si="11"/>
        <v>内部装修维护情况</v>
      </c>
      <c r="R43" s="3518" t="s">
        <v>13</v>
      </c>
      <c r="S43" s="3519">
        <f t="shared" si="12"/>
        <v>100</v>
      </c>
      <c r="T43" s="3518" t="s">
        <v>13</v>
      </c>
      <c r="U43" s="3519">
        <f t="shared" si="13"/>
        <v>100</v>
      </c>
      <c r="V43" s="3518" t="s">
        <v>13</v>
      </c>
      <c r="W43" s="3519">
        <f t="shared" si="14"/>
        <v>100</v>
      </c>
      <c r="X43" s="981"/>
      <c r="Y43" s="4487"/>
      <c r="Z43" s="979" t="str">
        <f t="shared" si="15"/>
        <v>内部装修维护情况</v>
      </c>
      <c r="AA43" s="979">
        <f t="shared" si="3"/>
        <v>1</v>
      </c>
      <c r="AB43" s="979">
        <f t="shared" si="4"/>
        <v>1</v>
      </c>
      <c r="AC43" s="979">
        <f t="shared" si="5"/>
        <v>1</v>
      </c>
    </row>
    <row r="44" spans="1:29" s="61" customFormat="1" ht="15" hidden="1">
      <c r="A44" s="299"/>
      <c r="B44" s="3043">
        <v>111</v>
      </c>
      <c r="C44" s="3069"/>
      <c r="D44" s="3156">
        <v>100</v>
      </c>
      <c r="E44" s="3061"/>
      <c r="F44" s="3144">
        <f>SUMIF(126:126,E44,127:127)-SUMIF(126:126,C44,127:127)+100</f>
        <v>100</v>
      </c>
      <c r="G44" s="3061"/>
      <c r="H44" s="3133">
        <f>SUMIF(126:126,G44,127:127)-SUMIF(126:126,C44,127:127)+100</f>
        <v>100</v>
      </c>
      <c r="I44" s="3061"/>
      <c r="J44" s="3133">
        <f>SUMIF(126:126,I44,127:127)-SUMIF(126:126,C44,127:127)+100</f>
        <v>100</v>
      </c>
      <c r="K44" s="3102"/>
      <c r="L44" s="2070"/>
      <c r="M44" s="2021"/>
      <c r="N44" s="2021"/>
      <c r="O44" s="2021"/>
      <c r="P44" s="4485"/>
      <c r="Q44" s="1787">
        <f t="shared" si="11"/>
        <v>111</v>
      </c>
      <c r="R44" s="3516" t="s">
        <v>13</v>
      </c>
      <c r="S44" s="3517">
        <f t="shared" si="12"/>
        <v>100</v>
      </c>
      <c r="T44" s="3516" t="s">
        <v>13</v>
      </c>
      <c r="U44" s="3517">
        <f t="shared" si="13"/>
        <v>100</v>
      </c>
      <c r="V44" s="3516" t="s">
        <v>13</v>
      </c>
      <c r="W44" s="3517">
        <f t="shared" si="14"/>
        <v>100</v>
      </c>
      <c r="X44" s="512"/>
      <c r="Y44" s="4487"/>
      <c r="Z44" s="41">
        <f t="shared" si="15"/>
        <v>111</v>
      </c>
      <c r="AA44" s="41">
        <f t="shared" si="3"/>
        <v>1</v>
      </c>
      <c r="AB44" s="41">
        <f t="shared" si="4"/>
        <v>1</v>
      </c>
      <c r="AC44" s="41">
        <f t="shared" si="5"/>
        <v>1</v>
      </c>
    </row>
    <row r="45" spans="1:29" ht="15" hidden="1">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102"/>
      <c r="L45" s="2074"/>
      <c r="M45" s="2069"/>
      <c r="N45" s="2069"/>
      <c r="O45" s="2069"/>
      <c r="P45" s="4485"/>
      <c r="Q45" s="1587">
        <f t="shared" si="11"/>
        <v>111</v>
      </c>
      <c r="R45" s="3518" t="s">
        <v>13</v>
      </c>
      <c r="S45" s="3519">
        <f t="shared" si="12"/>
        <v>100</v>
      </c>
      <c r="T45" s="3518" t="s">
        <v>13</v>
      </c>
      <c r="U45" s="3519">
        <f t="shared" si="13"/>
        <v>100</v>
      </c>
      <c r="V45" s="3518" t="s">
        <v>13</v>
      </c>
      <c r="W45" s="3519">
        <f t="shared" si="14"/>
        <v>100</v>
      </c>
      <c r="X45" s="981"/>
      <c r="Y45" s="4487"/>
      <c r="Z45" s="979">
        <f t="shared" si="15"/>
        <v>111</v>
      </c>
      <c r="AA45" s="979">
        <f t="shared" si="3"/>
        <v>1</v>
      </c>
      <c r="AB45" s="979">
        <f t="shared" si="4"/>
        <v>1</v>
      </c>
      <c r="AC45" s="979">
        <f t="shared" si="5"/>
        <v>1</v>
      </c>
    </row>
    <row r="46" spans="1:29" ht="15.75" hidden="1" thickBot="1">
      <c r="A46" s="303"/>
      <c r="B46" s="3037">
        <v>111</v>
      </c>
      <c r="C46" s="3062"/>
      <c r="D46" s="3159">
        <v>100</v>
      </c>
      <c r="E46" s="3061"/>
      <c r="F46" s="3145">
        <f>SUMIF(130:130,E46,131:131)-SUMIF(130:130,C46,131:131)+100</f>
        <v>100</v>
      </c>
      <c r="G46" s="3061"/>
      <c r="H46" s="3135">
        <f>SUMIF(130:130,G46,131:131)-SUMIF(130:130,C46,131:131)+100</f>
        <v>100</v>
      </c>
      <c r="I46" s="3061"/>
      <c r="J46" s="3135">
        <f>SUMIF(130:130,I46,131:131)-SUMIF(130:130,C46,131:131)+100</f>
        <v>100</v>
      </c>
      <c r="K46" s="3102"/>
      <c r="L46" s="2074"/>
      <c r="M46" s="2069"/>
      <c r="N46" s="2069"/>
      <c r="O46" s="2069"/>
      <c r="P46" s="4486"/>
      <c r="Q46" s="1587">
        <f t="shared" si="11"/>
        <v>111</v>
      </c>
      <c r="R46" s="3518" t="s">
        <v>13</v>
      </c>
      <c r="S46" s="3519">
        <f t="shared" si="12"/>
        <v>100</v>
      </c>
      <c r="T46" s="3518" t="s">
        <v>13</v>
      </c>
      <c r="U46" s="3519">
        <f t="shared" si="13"/>
        <v>100</v>
      </c>
      <c r="V46" s="3518" t="s">
        <v>13</v>
      </c>
      <c r="W46" s="3519">
        <f t="shared" si="14"/>
        <v>100</v>
      </c>
      <c r="X46" s="981"/>
      <c r="Y46" s="4488"/>
      <c r="Z46" s="979">
        <f t="shared" si="15"/>
        <v>111</v>
      </c>
      <c r="AA46" s="979">
        <f t="shared" si="3"/>
        <v>1</v>
      </c>
      <c r="AB46" s="979">
        <f t="shared" si="4"/>
        <v>1</v>
      </c>
      <c r="AC46" s="979">
        <f t="shared" si="5"/>
        <v>1</v>
      </c>
    </row>
    <row r="47" spans="1:29" ht="15">
      <c r="A47" s="304" t="s">
        <v>1626</v>
      </c>
      <c r="B47" s="305"/>
      <c r="C47" s="829" t="s">
        <v>0</v>
      </c>
      <c r="D47" s="306"/>
      <c r="E47" s="3166">
        <v>6.8</v>
      </c>
      <c r="F47" s="3510"/>
      <c r="G47" s="3594">
        <v>6.5</v>
      </c>
      <c r="H47" s="3512"/>
      <c r="I47" s="3166">
        <v>5.7</v>
      </c>
      <c r="J47" s="3512"/>
      <c r="K47" s="3106"/>
      <c r="L47" s="2076"/>
      <c r="M47" s="2069"/>
      <c r="N47" s="2069"/>
      <c r="O47" s="2069"/>
      <c r="P47" s="4480" t="str">
        <f>A47</f>
        <v>成交单价（元/平方米）</v>
      </c>
      <c r="Q47" s="4480"/>
      <c r="R47" s="4481">
        <f>E47</f>
        <v>6.8</v>
      </c>
      <c r="S47" s="4481"/>
      <c r="T47" s="4481">
        <f>G47</f>
        <v>6.5</v>
      </c>
      <c r="U47" s="4481"/>
      <c r="V47" s="4481">
        <f>I47</f>
        <v>5.7</v>
      </c>
      <c r="W47" s="4481"/>
      <c r="X47" s="283"/>
      <c r="Y47" s="519"/>
      <c r="Z47" s="283"/>
      <c r="AA47" s="283"/>
      <c r="AB47" s="283"/>
      <c r="AC47" s="283"/>
    </row>
    <row r="48" spans="1:29" ht="15.75" thickBot="1">
      <c r="A48" s="307" t="s">
        <v>1711</v>
      </c>
      <c r="B48" s="308"/>
      <c r="C48" s="3149">
        <f>R49</f>
        <v>5.8</v>
      </c>
      <c r="D48" s="1782" t="s">
        <v>2054</v>
      </c>
      <c r="E48" s="3151">
        <f>R48</f>
        <v>6.2</v>
      </c>
      <c r="F48" s="3044"/>
      <c r="G48" s="3149">
        <f>T48</f>
        <v>5.9</v>
      </c>
      <c r="H48" s="3044"/>
      <c r="I48" s="3151">
        <f>V48</f>
        <v>5.2</v>
      </c>
      <c r="J48" s="3044"/>
      <c r="K48" s="3099">
        <f>F48+H48+J48</f>
        <v>0</v>
      </c>
      <c r="L48" s="2076"/>
      <c r="M48" s="2069"/>
      <c r="N48" s="2069"/>
      <c r="O48" s="2069"/>
      <c r="P48" s="4480" t="str">
        <f>A48</f>
        <v>比较价值（元/平方米）</v>
      </c>
      <c r="Q48" s="4480"/>
      <c r="R48" s="4481">
        <f>IF(F1="售价",ROUND(PRODUCT(R47,AA7:AA46),0),ROUND(PRODUCT(R47,AA7:AA46),1))</f>
        <v>6.2</v>
      </c>
      <c r="S48" s="4481"/>
      <c r="T48" s="4481">
        <f>IF(F1="售价",ROUND(PRODUCT(T47,AB7:AB46),0),ROUND(PRODUCT(T47,AB7:AB46),1))</f>
        <v>5.9</v>
      </c>
      <c r="U48" s="4481"/>
      <c r="V48" s="4481">
        <f>IF(F1="售价",ROUND(PRODUCT(V47,AC7:AC46),0),ROUND(PRODUCT(V47,AC7:AC46),1))</f>
        <v>5.2</v>
      </c>
      <c r="W48" s="4481"/>
      <c r="X48" s="283"/>
      <c r="Y48" s="283"/>
      <c r="Z48" s="283"/>
      <c r="AA48" s="283"/>
      <c r="AB48" s="283"/>
      <c r="AC48" s="283"/>
    </row>
    <row r="49" spans="1:29" ht="15.75" thickBot="1">
      <c r="A49" s="309" t="s">
        <v>1712</v>
      </c>
      <c r="B49" s="310"/>
      <c r="C49" s="3167">
        <f>R49</f>
        <v>5.8</v>
      </c>
      <c r="D49" s="259"/>
      <c r="E49" s="259"/>
      <c r="F49" s="259"/>
      <c r="G49" s="259"/>
      <c r="H49" s="259"/>
      <c r="I49" s="259"/>
      <c r="J49" s="259"/>
      <c r="K49" s="520"/>
      <c r="L49" s="2076"/>
      <c r="M49" s="2069"/>
      <c r="N49" s="2069"/>
      <c r="O49" s="2069"/>
      <c r="P49" s="4477" t="str">
        <f>A49</f>
        <v>估价对象XX用房的比较价值（楼面单价，元/平方米）</v>
      </c>
      <c r="Q49" s="4478"/>
      <c r="R49" s="4479">
        <f>IF(F1="售价",ROUND(IF(D48="简单平均",AVERAGE(R48:V48),R48*F48+T48*H48+V48*J48),0),ROUND(IF(D48="简单平均",AVERAGE(R48:V48),R48*F48+T48*H48+V48*J48),1))</f>
        <v>5.8</v>
      </c>
      <c r="S49" s="4479"/>
      <c r="T49" s="4479"/>
      <c r="U49" s="4479"/>
      <c r="V49" s="4479"/>
      <c r="W49" s="447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1713</v>
      </c>
      <c r="D52" s="315"/>
      <c r="E52" s="316">
        <f>IF(E47&lt;E48,E48/E47-1,E47/E48-1)</f>
        <v>9.6774193548387011E-2</v>
      </c>
      <c r="F52" s="317" t="str">
        <f>IF(OR(E52&gt;=0.3,E52&lt;=-0.3),"超过30%","")</f>
        <v/>
      </c>
      <c r="G52" s="316">
        <f>IF(G47&lt;G48,G48/G47-1,G47/G48-1)</f>
        <v>0.10169491525423724</v>
      </c>
      <c r="H52" s="317" t="str">
        <f>IF(OR(G52&gt;=0.3,G52&lt;=-0.3),"超过30%","")</f>
        <v/>
      </c>
      <c r="I52" s="316">
        <f>IF(I47&lt;I48,I48/I47-1,I47/I48-1)</f>
        <v>9.6153846153846256E-2</v>
      </c>
      <c r="J52" s="317" t="str">
        <f>IF(OR(I52&gt;=0.3,I52&lt;=-0.3),"超过30%","")</f>
        <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1714</v>
      </c>
      <c r="D53" s="318"/>
      <c r="E53" s="316">
        <f>IF(E48&lt;G48,G48/E48-1,E48/G48-1)</f>
        <v>5.0847457627118509E-2</v>
      </c>
      <c r="F53" s="317" t="str">
        <f>IF(OR(E53&gt;=0.2,E53&lt;=-0.2),"超过20%","")</f>
        <v/>
      </c>
      <c r="G53" s="316">
        <f>IF(G48&lt;I48,I48/G48-1,G48/I48-1)</f>
        <v>0.13461538461538458</v>
      </c>
      <c r="H53" s="317" t="str">
        <f>IF(OR(G53&gt;=0.2,G53&lt;=-0.2),"超过20%","")</f>
        <v/>
      </c>
      <c r="I53" s="316">
        <f>IF(I48&lt;E48,E48/I48-1,I48/E48-1)</f>
        <v>0.19230769230769229</v>
      </c>
      <c r="J53" s="317" t="str">
        <f>IF(OR(I53&gt;=0.2,I53&lt;=-0.2),"超过20%","")</f>
        <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1715</v>
      </c>
      <c r="D54" s="318"/>
      <c r="E54" s="316">
        <f>IF(E47&lt;G47,G47/E47-1,E47/G47-1)</f>
        <v>4.6153846153846212E-2</v>
      </c>
      <c r="F54" s="317" t="str">
        <f>IF(OR(E54&gt;=0.3,E54&lt;=-0.3),"超过30%","")</f>
        <v/>
      </c>
      <c r="G54" s="316">
        <f>IF(G47&lt;I47,I47/G47-1,G47/I47-1)</f>
        <v>0.14035087719298245</v>
      </c>
      <c r="H54" s="317" t="str">
        <f>IF(OR(G54&gt;=0.3,G54&lt;=-0.3),"超过30%","")</f>
        <v/>
      </c>
      <c r="I54" s="316">
        <f>IF(I47&lt;E47,E47/I47-1,I47/E47-1)</f>
        <v>0.19298245614035081</v>
      </c>
      <c r="J54" s="317" t="str">
        <f>IF(OR(I54&gt;=0.3,I54&lt;=-0.3),"超过30%","")</f>
        <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1716</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1634</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1599</v>
      </c>
      <c r="B61" s="325"/>
      <c r="C61" s="337" t="s">
        <v>1694</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1637</v>
      </c>
      <c r="B63" s="340" t="s">
        <v>1603</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1606</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1607</v>
      </c>
      <c r="C67" s="358" t="str">
        <f>C68&amp;"（含）"&amp;"-"&amp;D68</f>
        <v>0（含）-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v>0</v>
      </c>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1608</v>
      </c>
      <c r="B76" s="340" t="s">
        <v>1638</v>
      </c>
      <c r="C76" s="382" t="s">
        <v>1639</v>
      </c>
      <c r="D76" s="382" t="s">
        <v>1640</v>
      </c>
      <c r="E76" s="382" t="s">
        <v>1641</v>
      </c>
      <c r="F76" s="382" t="s">
        <v>1642</v>
      </c>
      <c r="G76" s="382" t="s">
        <v>1643</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1644</v>
      </c>
      <c r="C78" s="386" t="s">
        <v>1639</v>
      </c>
      <c r="D78" s="386" t="s">
        <v>1640</v>
      </c>
      <c r="E78" s="386" t="s">
        <v>1641</v>
      </c>
      <c r="F78" s="386" t="s">
        <v>1642</v>
      </c>
      <c r="G78" s="386" t="s">
        <v>1643</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1645</v>
      </c>
      <c r="C80" s="386" t="s">
        <v>1639</v>
      </c>
      <c r="D80" s="386" t="s">
        <v>1640</v>
      </c>
      <c r="E80" s="386" t="s">
        <v>1641</v>
      </c>
      <c r="F80" s="386" t="s">
        <v>1642</v>
      </c>
      <c r="G80" s="386" t="s">
        <v>1643</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1697</v>
      </c>
      <c r="C82" s="453" t="s">
        <v>1717</v>
      </c>
      <c r="D82" s="453" t="s">
        <v>1718</v>
      </c>
      <c r="E82" s="453" t="s">
        <v>1719</v>
      </c>
      <c r="F82" s="453" t="s">
        <v>1720</v>
      </c>
      <c r="G82" s="453" t="s">
        <v>1721</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1651</v>
      </c>
      <c r="C84" s="386" t="s">
        <v>1639</v>
      </c>
      <c r="D84" s="386" t="s">
        <v>1640</v>
      </c>
      <c r="E84" s="386" t="s">
        <v>1641</v>
      </c>
      <c r="F84" s="386" t="s">
        <v>1642</v>
      </c>
      <c r="G84" s="386" t="s">
        <v>1643</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1722</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4152" t="s">
        <v>3851</v>
      </c>
      <c r="D90" s="4152" t="s">
        <v>3853</v>
      </c>
      <c r="E90" s="4152" t="s">
        <v>3854</v>
      </c>
      <c r="F90" s="4152" t="s">
        <v>3855</v>
      </c>
      <c r="G90" s="4152" t="s">
        <v>3856</v>
      </c>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95</v>
      </c>
      <c r="E91" s="355">
        <f t="shared" ref="E91:M91" si="21">D91-$K27</f>
        <v>90</v>
      </c>
      <c r="F91" s="355">
        <f t="shared" si="21"/>
        <v>85</v>
      </c>
      <c r="G91" s="355">
        <f t="shared" si="21"/>
        <v>80</v>
      </c>
      <c r="H91" s="355">
        <f t="shared" si="21"/>
        <v>75</v>
      </c>
      <c r="I91" s="355">
        <f t="shared" si="21"/>
        <v>70</v>
      </c>
      <c r="J91" s="355">
        <f t="shared" si="21"/>
        <v>65</v>
      </c>
      <c r="K91" s="355">
        <f t="shared" si="21"/>
        <v>60</v>
      </c>
      <c r="L91" s="355">
        <f t="shared" si="21"/>
        <v>55</v>
      </c>
      <c r="M91" s="355">
        <f t="shared" si="21"/>
        <v>50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1612</v>
      </c>
      <c r="B100" s="340" t="s">
        <v>1723</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1655</v>
      </c>
      <c r="C102" s="386" t="str">
        <f>C103&amp;"(含)"&amp;"-"&amp;D103</f>
        <v>0(含)-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v>0</v>
      </c>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v>100</v>
      </c>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1656</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1658</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105</v>
      </c>
      <c r="E111" s="355">
        <f t="shared" ref="E111:M111" si="26">D111+$K36</f>
        <v>110</v>
      </c>
      <c r="F111" s="355">
        <f t="shared" si="26"/>
        <v>115</v>
      </c>
      <c r="G111" s="355">
        <f t="shared" si="26"/>
        <v>120</v>
      </c>
      <c r="H111" s="355">
        <f t="shared" si="26"/>
        <v>125</v>
      </c>
      <c r="I111" s="355">
        <f t="shared" si="26"/>
        <v>130</v>
      </c>
      <c r="J111" s="355">
        <f t="shared" si="26"/>
        <v>135</v>
      </c>
      <c r="K111" s="355">
        <f t="shared" si="26"/>
        <v>140</v>
      </c>
      <c r="L111" s="355">
        <f t="shared" si="26"/>
        <v>145</v>
      </c>
      <c r="M111" s="355">
        <f t="shared" si="26"/>
        <v>150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1660</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1724</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1725</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1726</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1727</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1662</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1663</v>
      </c>
      <c r="C124" s="386" t="s">
        <v>1639</v>
      </c>
      <c r="D124" s="386" t="s">
        <v>1640</v>
      </c>
      <c r="E124" s="386" t="s">
        <v>1641</v>
      </c>
      <c r="F124" s="386" t="s">
        <v>1642</v>
      </c>
      <c r="G124" s="386" t="s">
        <v>1643</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18">
      <c r="A4" s="1098" t="str">
        <f>"受贵公司委托，我公司对"&amp;项目基本情况!S1&amp;"进行了预评估。"</f>
        <v>受贵公司委托，我公司对北京市房地产抵押价值进行了预评估。</v>
      </c>
    </row>
    <row r="5" spans="1:1" ht="18.75">
      <c r="A5" s="1099" t="s">
        <v>886</v>
      </c>
    </row>
    <row r="6" spans="1:1" ht="18.75">
      <c r="A6" s="1100" t="s">
        <v>887</v>
      </c>
    </row>
    <row r="7" spans="1:1" ht="36">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估价对象为北京市房地产，为所有。根据《国有土地使用证》[]，估价对象（分摊）出让国有建设用地使用权面积为0平方米，建筑面积为1048.8平方米。</v>
      </c>
    </row>
    <row r="8" spans="1:1" ht="57.75">
      <c r="A8" s="1101" t="s">
        <v>888</v>
      </c>
    </row>
    <row r="9" spans="1:1" ht="18.75">
      <c r="A9" s="1100" t="s">
        <v>889</v>
      </c>
    </row>
    <row r="10" spans="1:1" ht="54">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估价对象为北京市房地产,属开发建设的，该项目尚在开发建设中。根据《国有土地使用证》[]，估价对象（分摊）出让国有建设用地使用权面积为0平方米，规划建筑面积为1048.8平方米。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2026年1月22日（评估专业人员实地查勘之日）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本次评估采用的主估价方法为基准地价系数修正法和基准地价系数修正法。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Normal="100" workbookViewId="0">
      <pane ySplit="24" topLeftCell="A25" activePane="bottomLeft" state="frozen"/>
      <selection activeCell="G33" sqref="G33"/>
      <selection pane="bottomLeft" activeCell="R15" sqref="R15"/>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525" t="s">
        <v>2002</v>
      </c>
      <c r="D1" s="4526"/>
      <c r="E1" s="4526"/>
      <c r="F1" s="4526"/>
      <c r="G1" s="4526"/>
      <c r="H1" s="4526"/>
      <c r="I1" s="4526"/>
      <c r="J1" s="4526"/>
      <c r="K1" s="4526"/>
      <c r="L1" s="4526"/>
      <c r="M1" s="4526"/>
      <c r="N1" s="4526"/>
      <c r="O1" s="4526"/>
      <c r="P1" s="4526"/>
      <c r="Q1" s="4526"/>
      <c r="R1" s="4526"/>
      <c r="S1" s="4527"/>
      <c r="T1" s="710" t="s">
        <v>2003</v>
      </c>
    </row>
    <row r="2" spans="1:45" s="484" customFormat="1">
      <c r="A2" s="711"/>
      <c r="B2" s="481" t="s">
        <v>2004</v>
      </c>
      <c r="C2" s="11" t="str">
        <f t="shared" ref="C2:L2" si="0">C3&amp;"(含)"&amp;"-"&amp;D3</f>
        <v>0(含)-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3">
        <v>0</v>
      </c>
      <c r="D3" s="753"/>
      <c r="E3" s="753"/>
      <c r="F3" s="3204"/>
      <c r="G3" s="3204"/>
      <c r="H3" s="3204"/>
      <c r="I3" s="3204"/>
      <c r="J3" s="3204"/>
      <c r="K3" s="3204"/>
      <c r="L3" s="3205"/>
      <c r="M3" s="3206"/>
      <c r="N3" s="3206"/>
      <c r="O3" s="3204"/>
      <c r="P3" s="3204"/>
      <c r="Q3" s="3204"/>
      <c r="R3" s="3204"/>
      <c r="S3" s="3207"/>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8"/>
      <c r="D4" s="3209"/>
      <c r="E4" s="3209"/>
      <c r="F4" s="3210"/>
      <c r="G4" s="3210"/>
      <c r="H4" s="3210"/>
      <c r="I4" s="3210"/>
      <c r="J4" s="3210"/>
      <c r="K4" s="3210"/>
      <c r="L4" s="3210"/>
      <c r="M4" s="3211"/>
      <c r="N4" s="3211"/>
      <c r="O4" s="3210"/>
      <c r="P4" s="3210"/>
      <c r="Q4" s="3210"/>
      <c r="R4" s="3210"/>
      <c r="S4" s="3212"/>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2005</v>
      </c>
      <c r="C5" s="4153" t="s">
        <v>3858</v>
      </c>
      <c r="D5" s="4154" t="s">
        <v>3860</v>
      </c>
      <c r="E5" s="718"/>
      <c r="F5" s="945"/>
      <c r="G5" s="945"/>
      <c r="H5" s="945"/>
      <c r="I5" s="945"/>
      <c r="J5" s="945"/>
      <c r="K5" s="945"/>
      <c r="L5" s="946"/>
      <c r="M5" s="947"/>
      <c r="N5" s="947"/>
      <c r="O5" s="945"/>
      <c r="P5" s="945"/>
      <c r="Q5" s="945"/>
      <c r="R5" s="945"/>
      <c r="S5" s="948"/>
      <c r="T5" s="3201">
        <v>40</v>
      </c>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4">
        <v>100</v>
      </c>
      <c r="D6" s="3195">
        <f>C6-$T5</f>
        <v>60</v>
      </c>
      <c r="E6" s="3195">
        <f t="shared" ref="E6:S6" si="7">D6-$T5</f>
        <v>20</v>
      </c>
      <c r="F6" s="3196">
        <f t="shared" si="7"/>
        <v>-20</v>
      </c>
      <c r="G6" s="3196">
        <f t="shared" si="7"/>
        <v>-60</v>
      </c>
      <c r="H6" s="3196">
        <f t="shared" si="7"/>
        <v>-100</v>
      </c>
      <c r="I6" s="3196">
        <f t="shared" si="7"/>
        <v>-140</v>
      </c>
      <c r="J6" s="3196">
        <f t="shared" si="7"/>
        <v>-180</v>
      </c>
      <c r="K6" s="3196">
        <f t="shared" si="7"/>
        <v>-220</v>
      </c>
      <c r="L6" s="3196">
        <f t="shared" si="7"/>
        <v>-260</v>
      </c>
      <c r="M6" s="3196">
        <f t="shared" si="7"/>
        <v>-300</v>
      </c>
      <c r="N6" s="3196">
        <f t="shared" si="7"/>
        <v>-340</v>
      </c>
      <c r="O6" s="3196">
        <f t="shared" si="7"/>
        <v>-380</v>
      </c>
      <c r="P6" s="3196">
        <f t="shared" si="7"/>
        <v>-420</v>
      </c>
      <c r="Q6" s="3196">
        <f t="shared" si="7"/>
        <v>-460</v>
      </c>
      <c r="R6" s="3196">
        <f t="shared" si="7"/>
        <v>-500</v>
      </c>
      <c r="S6" s="3196">
        <f t="shared" si="7"/>
        <v>-540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2006</v>
      </c>
      <c r="C7" s="635"/>
      <c r="D7" s="630"/>
      <c r="E7" s="630"/>
      <c r="F7" s="949"/>
      <c r="G7" s="949"/>
      <c r="H7" s="949"/>
      <c r="I7" s="949"/>
      <c r="J7" s="949"/>
      <c r="K7" s="949"/>
      <c r="L7" s="949"/>
      <c r="M7" s="950"/>
      <c r="N7" s="951"/>
      <c r="O7" s="952"/>
      <c r="P7" s="952"/>
      <c r="Q7" s="953"/>
      <c r="R7" s="954"/>
      <c r="S7" s="955"/>
      <c r="T7" s="3202"/>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4">
        <v>100</v>
      </c>
      <c r="D8" s="3195">
        <f>C8-$T7</f>
        <v>100</v>
      </c>
      <c r="E8" s="3195">
        <f t="shared" ref="E8:S8" si="8">D8-$T7</f>
        <v>100</v>
      </c>
      <c r="F8" s="3196">
        <f t="shared" si="8"/>
        <v>100</v>
      </c>
      <c r="G8" s="3196">
        <f t="shared" si="8"/>
        <v>100</v>
      </c>
      <c r="H8" s="3196">
        <f t="shared" si="8"/>
        <v>100</v>
      </c>
      <c r="I8" s="3196">
        <f t="shared" si="8"/>
        <v>100</v>
      </c>
      <c r="J8" s="3196">
        <f t="shared" si="8"/>
        <v>100</v>
      </c>
      <c r="K8" s="3196">
        <f t="shared" si="8"/>
        <v>100</v>
      </c>
      <c r="L8" s="3196">
        <f t="shared" si="8"/>
        <v>100</v>
      </c>
      <c r="M8" s="3196">
        <f t="shared" si="8"/>
        <v>100</v>
      </c>
      <c r="N8" s="3196">
        <f t="shared" si="8"/>
        <v>100</v>
      </c>
      <c r="O8" s="3196">
        <f t="shared" si="8"/>
        <v>100</v>
      </c>
      <c r="P8" s="3196">
        <f t="shared" si="8"/>
        <v>100</v>
      </c>
      <c r="Q8" s="3196">
        <f t="shared" si="8"/>
        <v>100</v>
      </c>
      <c r="R8" s="3196">
        <f t="shared" si="8"/>
        <v>100</v>
      </c>
      <c r="S8" s="3196">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2007</v>
      </c>
      <c r="C9" s="635"/>
      <c r="D9" s="630"/>
      <c r="E9" s="630"/>
      <c r="F9" s="949"/>
      <c r="G9" s="949"/>
      <c r="H9" s="949"/>
      <c r="I9" s="949"/>
      <c r="J9" s="949"/>
      <c r="K9" s="949"/>
      <c r="L9" s="956"/>
      <c r="M9" s="950"/>
      <c r="N9" s="951"/>
      <c r="O9" s="952"/>
      <c r="P9" s="952"/>
      <c r="Q9" s="953"/>
      <c r="R9" s="954"/>
      <c r="S9" s="955"/>
      <c r="T9" s="3202"/>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8">
        <v>100</v>
      </c>
      <c r="D10" s="3199">
        <f>C10-$T9</f>
        <v>100</v>
      </c>
      <c r="E10" s="3199">
        <f t="shared" ref="E10:S10" si="9">D10-$T9</f>
        <v>100</v>
      </c>
      <c r="F10" s="3200">
        <f t="shared" si="9"/>
        <v>100</v>
      </c>
      <c r="G10" s="3200">
        <f t="shared" si="9"/>
        <v>100</v>
      </c>
      <c r="H10" s="3200">
        <f t="shared" si="9"/>
        <v>100</v>
      </c>
      <c r="I10" s="3200">
        <f t="shared" si="9"/>
        <v>100</v>
      </c>
      <c r="J10" s="3200">
        <f t="shared" si="9"/>
        <v>100</v>
      </c>
      <c r="K10" s="3200">
        <f t="shared" si="9"/>
        <v>100</v>
      </c>
      <c r="L10" s="3200">
        <f t="shared" si="9"/>
        <v>100</v>
      </c>
      <c r="M10" s="3200">
        <f t="shared" si="9"/>
        <v>100</v>
      </c>
      <c r="N10" s="3200">
        <f t="shared" si="9"/>
        <v>100</v>
      </c>
      <c r="O10" s="3200">
        <f t="shared" si="9"/>
        <v>100</v>
      </c>
      <c r="P10" s="3200">
        <f t="shared" si="9"/>
        <v>100</v>
      </c>
      <c r="Q10" s="3200">
        <f t="shared" si="9"/>
        <v>100</v>
      </c>
      <c r="R10" s="3200">
        <f t="shared" si="9"/>
        <v>100</v>
      </c>
      <c r="S10" s="3200">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2008</v>
      </c>
      <c r="C11" s="717"/>
      <c r="D11" s="718"/>
      <c r="E11" s="718"/>
      <c r="F11" s="718"/>
      <c r="G11" s="718"/>
      <c r="H11" s="718"/>
      <c r="I11" s="718"/>
      <c r="J11" s="718"/>
      <c r="K11" s="718"/>
      <c r="L11" s="718"/>
      <c r="M11" s="719"/>
      <c r="N11" s="720"/>
      <c r="O11" s="721"/>
      <c r="P11" s="721"/>
      <c r="Q11" s="722"/>
      <c r="R11" s="723"/>
      <c r="S11" s="724"/>
      <c r="T11" s="3201"/>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4">
        <v>100</v>
      </c>
      <c r="D12" s="3195">
        <f>C12-$T11</f>
        <v>100</v>
      </c>
      <c r="E12" s="3195">
        <f t="shared" ref="E12:S12" si="10">D12-$T11</f>
        <v>100</v>
      </c>
      <c r="F12" s="3195">
        <f t="shared" si="10"/>
        <v>100</v>
      </c>
      <c r="G12" s="3195">
        <f t="shared" si="10"/>
        <v>100</v>
      </c>
      <c r="H12" s="3195">
        <f t="shared" si="10"/>
        <v>100</v>
      </c>
      <c r="I12" s="3195">
        <f t="shared" si="10"/>
        <v>100</v>
      </c>
      <c r="J12" s="3195">
        <f t="shared" si="10"/>
        <v>100</v>
      </c>
      <c r="K12" s="3195">
        <f t="shared" si="10"/>
        <v>100</v>
      </c>
      <c r="L12" s="3195">
        <f t="shared" si="10"/>
        <v>100</v>
      </c>
      <c r="M12" s="3195">
        <f t="shared" si="10"/>
        <v>100</v>
      </c>
      <c r="N12" s="3195">
        <f t="shared" si="10"/>
        <v>100</v>
      </c>
      <c r="O12" s="3195">
        <f t="shared" si="10"/>
        <v>100</v>
      </c>
      <c r="P12" s="3195">
        <f t="shared" si="10"/>
        <v>100</v>
      </c>
      <c r="Q12" s="3195">
        <f t="shared" si="10"/>
        <v>100</v>
      </c>
      <c r="R12" s="3195">
        <f>Q12-$T11</f>
        <v>100</v>
      </c>
      <c r="S12" s="3195">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8"/>
      <c r="D16" s="3209"/>
      <c r="E16" s="3209"/>
      <c r="F16" s="3209"/>
      <c r="G16" s="3209"/>
      <c r="H16" s="3209"/>
      <c r="I16" s="3209"/>
      <c r="J16" s="3209"/>
      <c r="K16" s="3209"/>
      <c r="L16" s="3209"/>
      <c r="M16" s="3213"/>
      <c r="N16" s="3213"/>
      <c r="O16" s="3209"/>
      <c r="P16" s="3209"/>
      <c r="Q16" s="3209"/>
      <c r="R16" s="3209"/>
      <c r="S16" s="3214"/>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2" customFormat="1" ht="13.5" thickBot="1">
      <c r="A18" s="3215"/>
      <c r="B18" s="3216"/>
      <c r="C18" s="3217"/>
      <c r="D18" s="3218"/>
      <c r="E18" s="3218"/>
      <c r="F18" s="3218"/>
      <c r="G18" s="3218"/>
      <c r="H18" s="3218"/>
      <c r="I18" s="3218"/>
      <c r="J18" s="3218"/>
      <c r="K18" s="3218"/>
      <c r="L18" s="3218"/>
      <c r="M18" s="3219"/>
      <c r="N18" s="3219"/>
      <c r="O18" s="3218"/>
      <c r="P18" s="3218"/>
      <c r="Q18" s="3218"/>
      <c r="R18" s="3218"/>
      <c r="S18" s="3220"/>
      <c r="T18" s="3220"/>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c r="A19" s="62"/>
      <c r="B19" s="77"/>
      <c r="C19" s="77"/>
      <c r="D19" s="1661" t="s">
        <v>2013</v>
      </c>
      <c r="E19" s="968"/>
      <c r="F19" s="968"/>
      <c r="G19" s="968"/>
      <c r="H19" s="759"/>
      <c r="I19" s="77"/>
      <c r="J19" s="77"/>
      <c r="K19" s="77"/>
      <c r="L19" s="77"/>
      <c r="M19" s="77"/>
      <c r="N19" s="77"/>
      <c r="O19" s="77"/>
      <c r="P19" s="77"/>
      <c r="Q19" s="77"/>
      <c r="R19" s="77"/>
      <c r="S19" s="62"/>
    </row>
    <row r="20" spans="1:45" ht="16.5" thickBot="1">
      <c r="A20" s="488" t="s">
        <v>2014</v>
      </c>
      <c r="B20" s="3549" t="e">
        <f ca="1">IF(D20="——",S22,S22-F20)</f>
        <v>#REF!</v>
      </c>
      <c r="C20" s="77"/>
      <c r="D20" s="1662"/>
      <c r="E20" s="969"/>
      <c r="F20" s="3548" t="e">
        <f ca="1">SUMIF(INDIRECT("'"&amp;H20&amp;"'"&amp;"!A:A"),"承租人权益价值",INDIRECT("'"&amp;H20&amp;"'"&amp;"!c:c"))</f>
        <v>#REF!</v>
      </c>
      <c r="G20" s="710" t="s">
        <v>2015</v>
      </c>
      <c r="H20" s="1663"/>
      <c r="I20" s="77"/>
      <c r="J20" s="77"/>
      <c r="K20" s="77"/>
      <c r="L20" s="77"/>
      <c r="M20" s="77"/>
      <c r="N20" s="77"/>
      <c r="O20" s="77"/>
      <c r="P20" s="77"/>
      <c r="Q20" s="77"/>
      <c r="R20" s="77"/>
      <c r="S20" s="62"/>
    </row>
    <row r="21" spans="1:45" ht="15.75">
      <c r="A21" s="488" t="s">
        <v>2016</v>
      </c>
      <c r="B21" s="3549" t="e">
        <f ca="1">ROUND(B20*10000/B22,0)</f>
        <v>#REF!</v>
      </c>
      <c r="C21" s="77"/>
      <c r="D21" s="77"/>
      <c r="E21" s="77"/>
      <c r="F21" s="77"/>
      <c r="G21" s="77"/>
      <c r="H21" s="77"/>
      <c r="I21" s="77"/>
      <c r="J21" s="77"/>
      <c r="K21" s="77"/>
      <c r="L21" s="77"/>
      <c r="M21" s="77"/>
      <c r="N21" s="77"/>
      <c r="O21" s="77"/>
      <c r="P21" s="77"/>
      <c r="Q21" s="77"/>
      <c r="R21" s="77"/>
      <c r="S21" s="62"/>
    </row>
    <row r="22" spans="1:45">
      <c r="A22" s="218" t="s">
        <v>2017</v>
      </c>
      <c r="B22" s="18">
        <f>SUM(B24:B10000)</f>
        <v>2</v>
      </c>
      <c r="C22" s="4522" t="s">
        <v>25</v>
      </c>
      <c r="D22" s="4523"/>
      <c r="E22" s="4523"/>
      <c r="F22" s="4523"/>
      <c r="G22" s="4523"/>
      <c r="H22" s="4523"/>
      <c r="I22" s="4523"/>
      <c r="J22" s="4523"/>
      <c r="K22" s="4523"/>
      <c r="L22" s="4523"/>
      <c r="M22" s="4523"/>
      <c r="N22" s="4523"/>
      <c r="O22" s="4523"/>
      <c r="P22" s="4523"/>
      <c r="Q22" s="4524"/>
      <c r="R22" s="2911">
        <f>ROUND(S22*10000/B22,0)</f>
        <v>0</v>
      </c>
      <c r="S22" s="2911">
        <f>SUM(S24:S10000)</f>
        <v>0</v>
      </c>
    </row>
    <row r="23" spans="1:45" s="8" customFormat="1" ht="24">
      <c r="A23" s="7" t="s">
        <v>2018</v>
      </c>
      <c r="B23" s="3543"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2" t="s">
        <v>2023</v>
      </c>
      <c r="B24" s="3544">
        <v>1</v>
      </c>
      <c r="C24" s="3190">
        <v>1</v>
      </c>
      <c r="D24" s="3546" t="s">
        <v>3857</v>
      </c>
      <c r="E24" s="3190">
        <v>1</v>
      </c>
      <c r="F24" s="3546"/>
      <c r="G24" s="3190">
        <v>1</v>
      </c>
      <c r="H24" s="3546"/>
      <c r="I24" s="3190">
        <v>1</v>
      </c>
      <c r="J24" s="3546"/>
      <c r="K24" s="3190">
        <v>1</v>
      </c>
      <c r="L24" s="3546"/>
      <c r="M24" s="3190">
        <v>1</v>
      </c>
      <c r="N24" s="3546"/>
      <c r="O24" s="3190">
        <v>1</v>
      </c>
      <c r="P24" s="3546"/>
      <c r="Q24" s="3190">
        <v>1</v>
      </c>
      <c r="R24" s="3544">
        <f>'比较法-商业'!C48</f>
        <v>5.8</v>
      </c>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3"/>
      <c r="B25" s="3545">
        <v>1</v>
      </c>
      <c r="C25" s="3191">
        <f>IF(B25="",1,(LOOKUP(B25,$3:$3,$4:$4)-LOOKUP($B$24,$3:$3,$4:$4)+100)/100)</f>
        <v>1</v>
      </c>
      <c r="D25" s="3547" t="s">
        <v>3859</v>
      </c>
      <c r="E25" s="3191">
        <f>(SUMIF($5:$5,D25,$6:$6)-SUMIF($5:$5,$D$24,$6:$6)+100)/100</f>
        <v>0.6</v>
      </c>
      <c r="F25" s="3547"/>
      <c r="G25" s="3191">
        <f>(SUMIF($7:$7,F25,$8:$8)-SUMIF($7:$7,$F$24,$8:$8)+100)/100</f>
        <v>1</v>
      </c>
      <c r="H25" s="3547"/>
      <c r="I25" s="3191">
        <f>(SUMIF($9:$9,H25,$10:$10)-SUMIF($9:$9,$H$24,$10:$10)+100)/100</f>
        <v>1</v>
      </c>
      <c r="J25" s="3547"/>
      <c r="K25" s="3191">
        <f>(SUMIF($11:$11,J25,$12:$12)-SUMIF($11:$11,$J$24,$12:$12)+100)/100</f>
        <v>1</v>
      </c>
      <c r="L25" s="3547"/>
      <c r="M25" s="3191">
        <f>(SUMIF($13:$13,L25,$14:$14)-SUMIF($13:$13,$L$24,$14:$14)+100)/100</f>
        <v>1</v>
      </c>
      <c r="N25" s="3547"/>
      <c r="O25" s="3191">
        <f>(SUMIF($15:$15,N25,$16:$16)-SUMIF($15:$15,$N$24,$16:$16)+100)/100</f>
        <v>1</v>
      </c>
      <c r="P25" s="3547"/>
      <c r="Q25" s="3191">
        <f>(SUMIF($17:$17,P25,$18:$18)-SUMIF($17:$17,$P$24,$18:$18)+100)/100</f>
        <v>1</v>
      </c>
      <c r="R25" s="2910">
        <f>IF(B25="",0,ROUND($R$24*C25*E25*G25*I25*K25*M25*O25*Q25,0))</f>
        <v>3</v>
      </c>
      <c r="S25" s="2965">
        <f t="shared" si="11"/>
        <v>0</v>
      </c>
      <c r="T25" s="526">
        <f>R24*0.6</f>
        <v>3.48</v>
      </c>
      <c r="V25" s="526">
        <v>5.2</v>
      </c>
      <c r="W25" s="526">
        <v>5.8</v>
      </c>
    </row>
    <row r="26" spans="1:45">
      <c r="A26" s="3193"/>
      <c r="B26" s="3545"/>
      <c r="C26" s="3191">
        <f t="shared" ref="C26:C89" si="12">IF(B26="",1,(LOOKUP(B26,$3:$3,$4:$4)-LOOKUP($B$24,$3:$3,$4:$4)+100)/100)</f>
        <v>1</v>
      </c>
      <c r="D26" s="3547"/>
      <c r="E26" s="3191">
        <f t="shared" ref="E26:E89" si="13">(SUMIF($5:$5,D26,$6:$6)-SUMIF($5:$5,$D$24,$6:$6)+100)/100</f>
        <v>0</v>
      </c>
      <c r="F26" s="3547"/>
      <c r="G26" s="3191">
        <f t="shared" ref="G26:G89" si="14">(SUMIF($7:$7,F26,$8:$8)-SUMIF($7:$7,$F$24,$8:$8)+100)/100</f>
        <v>1</v>
      </c>
      <c r="H26" s="3547"/>
      <c r="I26" s="3191">
        <f t="shared" ref="I26:I89" si="15">(SUMIF($9:$9,H26,$10:$10)-SUMIF($9:$9,$H$24,$10:$10)+100)/100</f>
        <v>1</v>
      </c>
      <c r="J26" s="3547"/>
      <c r="K26" s="3191">
        <f t="shared" ref="K26:K89" si="16">(SUMIF($11:$11,J26,$12:$12)-SUMIF($11:$11,$J$24,$12:$12)+100)/100</f>
        <v>1</v>
      </c>
      <c r="L26" s="3547"/>
      <c r="M26" s="3191">
        <f t="shared" ref="M26:M89" si="17">(SUMIF($13:$13,L26,$14:$14)-SUMIF($13:$13,$L$24,$14:$14)+100)/100</f>
        <v>1</v>
      </c>
      <c r="N26" s="3547"/>
      <c r="O26" s="3191">
        <f t="shared" ref="O26:O89" si="18">(SUMIF($15:$15,N26,$16:$16)-SUMIF($15:$15,$N$24,$16:$16)+100)/100</f>
        <v>1</v>
      </c>
      <c r="P26" s="3547"/>
      <c r="Q26" s="3191">
        <f t="shared" ref="Q26:Q89" si="19">(SUMIF($17:$17,P26,$18:$18)-SUMIF($17:$17,$P$24,$18:$18)+100)/100</f>
        <v>1</v>
      </c>
      <c r="R26" s="2911">
        <f t="shared" ref="R26:R89" si="20">IF(B26="",0,ROUND($R$24*C26*E26*G26*I26*K26*M26*O26*Q26,0))</f>
        <v>0</v>
      </c>
      <c r="S26" s="2965">
        <f t="shared" si="11"/>
        <v>0</v>
      </c>
      <c r="V26" s="526">
        <f>V25*0.6</f>
        <v>3.12</v>
      </c>
      <c r="W26" s="526">
        <f>W25*0.6</f>
        <v>3.48</v>
      </c>
    </row>
    <row r="27" spans="1:45">
      <c r="A27" s="3193"/>
      <c r="B27" s="3545"/>
      <c r="C27" s="3191">
        <f t="shared" si="12"/>
        <v>1</v>
      </c>
      <c r="D27" s="3547"/>
      <c r="E27" s="3191">
        <f t="shared" si="13"/>
        <v>0</v>
      </c>
      <c r="F27" s="3547"/>
      <c r="G27" s="3191">
        <f t="shared" si="14"/>
        <v>1</v>
      </c>
      <c r="H27" s="3547"/>
      <c r="I27" s="3191">
        <f t="shared" si="15"/>
        <v>1</v>
      </c>
      <c r="J27" s="3547"/>
      <c r="K27" s="3191">
        <f t="shared" si="16"/>
        <v>1</v>
      </c>
      <c r="L27" s="3547"/>
      <c r="M27" s="3191">
        <f t="shared" si="17"/>
        <v>1</v>
      </c>
      <c r="N27" s="3547"/>
      <c r="O27" s="3191">
        <f t="shared" si="18"/>
        <v>1</v>
      </c>
      <c r="P27" s="3547"/>
      <c r="Q27" s="3191">
        <f t="shared" si="19"/>
        <v>1</v>
      </c>
      <c r="R27" s="2911">
        <f t="shared" si="20"/>
        <v>0</v>
      </c>
      <c r="S27" s="2965">
        <f t="shared" si="11"/>
        <v>0</v>
      </c>
    </row>
    <row r="28" spans="1:45">
      <c r="A28" s="3193"/>
      <c r="B28" s="3545"/>
      <c r="C28" s="3191">
        <f t="shared" si="12"/>
        <v>1</v>
      </c>
      <c r="D28" s="3547"/>
      <c r="E28" s="3191">
        <f t="shared" si="13"/>
        <v>0</v>
      </c>
      <c r="F28" s="3547"/>
      <c r="G28" s="3191">
        <f t="shared" si="14"/>
        <v>1</v>
      </c>
      <c r="H28" s="3547"/>
      <c r="I28" s="3191">
        <f t="shared" si="15"/>
        <v>1</v>
      </c>
      <c r="J28" s="3547"/>
      <c r="K28" s="3191">
        <f t="shared" si="16"/>
        <v>1</v>
      </c>
      <c r="L28" s="3547"/>
      <c r="M28" s="3191">
        <f t="shared" si="17"/>
        <v>1</v>
      </c>
      <c r="N28" s="3547"/>
      <c r="O28" s="3191">
        <f t="shared" si="18"/>
        <v>1</v>
      </c>
      <c r="P28" s="3547"/>
      <c r="Q28" s="3191">
        <f t="shared" si="19"/>
        <v>1</v>
      </c>
      <c r="R28" s="2911">
        <f t="shared" si="20"/>
        <v>0</v>
      </c>
      <c r="S28" s="2965">
        <f t="shared" si="11"/>
        <v>0</v>
      </c>
    </row>
    <row r="29" spans="1:45">
      <c r="A29" s="3193"/>
      <c r="B29" s="3545"/>
      <c r="C29" s="3191">
        <f t="shared" si="12"/>
        <v>1</v>
      </c>
      <c r="D29" s="3547"/>
      <c r="E29" s="3191">
        <f t="shared" si="13"/>
        <v>0</v>
      </c>
      <c r="F29" s="3547"/>
      <c r="G29" s="3191">
        <f t="shared" si="14"/>
        <v>1</v>
      </c>
      <c r="H29" s="3547"/>
      <c r="I29" s="3191">
        <f t="shared" si="15"/>
        <v>1</v>
      </c>
      <c r="J29" s="3547"/>
      <c r="K29" s="3191">
        <f t="shared" si="16"/>
        <v>1</v>
      </c>
      <c r="L29" s="3547"/>
      <c r="M29" s="3191">
        <f t="shared" si="17"/>
        <v>1</v>
      </c>
      <c r="N29" s="3547"/>
      <c r="O29" s="3191">
        <f t="shared" si="18"/>
        <v>1</v>
      </c>
      <c r="P29" s="3547"/>
      <c r="Q29" s="3191">
        <f t="shared" si="19"/>
        <v>1</v>
      </c>
      <c r="R29" s="2911">
        <f t="shared" si="20"/>
        <v>0</v>
      </c>
      <c r="S29" s="2965">
        <f t="shared" si="11"/>
        <v>0</v>
      </c>
    </row>
    <row r="30" spans="1:45">
      <c r="A30" s="3193"/>
      <c r="B30" s="3545"/>
      <c r="C30" s="3191">
        <f t="shared" si="12"/>
        <v>1</v>
      </c>
      <c r="D30" s="3547"/>
      <c r="E30" s="3191">
        <f t="shared" si="13"/>
        <v>0</v>
      </c>
      <c r="F30" s="3547"/>
      <c r="G30" s="3191">
        <f t="shared" si="14"/>
        <v>1</v>
      </c>
      <c r="H30" s="3547"/>
      <c r="I30" s="3191">
        <f t="shared" si="15"/>
        <v>1</v>
      </c>
      <c r="J30" s="3547"/>
      <c r="K30" s="3191">
        <f t="shared" si="16"/>
        <v>1</v>
      </c>
      <c r="L30" s="3547"/>
      <c r="M30" s="3191">
        <f t="shared" si="17"/>
        <v>1</v>
      </c>
      <c r="N30" s="3547"/>
      <c r="O30" s="3191">
        <f t="shared" si="18"/>
        <v>1</v>
      </c>
      <c r="P30" s="3547"/>
      <c r="Q30" s="3191">
        <f t="shared" si="19"/>
        <v>1</v>
      </c>
      <c r="R30" s="2911">
        <f t="shared" si="20"/>
        <v>0</v>
      </c>
      <c r="S30" s="2965">
        <f t="shared" si="11"/>
        <v>0</v>
      </c>
    </row>
    <row r="31" spans="1:45">
      <c r="A31" s="3193"/>
      <c r="B31" s="3545"/>
      <c r="C31" s="3191">
        <f t="shared" si="12"/>
        <v>1</v>
      </c>
      <c r="D31" s="3547"/>
      <c r="E31" s="3191">
        <f t="shared" si="13"/>
        <v>0</v>
      </c>
      <c r="F31" s="3547"/>
      <c r="G31" s="3191">
        <f t="shared" si="14"/>
        <v>1</v>
      </c>
      <c r="H31" s="3547"/>
      <c r="I31" s="3191">
        <f t="shared" si="15"/>
        <v>1</v>
      </c>
      <c r="J31" s="3547"/>
      <c r="K31" s="3191">
        <f t="shared" si="16"/>
        <v>1</v>
      </c>
      <c r="L31" s="3547"/>
      <c r="M31" s="3191">
        <f t="shared" si="17"/>
        <v>1</v>
      </c>
      <c r="N31" s="3547"/>
      <c r="O31" s="3191">
        <f t="shared" si="18"/>
        <v>1</v>
      </c>
      <c r="P31" s="3547"/>
      <c r="Q31" s="3191">
        <f t="shared" si="19"/>
        <v>1</v>
      </c>
      <c r="R31" s="2911">
        <f t="shared" si="20"/>
        <v>0</v>
      </c>
      <c r="S31" s="2965">
        <f t="shared" si="11"/>
        <v>0</v>
      </c>
    </row>
    <row r="32" spans="1:45">
      <c r="A32" s="3193"/>
      <c r="B32" s="3545"/>
      <c r="C32" s="3191">
        <f t="shared" si="12"/>
        <v>1</v>
      </c>
      <c r="D32" s="3547"/>
      <c r="E32" s="3191">
        <f t="shared" si="13"/>
        <v>0</v>
      </c>
      <c r="F32" s="3547"/>
      <c r="G32" s="3191">
        <f t="shared" si="14"/>
        <v>1</v>
      </c>
      <c r="H32" s="3547"/>
      <c r="I32" s="3191">
        <f t="shared" si="15"/>
        <v>1</v>
      </c>
      <c r="J32" s="3547"/>
      <c r="K32" s="3191">
        <f t="shared" si="16"/>
        <v>1</v>
      </c>
      <c r="L32" s="3547"/>
      <c r="M32" s="3191">
        <f t="shared" si="17"/>
        <v>1</v>
      </c>
      <c r="N32" s="3547"/>
      <c r="O32" s="3191">
        <f t="shared" si="18"/>
        <v>1</v>
      </c>
      <c r="P32" s="3547"/>
      <c r="Q32" s="3191">
        <f t="shared" si="19"/>
        <v>1</v>
      </c>
      <c r="R32" s="2911">
        <f t="shared" si="20"/>
        <v>0</v>
      </c>
      <c r="S32" s="2965">
        <f t="shared" si="11"/>
        <v>0</v>
      </c>
    </row>
    <row r="33" spans="1:19">
      <c r="A33" s="3193"/>
      <c r="B33" s="3545"/>
      <c r="C33" s="3191">
        <f t="shared" si="12"/>
        <v>1</v>
      </c>
      <c r="D33" s="3547"/>
      <c r="E33" s="3191">
        <f t="shared" si="13"/>
        <v>0</v>
      </c>
      <c r="F33" s="3547"/>
      <c r="G33" s="3191">
        <f t="shared" si="14"/>
        <v>1</v>
      </c>
      <c r="H33" s="3547"/>
      <c r="I33" s="3191">
        <f t="shared" si="15"/>
        <v>1</v>
      </c>
      <c r="J33" s="3547"/>
      <c r="K33" s="3191">
        <f t="shared" si="16"/>
        <v>1</v>
      </c>
      <c r="L33" s="3547"/>
      <c r="M33" s="3191">
        <f t="shared" si="17"/>
        <v>1</v>
      </c>
      <c r="N33" s="3547"/>
      <c r="O33" s="3191">
        <f t="shared" si="18"/>
        <v>1</v>
      </c>
      <c r="P33" s="3547"/>
      <c r="Q33" s="3191">
        <f t="shared" si="19"/>
        <v>1</v>
      </c>
      <c r="R33" s="2911">
        <f t="shared" si="20"/>
        <v>0</v>
      </c>
      <c r="S33" s="2965">
        <f t="shared" si="11"/>
        <v>0</v>
      </c>
    </row>
    <row r="34" spans="1:19">
      <c r="A34" s="3193"/>
      <c r="B34" s="3545"/>
      <c r="C34" s="3191">
        <f t="shared" si="12"/>
        <v>1</v>
      </c>
      <c r="D34" s="3547"/>
      <c r="E34" s="3191">
        <f t="shared" si="13"/>
        <v>0</v>
      </c>
      <c r="F34" s="3547"/>
      <c r="G34" s="3191">
        <f t="shared" si="14"/>
        <v>1</v>
      </c>
      <c r="H34" s="3547"/>
      <c r="I34" s="3191">
        <f t="shared" si="15"/>
        <v>1</v>
      </c>
      <c r="J34" s="3547"/>
      <c r="K34" s="3191">
        <f t="shared" si="16"/>
        <v>1</v>
      </c>
      <c r="L34" s="3547"/>
      <c r="M34" s="3191">
        <f t="shared" si="17"/>
        <v>1</v>
      </c>
      <c r="N34" s="3547"/>
      <c r="O34" s="3191">
        <f t="shared" si="18"/>
        <v>1</v>
      </c>
      <c r="P34" s="3547"/>
      <c r="Q34" s="3191">
        <f t="shared" si="19"/>
        <v>1</v>
      </c>
      <c r="R34" s="2911">
        <f t="shared" si="20"/>
        <v>0</v>
      </c>
      <c r="S34" s="2965">
        <f t="shared" si="11"/>
        <v>0</v>
      </c>
    </row>
    <row r="35" spans="1:19">
      <c r="A35" s="3193"/>
      <c r="B35" s="3545"/>
      <c r="C35" s="3191">
        <f t="shared" si="12"/>
        <v>1</v>
      </c>
      <c r="D35" s="3547"/>
      <c r="E35" s="3191">
        <f t="shared" si="13"/>
        <v>0</v>
      </c>
      <c r="F35" s="3547"/>
      <c r="G35" s="3191">
        <f t="shared" si="14"/>
        <v>1</v>
      </c>
      <c r="H35" s="3547"/>
      <c r="I35" s="3191">
        <f t="shared" si="15"/>
        <v>1</v>
      </c>
      <c r="J35" s="3547"/>
      <c r="K35" s="3191">
        <f t="shared" si="16"/>
        <v>1</v>
      </c>
      <c r="L35" s="3547"/>
      <c r="M35" s="3191">
        <f t="shared" si="17"/>
        <v>1</v>
      </c>
      <c r="N35" s="3547"/>
      <c r="O35" s="3191">
        <f t="shared" si="18"/>
        <v>1</v>
      </c>
      <c r="P35" s="3547"/>
      <c r="Q35" s="3191">
        <f t="shared" si="19"/>
        <v>1</v>
      </c>
      <c r="R35" s="2911">
        <f t="shared" si="20"/>
        <v>0</v>
      </c>
      <c r="S35" s="2965">
        <f t="shared" si="11"/>
        <v>0</v>
      </c>
    </row>
    <row r="36" spans="1:19">
      <c r="A36" s="3193"/>
      <c r="B36" s="3545"/>
      <c r="C36" s="3191">
        <f t="shared" si="12"/>
        <v>1</v>
      </c>
      <c r="D36" s="3547"/>
      <c r="E36" s="3191">
        <f t="shared" si="13"/>
        <v>0</v>
      </c>
      <c r="F36" s="3547"/>
      <c r="G36" s="3191">
        <f t="shared" si="14"/>
        <v>1</v>
      </c>
      <c r="H36" s="3547"/>
      <c r="I36" s="3191">
        <f t="shared" si="15"/>
        <v>1</v>
      </c>
      <c r="J36" s="3547"/>
      <c r="K36" s="3191">
        <f t="shared" si="16"/>
        <v>1</v>
      </c>
      <c r="L36" s="3547"/>
      <c r="M36" s="3191">
        <f t="shared" si="17"/>
        <v>1</v>
      </c>
      <c r="N36" s="3547"/>
      <c r="O36" s="3191">
        <f t="shared" si="18"/>
        <v>1</v>
      </c>
      <c r="P36" s="3547"/>
      <c r="Q36" s="3191">
        <f t="shared" si="19"/>
        <v>1</v>
      </c>
      <c r="R36" s="2911">
        <f t="shared" si="20"/>
        <v>0</v>
      </c>
      <c r="S36" s="2965">
        <f t="shared" si="11"/>
        <v>0</v>
      </c>
    </row>
    <row r="37" spans="1:19">
      <c r="A37" s="3193"/>
      <c r="B37" s="3545"/>
      <c r="C37" s="3191">
        <f t="shared" si="12"/>
        <v>1</v>
      </c>
      <c r="D37" s="3547"/>
      <c r="E37" s="3191">
        <f t="shared" si="13"/>
        <v>0</v>
      </c>
      <c r="F37" s="3547"/>
      <c r="G37" s="3191">
        <f t="shared" si="14"/>
        <v>1</v>
      </c>
      <c r="H37" s="3547"/>
      <c r="I37" s="3191">
        <f t="shared" si="15"/>
        <v>1</v>
      </c>
      <c r="J37" s="3547"/>
      <c r="K37" s="3191">
        <f t="shared" si="16"/>
        <v>1</v>
      </c>
      <c r="L37" s="3547"/>
      <c r="M37" s="3191">
        <f t="shared" si="17"/>
        <v>1</v>
      </c>
      <c r="N37" s="3547"/>
      <c r="O37" s="3191">
        <f t="shared" si="18"/>
        <v>1</v>
      </c>
      <c r="P37" s="3547"/>
      <c r="Q37" s="3191">
        <f t="shared" si="19"/>
        <v>1</v>
      </c>
      <c r="R37" s="2911">
        <f t="shared" si="20"/>
        <v>0</v>
      </c>
      <c r="S37" s="2965">
        <f t="shared" si="11"/>
        <v>0</v>
      </c>
    </row>
    <row r="38" spans="1:19">
      <c r="A38" s="3193"/>
      <c r="B38" s="3545"/>
      <c r="C38" s="3191">
        <f t="shared" si="12"/>
        <v>1</v>
      </c>
      <c r="D38" s="3547"/>
      <c r="E38" s="3191">
        <f t="shared" si="13"/>
        <v>0</v>
      </c>
      <c r="F38" s="3547"/>
      <c r="G38" s="3191">
        <f t="shared" si="14"/>
        <v>1</v>
      </c>
      <c r="H38" s="3547"/>
      <c r="I38" s="3191">
        <f t="shared" si="15"/>
        <v>1</v>
      </c>
      <c r="J38" s="3547"/>
      <c r="K38" s="3191">
        <f t="shared" si="16"/>
        <v>1</v>
      </c>
      <c r="L38" s="3547"/>
      <c r="M38" s="3191">
        <f t="shared" si="17"/>
        <v>1</v>
      </c>
      <c r="N38" s="3547"/>
      <c r="O38" s="3191">
        <f t="shared" si="18"/>
        <v>1</v>
      </c>
      <c r="P38" s="3547"/>
      <c r="Q38" s="3191">
        <f t="shared" si="19"/>
        <v>1</v>
      </c>
      <c r="R38" s="2911">
        <f t="shared" si="20"/>
        <v>0</v>
      </c>
      <c r="S38" s="2965">
        <f t="shared" si="11"/>
        <v>0</v>
      </c>
    </row>
    <row r="39" spans="1:19">
      <c r="A39" s="3193"/>
      <c r="B39" s="3545"/>
      <c r="C39" s="3191">
        <f t="shared" si="12"/>
        <v>1</v>
      </c>
      <c r="D39" s="3547"/>
      <c r="E39" s="3191">
        <f t="shared" si="13"/>
        <v>0</v>
      </c>
      <c r="F39" s="3547"/>
      <c r="G39" s="3191">
        <f t="shared" si="14"/>
        <v>1</v>
      </c>
      <c r="H39" s="3547"/>
      <c r="I39" s="3191">
        <f t="shared" si="15"/>
        <v>1</v>
      </c>
      <c r="J39" s="3547"/>
      <c r="K39" s="3191">
        <f t="shared" si="16"/>
        <v>1</v>
      </c>
      <c r="L39" s="3547"/>
      <c r="M39" s="3191">
        <f t="shared" si="17"/>
        <v>1</v>
      </c>
      <c r="N39" s="3547"/>
      <c r="O39" s="3191">
        <f t="shared" si="18"/>
        <v>1</v>
      </c>
      <c r="P39" s="3547"/>
      <c r="Q39" s="3191">
        <f t="shared" si="19"/>
        <v>1</v>
      </c>
      <c r="R39" s="2911">
        <f t="shared" si="20"/>
        <v>0</v>
      </c>
      <c r="S39" s="2965">
        <f t="shared" si="11"/>
        <v>0</v>
      </c>
    </row>
    <row r="40" spans="1:19">
      <c r="A40" s="3193"/>
      <c r="B40" s="3545"/>
      <c r="C40" s="3191">
        <f t="shared" si="12"/>
        <v>1</v>
      </c>
      <c r="D40" s="3547"/>
      <c r="E40" s="3191">
        <f t="shared" si="13"/>
        <v>0</v>
      </c>
      <c r="F40" s="3547"/>
      <c r="G40" s="3191">
        <f t="shared" si="14"/>
        <v>1</v>
      </c>
      <c r="H40" s="3547"/>
      <c r="I40" s="3191">
        <f t="shared" si="15"/>
        <v>1</v>
      </c>
      <c r="J40" s="3547"/>
      <c r="K40" s="3191">
        <f t="shared" si="16"/>
        <v>1</v>
      </c>
      <c r="L40" s="3547"/>
      <c r="M40" s="3191">
        <f t="shared" si="17"/>
        <v>1</v>
      </c>
      <c r="N40" s="3547"/>
      <c r="O40" s="3191">
        <f t="shared" si="18"/>
        <v>1</v>
      </c>
      <c r="P40" s="3547"/>
      <c r="Q40" s="3191">
        <f t="shared" si="19"/>
        <v>1</v>
      </c>
      <c r="R40" s="2911">
        <f t="shared" si="20"/>
        <v>0</v>
      </c>
      <c r="S40" s="2965">
        <f t="shared" si="11"/>
        <v>0</v>
      </c>
    </row>
    <row r="41" spans="1:19">
      <c r="A41" s="3193"/>
      <c r="B41" s="3545"/>
      <c r="C41" s="3191">
        <f t="shared" si="12"/>
        <v>1</v>
      </c>
      <c r="D41" s="3547"/>
      <c r="E41" s="3191">
        <f t="shared" si="13"/>
        <v>0</v>
      </c>
      <c r="F41" s="3547"/>
      <c r="G41" s="3191">
        <f t="shared" si="14"/>
        <v>1</v>
      </c>
      <c r="H41" s="3547"/>
      <c r="I41" s="3191">
        <f t="shared" si="15"/>
        <v>1</v>
      </c>
      <c r="J41" s="3547"/>
      <c r="K41" s="3191">
        <f t="shared" si="16"/>
        <v>1</v>
      </c>
      <c r="L41" s="3547"/>
      <c r="M41" s="3191">
        <f t="shared" si="17"/>
        <v>1</v>
      </c>
      <c r="N41" s="3547"/>
      <c r="O41" s="3191">
        <f t="shared" si="18"/>
        <v>1</v>
      </c>
      <c r="P41" s="3547"/>
      <c r="Q41" s="3191">
        <f t="shared" si="19"/>
        <v>1</v>
      </c>
      <c r="R41" s="2911">
        <f t="shared" si="20"/>
        <v>0</v>
      </c>
      <c r="S41" s="2965">
        <f t="shared" si="11"/>
        <v>0</v>
      </c>
    </row>
    <row r="42" spans="1:19">
      <c r="A42" s="3193"/>
      <c r="B42" s="3545"/>
      <c r="C42" s="3191">
        <f t="shared" si="12"/>
        <v>1</v>
      </c>
      <c r="D42" s="3547"/>
      <c r="E42" s="3191">
        <f t="shared" si="13"/>
        <v>0</v>
      </c>
      <c r="F42" s="3547"/>
      <c r="G42" s="3191">
        <f t="shared" si="14"/>
        <v>1</v>
      </c>
      <c r="H42" s="3547"/>
      <c r="I42" s="3191">
        <f t="shared" si="15"/>
        <v>1</v>
      </c>
      <c r="J42" s="3547"/>
      <c r="K42" s="3191">
        <f t="shared" si="16"/>
        <v>1</v>
      </c>
      <c r="L42" s="3547"/>
      <c r="M42" s="3191">
        <f t="shared" si="17"/>
        <v>1</v>
      </c>
      <c r="N42" s="3547"/>
      <c r="O42" s="3191">
        <f t="shared" si="18"/>
        <v>1</v>
      </c>
      <c r="P42" s="3547"/>
      <c r="Q42" s="3191">
        <f t="shared" si="19"/>
        <v>1</v>
      </c>
      <c r="R42" s="2911">
        <f t="shared" si="20"/>
        <v>0</v>
      </c>
      <c r="S42" s="2965">
        <f t="shared" si="11"/>
        <v>0</v>
      </c>
    </row>
    <row r="43" spans="1:19">
      <c r="A43" s="3193"/>
      <c r="B43" s="3545"/>
      <c r="C43" s="3191">
        <f t="shared" si="12"/>
        <v>1</v>
      </c>
      <c r="D43" s="3547"/>
      <c r="E43" s="3191">
        <f t="shared" si="13"/>
        <v>0</v>
      </c>
      <c r="F43" s="3547"/>
      <c r="G43" s="3191">
        <f t="shared" si="14"/>
        <v>1</v>
      </c>
      <c r="H43" s="3547"/>
      <c r="I43" s="3191">
        <f t="shared" si="15"/>
        <v>1</v>
      </c>
      <c r="J43" s="3547"/>
      <c r="K43" s="3191">
        <f t="shared" si="16"/>
        <v>1</v>
      </c>
      <c r="L43" s="3547"/>
      <c r="M43" s="3191">
        <f t="shared" si="17"/>
        <v>1</v>
      </c>
      <c r="N43" s="3547"/>
      <c r="O43" s="3191">
        <f t="shared" si="18"/>
        <v>1</v>
      </c>
      <c r="P43" s="3547"/>
      <c r="Q43" s="3191">
        <f t="shared" si="19"/>
        <v>1</v>
      </c>
      <c r="R43" s="2911">
        <f t="shared" si="20"/>
        <v>0</v>
      </c>
      <c r="S43" s="2965">
        <f t="shared" si="11"/>
        <v>0</v>
      </c>
    </row>
    <row r="44" spans="1:19">
      <c r="A44" s="3193"/>
      <c r="B44" s="3545"/>
      <c r="C44" s="3191">
        <f t="shared" si="12"/>
        <v>1</v>
      </c>
      <c r="D44" s="3547"/>
      <c r="E44" s="3191">
        <f t="shared" si="13"/>
        <v>0</v>
      </c>
      <c r="F44" s="3547"/>
      <c r="G44" s="3191">
        <f t="shared" si="14"/>
        <v>1</v>
      </c>
      <c r="H44" s="3547"/>
      <c r="I44" s="3191">
        <f t="shared" si="15"/>
        <v>1</v>
      </c>
      <c r="J44" s="3547"/>
      <c r="K44" s="3191">
        <f t="shared" si="16"/>
        <v>1</v>
      </c>
      <c r="L44" s="3547"/>
      <c r="M44" s="3191">
        <f t="shared" si="17"/>
        <v>1</v>
      </c>
      <c r="N44" s="3547"/>
      <c r="O44" s="3191">
        <f t="shared" si="18"/>
        <v>1</v>
      </c>
      <c r="P44" s="3547"/>
      <c r="Q44" s="3191">
        <f t="shared" si="19"/>
        <v>1</v>
      </c>
      <c r="R44" s="2911">
        <f t="shared" si="20"/>
        <v>0</v>
      </c>
      <c r="S44" s="2965">
        <f t="shared" si="11"/>
        <v>0</v>
      </c>
    </row>
    <row r="45" spans="1:19">
      <c r="A45" s="3193"/>
      <c r="B45" s="3545"/>
      <c r="C45" s="3191">
        <f t="shared" si="12"/>
        <v>1</v>
      </c>
      <c r="D45" s="3547"/>
      <c r="E45" s="3191">
        <f t="shared" si="13"/>
        <v>0</v>
      </c>
      <c r="F45" s="3547"/>
      <c r="G45" s="3191">
        <f t="shared" si="14"/>
        <v>1</v>
      </c>
      <c r="H45" s="3547"/>
      <c r="I45" s="3191">
        <f t="shared" si="15"/>
        <v>1</v>
      </c>
      <c r="J45" s="3547"/>
      <c r="K45" s="3191">
        <f t="shared" si="16"/>
        <v>1</v>
      </c>
      <c r="L45" s="3547"/>
      <c r="M45" s="3191">
        <f t="shared" si="17"/>
        <v>1</v>
      </c>
      <c r="N45" s="3547"/>
      <c r="O45" s="3191">
        <f t="shared" si="18"/>
        <v>1</v>
      </c>
      <c r="P45" s="3547"/>
      <c r="Q45" s="3191">
        <f t="shared" si="19"/>
        <v>1</v>
      </c>
      <c r="R45" s="2911">
        <f t="shared" si="20"/>
        <v>0</v>
      </c>
      <c r="S45" s="2965">
        <f t="shared" si="11"/>
        <v>0</v>
      </c>
    </row>
    <row r="46" spans="1:19">
      <c r="A46" s="3193"/>
      <c r="B46" s="3545"/>
      <c r="C46" s="3191">
        <f t="shared" si="12"/>
        <v>1</v>
      </c>
      <c r="D46" s="3547"/>
      <c r="E46" s="3191">
        <f t="shared" si="13"/>
        <v>0</v>
      </c>
      <c r="F46" s="3547"/>
      <c r="G46" s="3191">
        <f t="shared" si="14"/>
        <v>1</v>
      </c>
      <c r="H46" s="3547"/>
      <c r="I46" s="3191">
        <f t="shared" si="15"/>
        <v>1</v>
      </c>
      <c r="J46" s="3547"/>
      <c r="K46" s="3191">
        <f t="shared" si="16"/>
        <v>1</v>
      </c>
      <c r="L46" s="3547"/>
      <c r="M46" s="3191">
        <f t="shared" si="17"/>
        <v>1</v>
      </c>
      <c r="N46" s="3547"/>
      <c r="O46" s="3191">
        <f t="shared" si="18"/>
        <v>1</v>
      </c>
      <c r="P46" s="3547"/>
      <c r="Q46" s="3191">
        <f t="shared" si="19"/>
        <v>1</v>
      </c>
      <c r="R46" s="2911">
        <f t="shared" si="20"/>
        <v>0</v>
      </c>
      <c r="S46" s="2965">
        <f t="shared" si="11"/>
        <v>0</v>
      </c>
    </row>
    <row r="47" spans="1:19">
      <c r="A47" s="3193"/>
      <c r="B47" s="3545"/>
      <c r="C47" s="3191">
        <f t="shared" si="12"/>
        <v>1</v>
      </c>
      <c r="D47" s="3547"/>
      <c r="E47" s="3191">
        <f t="shared" si="13"/>
        <v>0</v>
      </c>
      <c r="F47" s="3547"/>
      <c r="G47" s="3191">
        <f t="shared" si="14"/>
        <v>1</v>
      </c>
      <c r="H47" s="3547"/>
      <c r="I47" s="3191">
        <f t="shared" si="15"/>
        <v>1</v>
      </c>
      <c r="J47" s="3547"/>
      <c r="K47" s="3191">
        <f t="shared" si="16"/>
        <v>1</v>
      </c>
      <c r="L47" s="3547"/>
      <c r="M47" s="3191">
        <f t="shared" si="17"/>
        <v>1</v>
      </c>
      <c r="N47" s="3547"/>
      <c r="O47" s="3191">
        <f t="shared" si="18"/>
        <v>1</v>
      </c>
      <c r="P47" s="3547"/>
      <c r="Q47" s="3191">
        <f t="shared" si="19"/>
        <v>1</v>
      </c>
      <c r="R47" s="2911">
        <f t="shared" si="20"/>
        <v>0</v>
      </c>
      <c r="S47" s="2965">
        <f t="shared" si="11"/>
        <v>0</v>
      </c>
    </row>
    <row r="48" spans="1:19">
      <c r="A48" s="3193"/>
      <c r="B48" s="3545"/>
      <c r="C48" s="3191">
        <f t="shared" si="12"/>
        <v>1</v>
      </c>
      <c r="D48" s="3547"/>
      <c r="E48" s="3191">
        <f t="shared" si="13"/>
        <v>0</v>
      </c>
      <c r="F48" s="3547"/>
      <c r="G48" s="3191">
        <f t="shared" si="14"/>
        <v>1</v>
      </c>
      <c r="H48" s="3547"/>
      <c r="I48" s="3191">
        <f t="shared" si="15"/>
        <v>1</v>
      </c>
      <c r="J48" s="3547"/>
      <c r="K48" s="3191">
        <f t="shared" si="16"/>
        <v>1</v>
      </c>
      <c r="L48" s="3547"/>
      <c r="M48" s="3191">
        <f t="shared" si="17"/>
        <v>1</v>
      </c>
      <c r="N48" s="3547"/>
      <c r="O48" s="3191">
        <f t="shared" si="18"/>
        <v>1</v>
      </c>
      <c r="P48" s="3547"/>
      <c r="Q48" s="3191">
        <f t="shared" si="19"/>
        <v>1</v>
      </c>
      <c r="R48" s="2911">
        <f t="shared" si="20"/>
        <v>0</v>
      </c>
      <c r="S48" s="2965">
        <f t="shared" si="11"/>
        <v>0</v>
      </c>
    </row>
    <row r="49" spans="1:19">
      <c r="A49" s="3193"/>
      <c r="B49" s="3545"/>
      <c r="C49" s="3191">
        <f t="shared" si="12"/>
        <v>1</v>
      </c>
      <c r="D49" s="3547"/>
      <c r="E49" s="3191">
        <f t="shared" si="13"/>
        <v>0</v>
      </c>
      <c r="F49" s="3547"/>
      <c r="G49" s="3191">
        <f t="shared" si="14"/>
        <v>1</v>
      </c>
      <c r="H49" s="3547"/>
      <c r="I49" s="3191">
        <f t="shared" si="15"/>
        <v>1</v>
      </c>
      <c r="J49" s="3547"/>
      <c r="K49" s="3191">
        <f t="shared" si="16"/>
        <v>1</v>
      </c>
      <c r="L49" s="3547"/>
      <c r="M49" s="3191">
        <f t="shared" si="17"/>
        <v>1</v>
      </c>
      <c r="N49" s="3547"/>
      <c r="O49" s="3191">
        <f t="shared" si="18"/>
        <v>1</v>
      </c>
      <c r="P49" s="3547"/>
      <c r="Q49" s="3191">
        <f t="shared" si="19"/>
        <v>1</v>
      </c>
      <c r="R49" s="2911">
        <f t="shared" si="20"/>
        <v>0</v>
      </c>
      <c r="S49" s="2965">
        <f t="shared" si="11"/>
        <v>0</v>
      </c>
    </row>
    <row r="50" spans="1:19">
      <c r="A50" s="3193"/>
      <c r="B50" s="3545"/>
      <c r="C50" s="3191">
        <f t="shared" si="12"/>
        <v>1</v>
      </c>
      <c r="D50" s="3547"/>
      <c r="E50" s="3191">
        <f t="shared" si="13"/>
        <v>0</v>
      </c>
      <c r="F50" s="3547"/>
      <c r="G50" s="3191">
        <f t="shared" si="14"/>
        <v>1</v>
      </c>
      <c r="H50" s="3547"/>
      <c r="I50" s="3191">
        <f t="shared" si="15"/>
        <v>1</v>
      </c>
      <c r="J50" s="3547"/>
      <c r="K50" s="3191">
        <f t="shared" si="16"/>
        <v>1</v>
      </c>
      <c r="L50" s="3547"/>
      <c r="M50" s="3191">
        <f t="shared" si="17"/>
        <v>1</v>
      </c>
      <c r="N50" s="3547"/>
      <c r="O50" s="3191">
        <f t="shared" si="18"/>
        <v>1</v>
      </c>
      <c r="P50" s="3547"/>
      <c r="Q50" s="3191">
        <f t="shared" si="19"/>
        <v>1</v>
      </c>
      <c r="R50" s="2911">
        <f t="shared" si="20"/>
        <v>0</v>
      </c>
      <c r="S50" s="2965">
        <f t="shared" si="11"/>
        <v>0</v>
      </c>
    </row>
    <row r="51" spans="1:19">
      <c r="A51" s="3193"/>
      <c r="B51" s="3545"/>
      <c r="C51" s="3191">
        <f t="shared" si="12"/>
        <v>1</v>
      </c>
      <c r="D51" s="3547"/>
      <c r="E51" s="3191">
        <f t="shared" si="13"/>
        <v>0</v>
      </c>
      <c r="F51" s="3547"/>
      <c r="G51" s="3191">
        <f t="shared" si="14"/>
        <v>1</v>
      </c>
      <c r="H51" s="3547"/>
      <c r="I51" s="3191">
        <f t="shared" si="15"/>
        <v>1</v>
      </c>
      <c r="J51" s="3547"/>
      <c r="K51" s="3191">
        <f t="shared" si="16"/>
        <v>1</v>
      </c>
      <c r="L51" s="3547"/>
      <c r="M51" s="3191">
        <f t="shared" si="17"/>
        <v>1</v>
      </c>
      <c r="N51" s="3547"/>
      <c r="O51" s="3191">
        <f t="shared" si="18"/>
        <v>1</v>
      </c>
      <c r="P51" s="3547"/>
      <c r="Q51" s="3191">
        <f t="shared" si="19"/>
        <v>1</v>
      </c>
      <c r="R51" s="2911">
        <f t="shared" si="20"/>
        <v>0</v>
      </c>
      <c r="S51" s="2965">
        <f t="shared" si="11"/>
        <v>0</v>
      </c>
    </row>
    <row r="52" spans="1:19">
      <c r="A52" s="3193"/>
      <c r="B52" s="3545"/>
      <c r="C52" s="3191">
        <f t="shared" si="12"/>
        <v>1</v>
      </c>
      <c r="D52" s="3547"/>
      <c r="E52" s="3191">
        <f t="shared" si="13"/>
        <v>0</v>
      </c>
      <c r="F52" s="3547"/>
      <c r="G52" s="3191">
        <f t="shared" si="14"/>
        <v>1</v>
      </c>
      <c r="H52" s="3547"/>
      <c r="I52" s="3191">
        <f t="shared" si="15"/>
        <v>1</v>
      </c>
      <c r="J52" s="3547"/>
      <c r="K52" s="3191">
        <f t="shared" si="16"/>
        <v>1</v>
      </c>
      <c r="L52" s="3547"/>
      <c r="M52" s="3191">
        <f t="shared" si="17"/>
        <v>1</v>
      </c>
      <c r="N52" s="3547"/>
      <c r="O52" s="3191">
        <f t="shared" si="18"/>
        <v>1</v>
      </c>
      <c r="P52" s="3547"/>
      <c r="Q52" s="3191">
        <f t="shared" si="19"/>
        <v>1</v>
      </c>
      <c r="R52" s="2911">
        <f t="shared" si="20"/>
        <v>0</v>
      </c>
      <c r="S52" s="2965">
        <f t="shared" si="11"/>
        <v>0</v>
      </c>
    </row>
    <row r="53" spans="1:19">
      <c r="A53" s="3193"/>
      <c r="B53" s="3545"/>
      <c r="C53" s="3191">
        <f t="shared" si="12"/>
        <v>1</v>
      </c>
      <c r="D53" s="3547"/>
      <c r="E53" s="3191">
        <f t="shared" si="13"/>
        <v>0</v>
      </c>
      <c r="F53" s="3547"/>
      <c r="G53" s="3191">
        <f t="shared" si="14"/>
        <v>1</v>
      </c>
      <c r="H53" s="3547"/>
      <c r="I53" s="3191">
        <f t="shared" si="15"/>
        <v>1</v>
      </c>
      <c r="J53" s="3547"/>
      <c r="K53" s="3191">
        <f t="shared" si="16"/>
        <v>1</v>
      </c>
      <c r="L53" s="3547"/>
      <c r="M53" s="3191">
        <f t="shared" si="17"/>
        <v>1</v>
      </c>
      <c r="N53" s="3547"/>
      <c r="O53" s="3191">
        <f t="shared" si="18"/>
        <v>1</v>
      </c>
      <c r="P53" s="3547"/>
      <c r="Q53" s="3191">
        <f t="shared" si="19"/>
        <v>1</v>
      </c>
      <c r="R53" s="2911">
        <f t="shared" si="20"/>
        <v>0</v>
      </c>
      <c r="S53" s="2965">
        <f t="shared" si="11"/>
        <v>0</v>
      </c>
    </row>
    <row r="54" spans="1:19">
      <c r="A54" s="3193"/>
      <c r="B54" s="3545"/>
      <c r="C54" s="3191">
        <f t="shared" si="12"/>
        <v>1</v>
      </c>
      <c r="D54" s="3547"/>
      <c r="E54" s="3191">
        <f t="shared" si="13"/>
        <v>0</v>
      </c>
      <c r="F54" s="3547"/>
      <c r="G54" s="3191">
        <f t="shared" si="14"/>
        <v>1</v>
      </c>
      <c r="H54" s="3547"/>
      <c r="I54" s="3191">
        <f t="shared" si="15"/>
        <v>1</v>
      </c>
      <c r="J54" s="3547"/>
      <c r="K54" s="3191">
        <f t="shared" si="16"/>
        <v>1</v>
      </c>
      <c r="L54" s="3547"/>
      <c r="M54" s="3191">
        <f t="shared" si="17"/>
        <v>1</v>
      </c>
      <c r="N54" s="3547"/>
      <c r="O54" s="3191">
        <f t="shared" si="18"/>
        <v>1</v>
      </c>
      <c r="P54" s="3547"/>
      <c r="Q54" s="3191">
        <f t="shared" si="19"/>
        <v>1</v>
      </c>
      <c r="R54" s="2911">
        <f t="shared" si="20"/>
        <v>0</v>
      </c>
      <c r="S54" s="2965">
        <f t="shared" si="11"/>
        <v>0</v>
      </c>
    </row>
    <row r="55" spans="1:19">
      <c r="A55" s="3193"/>
      <c r="B55" s="3545"/>
      <c r="C55" s="3191">
        <f t="shared" si="12"/>
        <v>1</v>
      </c>
      <c r="D55" s="3547"/>
      <c r="E55" s="3191">
        <f t="shared" si="13"/>
        <v>0</v>
      </c>
      <c r="F55" s="3547"/>
      <c r="G55" s="3191">
        <f t="shared" si="14"/>
        <v>1</v>
      </c>
      <c r="H55" s="3547"/>
      <c r="I55" s="3191">
        <f t="shared" si="15"/>
        <v>1</v>
      </c>
      <c r="J55" s="3547"/>
      <c r="K55" s="3191">
        <f t="shared" si="16"/>
        <v>1</v>
      </c>
      <c r="L55" s="3547"/>
      <c r="M55" s="3191">
        <f t="shared" si="17"/>
        <v>1</v>
      </c>
      <c r="N55" s="3547"/>
      <c r="O55" s="3191">
        <f t="shared" si="18"/>
        <v>1</v>
      </c>
      <c r="P55" s="3547"/>
      <c r="Q55" s="3191">
        <f t="shared" si="19"/>
        <v>1</v>
      </c>
      <c r="R55" s="2911">
        <f t="shared" si="20"/>
        <v>0</v>
      </c>
      <c r="S55" s="2965">
        <f t="shared" ref="S55:S77" si="21">ROUND(R55*B55/10000,0)</f>
        <v>0</v>
      </c>
    </row>
    <row r="56" spans="1:19">
      <c r="A56" s="3193"/>
      <c r="B56" s="3545"/>
      <c r="C56" s="3191">
        <f t="shared" si="12"/>
        <v>1</v>
      </c>
      <c r="D56" s="3547"/>
      <c r="E56" s="3191">
        <f t="shared" si="13"/>
        <v>0</v>
      </c>
      <c r="F56" s="3547"/>
      <c r="G56" s="3191">
        <f t="shared" si="14"/>
        <v>1</v>
      </c>
      <c r="H56" s="3547"/>
      <c r="I56" s="3191">
        <f t="shared" si="15"/>
        <v>1</v>
      </c>
      <c r="J56" s="3547"/>
      <c r="K56" s="3191">
        <f t="shared" si="16"/>
        <v>1</v>
      </c>
      <c r="L56" s="3547"/>
      <c r="M56" s="3191">
        <f t="shared" si="17"/>
        <v>1</v>
      </c>
      <c r="N56" s="3547"/>
      <c r="O56" s="3191">
        <f t="shared" si="18"/>
        <v>1</v>
      </c>
      <c r="P56" s="3547"/>
      <c r="Q56" s="3191">
        <f t="shared" si="19"/>
        <v>1</v>
      </c>
      <c r="R56" s="2911">
        <f t="shared" si="20"/>
        <v>0</v>
      </c>
      <c r="S56" s="2965">
        <f t="shared" si="21"/>
        <v>0</v>
      </c>
    </row>
    <row r="57" spans="1:19">
      <c r="A57" s="3193"/>
      <c r="B57" s="3545"/>
      <c r="C57" s="3191">
        <f t="shared" si="12"/>
        <v>1</v>
      </c>
      <c r="D57" s="3547"/>
      <c r="E57" s="3191">
        <f t="shared" si="13"/>
        <v>0</v>
      </c>
      <c r="F57" s="3547"/>
      <c r="G57" s="3191">
        <f t="shared" si="14"/>
        <v>1</v>
      </c>
      <c r="H57" s="3547"/>
      <c r="I57" s="3191">
        <f t="shared" si="15"/>
        <v>1</v>
      </c>
      <c r="J57" s="3547"/>
      <c r="K57" s="3191">
        <f t="shared" si="16"/>
        <v>1</v>
      </c>
      <c r="L57" s="3547"/>
      <c r="M57" s="3191">
        <f t="shared" si="17"/>
        <v>1</v>
      </c>
      <c r="N57" s="3547"/>
      <c r="O57" s="3191">
        <f t="shared" si="18"/>
        <v>1</v>
      </c>
      <c r="P57" s="3547"/>
      <c r="Q57" s="3191">
        <f t="shared" si="19"/>
        <v>1</v>
      </c>
      <c r="R57" s="2911">
        <f t="shared" si="20"/>
        <v>0</v>
      </c>
      <c r="S57" s="2965">
        <f t="shared" si="21"/>
        <v>0</v>
      </c>
    </row>
    <row r="58" spans="1:19">
      <c r="A58" s="3193"/>
      <c r="B58" s="3545"/>
      <c r="C58" s="3191">
        <f t="shared" si="12"/>
        <v>1</v>
      </c>
      <c r="D58" s="3547"/>
      <c r="E58" s="3191">
        <f t="shared" si="13"/>
        <v>0</v>
      </c>
      <c r="F58" s="3547"/>
      <c r="G58" s="3191">
        <f t="shared" si="14"/>
        <v>1</v>
      </c>
      <c r="H58" s="3547"/>
      <c r="I58" s="3191">
        <f t="shared" si="15"/>
        <v>1</v>
      </c>
      <c r="J58" s="3547"/>
      <c r="K58" s="3191">
        <f t="shared" si="16"/>
        <v>1</v>
      </c>
      <c r="L58" s="3547"/>
      <c r="M58" s="3191">
        <f t="shared" si="17"/>
        <v>1</v>
      </c>
      <c r="N58" s="3547"/>
      <c r="O58" s="3191">
        <f t="shared" si="18"/>
        <v>1</v>
      </c>
      <c r="P58" s="3547"/>
      <c r="Q58" s="3191">
        <f t="shared" si="19"/>
        <v>1</v>
      </c>
      <c r="R58" s="2911">
        <f t="shared" si="20"/>
        <v>0</v>
      </c>
      <c r="S58" s="2965">
        <f t="shared" si="21"/>
        <v>0</v>
      </c>
    </row>
    <row r="59" spans="1:19">
      <c r="A59" s="3193"/>
      <c r="B59" s="3545"/>
      <c r="C59" s="3191">
        <f t="shared" si="12"/>
        <v>1</v>
      </c>
      <c r="D59" s="3547"/>
      <c r="E59" s="3191">
        <f t="shared" si="13"/>
        <v>0</v>
      </c>
      <c r="F59" s="3547"/>
      <c r="G59" s="3191">
        <f t="shared" si="14"/>
        <v>1</v>
      </c>
      <c r="H59" s="3547"/>
      <c r="I59" s="3191">
        <f t="shared" si="15"/>
        <v>1</v>
      </c>
      <c r="J59" s="3547"/>
      <c r="K59" s="3191">
        <f t="shared" si="16"/>
        <v>1</v>
      </c>
      <c r="L59" s="3547"/>
      <c r="M59" s="3191">
        <f t="shared" si="17"/>
        <v>1</v>
      </c>
      <c r="N59" s="3547"/>
      <c r="O59" s="3191">
        <f t="shared" si="18"/>
        <v>1</v>
      </c>
      <c r="P59" s="3547"/>
      <c r="Q59" s="3191">
        <f t="shared" si="19"/>
        <v>1</v>
      </c>
      <c r="R59" s="2911">
        <f t="shared" si="20"/>
        <v>0</v>
      </c>
      <c r="S59" s="2965">
        <f t="shared" si="21"/>
        <v>0</v>
      </c>
    </row>
    <row r="60" spans="1:19">
      <c r="A60" s="3193"/>
      <c r="B60" s="3545"/>
      <c r="C60" s="3191">
        <f t="shared" si="12"/>
        <v>1</v>
      </c>
      <c r="D60" s="3547"/>
      <c r="E60" s="3191">
        <f t="shared" si="13"/>
        <v>0</v>
      </c>
      <c r="F60" s="3547"/>
      <c r="G60" s="3191">
        <f t="shared" si="14"/>
        <v>1</v>
      </c>
      <c r="H60" s="3547"/>
      <c r="I60" s="3191">
        <f t="shared" si="15"/>
        <v>1</v>
      </c>
      <c r="J60" s="3547"/>
      <c r="K60" s="3191">
        <f t="shared" si="16"/>
        <v>1</v>
      </c>
      <c r="L60" s="3547"/>
      <c r="M60" s="3191">
        <f t="shared" si="17"/>
        <v>1</v>
      </c>
      <c r="N60" s="3547"/>
      <c r="O60" s="3191">
        <f t="shared" si="18"/>
        <v>1</v>
      </c>
      <c r="P60" s="3547"/>
      <c r="Q60" s="3191">
        <f t="shared" si="19"/>
        <v>1</v>
      </c>
      <c r="R60" s="2911">
        <f t="shared" si="20"/>
        <v>0</v>
      </c>
      <c r="S60" s="2965">
        <f t="shared" si="21"/>
        <v>0</v>
      </c>
    </row>
    <row r="61" spans="1:19">
      <c r="A61" s="3193"/>
      <c r="B61" s="3545"/>
      <c r="C61" s="3191">
        <f t="shared" si="12"/>
        <v>1</v>
      </c>
      <c r="D61" s="3547"/>
      <c r="E61" s="3191">
        <f t="shared" si="13"/>
        <v>0</v>
      </c>
      <c r="F61" s="3547"/>
      <c r="G61" s="3191">
        <f t="shared" si="14"/>
        <v>1</v>
      </c>
      <c r="H61" s="3547"/>
      <c r="I61" s="3191">
        <f t="shared" si="15"/>
        <v>1</v>
      </c>
      <c r="J61" s="3547"/>
      <c r="K61" s="3191">
        <f t="shared" si="16"/>
        <v>1</v>
      </c>
      <c r="L61" s="3547"/>
      <c r="M61" s="3191">
        <f t="shared" si="17"/>
        <v>1</v>
      </c>
      <c r="N61" s="3547"/>
      <c r="O61" s="3191">
        <f t="shared" si="18"/>
        <v>1</v>
      </c>
      <c r="P61" s="3547"/>
      <c r="Q61" s="3191">
        <f t="shared" si="19"/>
        <v>1</v>
      </c>
      <c r="R61" s="2911">
        <f t="shared" si="20"/>
        <v>0</v>
      </c>
      <c r="S61" s="2965">
        <f t="shared" si="21"/>
        <v>0</v>
      </c>
    </row>
    <row r="62" spans="1:19">
      <c r="A62" s="3193"/>
      <c r="B62" s="3545"/>
      <c r="C62" s="3191">
        <f t="shared" si="12"/>
        <v>1</v>
      </c>
      <c r="D62" s="3547"/>
      <c r="E62" s="3191">
        <f t="shared" si="13"/>
        <v>0</v>
      </c>
      <c r="F62" s="3547"/>
      <c r="G62" s="3191">
        <f t="shared" si="14"/>
        <v>1</v>
      </c>
      <c r="H62" s="3547"/>
      <c r="I62" s="3191">
        <f t="shared" si="15"/>
        <v>1</v>
      </c>
      <c r="J62" s="3547"/>
      <c r="K62" s="3191">
        <f t="shared" si="16"/>
        <v>1</v>
      </c>
      <c r="L62" s="3547"/>
      <c r="M62" s="3191">
        <f t="shared" si="17"/>
        <v>1</v>
      </c>
      <c r="N62" s="3547"/>
      <c r="O62" s="3191">
        <f t="shared" si="18"/>
        <v>1</v>
      </c>
      <c r="P62" s="3547"/>
      <c r="Q62" s="3191">
        <f t="shared" si="19"/>
        <v>1</v>
      </c>
      <c r="R62" s="2911">
        <f t="shared" si="20"/>
        <v>0</v>
      </c>
      <c r="S62" s="2965">
        <f t="shared" si="21"/>
        <v>0</v>
      </c>
    </row>
    <row r="63" spans="1:19">
      <c r="A63" s="3193"/>
      <c r="B63" s="3545"/>
      <c r="C63" s="3191">
        <f t="shared" si="12"/>
        <v>1</v>
      </c>
      <c r="D63" s="3547"/>
      <c r="E63" s="3191">
        <f t="shared" si="13"/>
        <v>0</v>
      </c>
      <c r="F63" s="3547"/>
      <c r="G63" s="3191">
        <f t="shared" si="14"/>
        <v>1</v>
      </c>
      <c r="H63" s="3547"/>
      <c r="I63" s="3191">
        <f t="shared" si="15"/>
        <v>1</v>
      </c>
      <c r="J63" s="3547"/>
      <c r="K63" s="3191">
        <f t="shared" si="16"/>
        <v>1</v>
      </c>
      <c r="L63" s="3547"/>
      <c r="M63" s="3191">
        <f t="shared" si="17"/>
        <v>1</v>
      </c>
      <c r="N63" s="3547"/>
      <c r="O63" s="3191">
        <f t="shared" si="18"/>
        <v>1</v>
      </c>
      <c r="P63" s="3547"/>
      <c r="Q63" s="3191">
        <f t="shared" si="19"/>
        <v>1</v>
      </c>
      <c r="R63" s="2911">
        <f t="shared" si="20"/>
        <v>0</v>
      </c>
      <c r="S63" s="2965">
        <f t="shared" si="21"/>
        <v>0</v>
      </c>
    </row>
    <row r="64" spans="1:19">
      <c r="A64" s="3193"/>
      <c r="B64" s="3545"/>
      <c r="C64" s="3191">
        <f t="shared" si="12"/>
        <v>1</v>
      </c>
      <c r="D64" s="3547"/>
      <c r="E64" s="3191">
        <f t="shared" si="13"/>
        <v>0</v>
      </c>
      <c r="F64" s="3547"/>
      <c r="G64" s="3191">
        <f t="shared" si="14"/>
        <v>1</v>
      </c>
      <c r="H64" s="3547"/>
      <c r="I64" s="3191">
        <f t="shared" si="15"/>
        <v>1</v>
      </c>
      <c r="J64" s="3547"/>
      <c r="K64" s="3191">
        <f t="shared" si="16"/>
        <v>1</v>
      </c>
      <c r="L64" s="3547"/>
      <c r="M64" s="3191">
        <f t="shared" si="17"/>
        <v>1</v>
      </c>
      <c r="N64" s="3547"/>
      <c r="O64" s="3191">
        <f t="shared" si="18"/>
        <v>1</v>
      </c>
      <c r="P64" s="3547"/>
      <c r="Q64" s="3191">
        <f t="shared" si="19"/>
        <v>1</v>
      </c>
      <c r="R64" s="2911">
        <f t="shared" si="20"/>
        <v>0</v>
      </c>
      <c r="S64" s="2965">
        <f t="shared" si="21"/>
        <v>0</v>
      </c>
    </row>
    <row r="65" spans="1:19">
      <c r="A65" s="3193"/>
      <c r="B65" s="3545"/>
      <c r="C65" s="3191">
        <f t="shared" si="12"/>
        <v>1</v>
      </c>
      <c r="D65" s="3547"/>
      <c r="E65" s="3191">
        <f t="shared" si="13"/>
        <v>0</v>
      </c>
      <c r="F65" s="3547"/>
      <c r="G65" s="3191">
        <f t="shared" si="14"/>
        <v>1</v>
      </c>
      <c r="H65" s="3547"/>
      <c r="I65" s="3191">
        <f t="shared" si="15"/>
        <v>1</v>
      </c>
      <c r="J65" s="3547"/>
      <c r="K65" s="3191">
        <f t="shared" si="16"/>
        <v>1</v>
      </c>
      <c r="L65" s="3547"/>
      <c r="M65" s="3191">
        <f t="shared" si="17"/>
        <v>1</v>
      </c>
      <c r="N65" s="3547"/>
      <c r="O65" s="3191">
        <f t="shared" si="18"/>
        <v>1</v>
      </c>
      <c r="P65" s="3547"/>
      <c r="Q65" s="3191">
        <f t="shared" si="19"/>
        <v>1</v>
      </c>
      <c r="R65" s="2911">
        <f t="shared" si="20"/>
        <v>0</v>
      </c>
      <c r="S65" s="2965">
        <f t="shared" si="21"/>
        <v>0</v>
      </c>
    </row>
    <row r="66" spans="1:19">
      <c r="A66" s="3193"/>
      <c r="B66" s="3545"/>
      <c r="C66" s="3191">
        <f t="shared" si="12"/>
        <v>1</v>
      </c>
      <c r="D66" s="3547"/>
      <c r="E66" s="3191">
        <f t="shared" si="13"/>
        <v>0</v>
      </c>
      <c r="F66" s="3547"/>
      <c r="G66" s="3191">
        <f t="shared" si="14"/>
        <v>1</v>
      </c>
      <c r="H66" s="3547"/>
      <c r="I66" s="3191">
        <f t="shared" si="15"/>
        <v>1</v>
      </c>
      <c r="J66" s="3547"/>
      <c r="K66" s="3191">
        <f t="shared" si="16"/>
        <v>1</v>
      </c>
      <c r="L66" s="3547"/>
      <c r="M66" s="3191">
        <f t="shared" si="17"/>
        <v>1</v>
      </c>
      <c r="N66" s="3547"/>
      <c r="O66" s="3191">
        <f t="shared" si="18"/>
        <v>1</v>
      </c>
      <c r="P66" s="3547"/>
      <c r="Q66" s="3191">
        <f t="shared" si="19"/>
        <v>1</v>
      </c>
      <c r="R66" s="2911">
        <f t="shared" si="20"/>
        <v>0</v>
      </c>
      <c r="S66" s="2965">
        <f t="shared" si="21"/>
        <v>0</v>
      </c>
    </row>
    <row r="67" spans="1:19">
      <c r="A67" s="3193"/>
      <c r="B67" s="3545"/>
      <c r="C67" s="3191">
        <f t="shared" si="12"/>
        <v>1</v>
      </c>
      <c r="D67" s="3547"/>
      <c r="E67" s="3191">
        <f t="shared" si="13"/>
        <v>0</v>
      </c>
      <c r="F67" s="3547"/>
      <c r="G67" s="3191">
        <f t="shared" si="14"/>
        <v>1</v>
      </c>
      <c r="H67" s="3547"/>
      <c r="I67" s="3191">
        <f t="shared" si="15"/>
        <v>1</v>
      </c>
      <c r="J67" s="3547"/>
      <c r="K67" s="3191">
        <f t="shared" si="16"/>
        <v>1</v>
      </c>
      <c r="L67" s="3547"/>
      <c r="M67" s="3191">
        <f t="shared" si="17"/>
        <v>1</v>
      </c>
      <c r="N67" s="3547"/>
      <c r="O67" s="3191">
        <f t="shared" si="18"/>
        <v>1</v>
      </c>
      <c r="P67" s="3547"/>
      <c r="Q67" s="3191">
        <f t="shared" si="19"/>
        <v>1</v>
      </c>
      <c r="R67" s="2911">
        <f t="shared" si="20"/>
        <v>0</v>
      </c>
      <c r="S67" s="2965">
        <f t="shared" si="21"/>
        <v>0</v>
      </c>
    </row>
    <row r="68" spans="1:19">
      <c r="A68" s="3193"/>
      <c r="B68" s="3545"/>
      <c r="C68" s="3191">
        <f t="shared" si="12"/>
        <v>1</v>
      </c>
      <c r="D68" s="3547"/>
      <c r="E68" s="3191">
        <f t="shared" si="13"/>
        <v>0</v>
      </c>
      <c r="F68" s="3547"/>
      <c r="G68" s="3191">
        <f t="shared" si="14"/>
        <v>1</v>
      </c>
      <c r="H68" s="3547"/>
      <c r="I68" s="3191">
        <f t="shared" si="15"/>
        <v>1</v>
      </c>
      <c r="J68" s="3547"/>
      <c r="K68" s="3191">
        <f t="shared" si="16"/>
        <v>1</v>
      </c>
      <c r="L68" s="3547"/>
      <c r="M68" s="3191">
        <f t="shared" si="17"/>
        <v>1</v>
      </c>
      <c r="N68" s="3547"/>
      <c r="O68" s="3191">
        <f t="shared" si="18"/>
        <v>1</v>
      </c>
      <c r="P68" s="3547"/>
      <c r="Q68" s="3191">
        <f t="shared" si="19"/>
        <v>1</v>
      </c>
      <c r="R68" s="2911">
        <f t="shared" si="20"/>
        <v>0</v>
      </c>
      <c r="S68" s="2965">
        <f t="shared" si="21"/>
        <v>0</v>
      </c>
    </row>
    <row r="69" spans="1:19">
      <c r="A69" s="3193"/>
      <c r="B69" s="3545"/>
      <c r="C69" s="3191">
        <f t="shared" si="12"/>
        <v>1</v>
      </c>
      <c r="D69" s="3547"/>
      <c r="E69" s="3191">
        <f t="shared" si="13"/>
        <v>0</v>
      </c>
      <c r="F69" s="3547"/>
      <c r="G69" s="3191">
        <f t="shared" si="14"/>
        <v>1</v>
      </c>
      <c r="H69" s="3547"/>
      <c r="I69" s="3191">
        <f t="shared" si="15"/>
        <v>1</v>
      </c>
      <c r="J69" s="3547"/>
      <c r="K69" s="3191">
        <f t="shared" si="16"/>
        <v>1</v>
      </c>
      <c r="L69" s="3547"/>
      <c r="M69" s="3191">
        <f t="shared" si="17"/>
        <v>1</v>
      </c>
      <c r="N69" s="3547"/>
      <c r="O69" s="3191">
        <f t="shared" si="18"/>
        <v>1</v>
      </c>
      <c r="P69" s="3547"/>
      <c r="Q69" s="3191">
        <f t="shared" si="19"/>
        <v>1</v>
      </c>
      <c r="R69" s="2911">
        <f t="shared" si="20"/>
        <v>0</v>
      </c>
      <c r="S69" s="2965">
        <f t="shared" si="21"/>
        <v>0</v>
      </c>
    </row>
    <row r="70" spans="1:19">
      <c r="A70" s="3193"/>
      <c r="B70" s="3545"/>
      <c r="C70" s="3191">
        <f t="shared" si="12"/>
        <v>1</v>
      </c>
      <c r="D70" s="3547"/>
      <c r="E70" s="3191">
        <f t="shared" si="13"/>
        <v>0</v>
      </c>
      <c r="F70" s="3547"/>
      <c r="G70" s="3191">
        <f t="shared" si="14"/>
        <v>1</v>
      </c>
      <c r="H70" s="3547"/>
      <c r="I70" s="3191">
        <f t="shared" si="15"/>
        <v>1</v>
      </c>
      <c r="J70" s="3547"/>
      <c r="K70" s="3191">
        <f t="shared" si="16"/>
        <v>1</v>
      </c>
      <c r="L70" s="3547"/>
      <c r="M70" s="3191">
        <f t="shared" si="17"/>
        <v>1</v>
      </c>
      <c r="N70" s="3547"/>
      <c r="O70" s="3191">
        <f t="shared" si="18"/>
        <v>1</v>
      </c>
      <c r="P70" s="3547"/>
      <c r="Q70" s="3191">
        <f t="shared" si="19"/>
        <v>1</v>
      </c>
      <c r="R70" s="2911">
        <f t="shared" si="20"/>
        <v>0</v>
      </c>
      <c r="S70" s="2965">
        <f t="shared" si="21"/>
        <v>0</v>
      </c>
    </row>
    <row r="71" spans="1:19">
      <c r="A71" s="3193"/>
      <c r="B71" s="3545"/>
      <c r="C71" s="3191">
        <f t="shared" si="12"/>
        <v>1</v>
      </c>
      <c r="D71" s="3547"/>
      <c r="E71" s="3191">
        <f t="shared" si="13"/>
        <v>0</v>
      </c>
      <c r="F71" s="3547"/>
      <c r="G71" s="3191">
        <f t="shared" si="14"/>
        <v>1</v>
      </c>
      <c r="H71" s="3547"/>
      <c r="I71" s="3191">
        <f t="shared" si="15"/>
        <v>1</v>
      </c>
      <c r="J71" s="3547"/>
      <c r="K71" s="3191">
        <f t="shared" si="16"/>
        <v>1</v>
      </c>
      <c r="L71" s="3547"/>
      <c r="M71" s="3191">
        <f t="shared" si="17"/>
        <v>1</v>
      </c>
      <c r="N71" s="3547"/>
      <c r="O71" s="3191">
        <f t="shared" si="18"/>
        <v>1</v>
      </c>
      <c r="P71" s="3547"/>
      <c r="Q71" s="3191">
        <f t="shared" si="19"/>
        <v>1</v>
      </c>
      <c r="R71" s="2911">
        <f t="shared" si="20"/>
        <v>0</v>
      </c>
      <c r="S71" s="2965">
        <f t="shared" si="21"/>
        <v>0</v>
      </c>
    </row>
    <row r="72" spans="1:19">
      <c r="A72" s="3193"/>
      <c r="B72" s="3545"/>
      <c r="C72" s="3191">
        <f t="shared" si="12"/>
        <v>1</v>
      </c>
      <c r="D72" s="3547"/>
      <c r="E72" s="3191">
        <f t="shared" si="13"/>
        <v>0</v>
      </c>
      <c r="F72" s="3547"/>
      <c r="G72" s="3191">
        <f t="shared" si="14"/>
        <v>1</v>
      </c>
      <c r="H72" s="3547"/>
      <c r="I72" s="3191">
        <f t="shared" si="15"/>
        <v>1</v>
      </c>
      <c r="J72" s="3547"/>
      <c r="K72" s="3191">
        <f t="shared" si="16"/>
        <v>1</v>
      </c>
      <c r="L72" s="3547"/>
      <c r="M72" s="3191">
        <f t="shared" si="17"/>
        <v>1</v>
      </c>
      <c r="N72" s="3547"/>
      <c r="O72" s="3191">
        <f t="shared" si="18"/>
        <v>1</v>
      </c>
      <c r="P72" s="3547"/>
      <c r="Q72" s="3191">
        <f t="shared" si="19"/>
        <v>1</v>
      </c>
      <c r="R72" s="2911">
        <f t="shared" si="20"/>
        <v>0</v>
      </c>
      <c r="S72" s="2965">
        <f t="shared" si="21"/>
        <v>0</v>
      </c>
    </row>
    <row r="73" spans="1:19">
      <c r="A73" s="3193"/>
      <c r="B73" s="3545"/>
      <c r="C73" s="3191">
        <f t="shared" si="12"/>
        <v>1</v>
      </c>
      <c r="D73" s="3547"/>
      <c r="E73" s="3191">
        <f t="shared" si="13"/>
        <v>0</v>
      </c>
      <c r="F73" s="3547"/>
      <c r="G73" s="3191">
        <f t="shared" si="14"/>
        <v>1</v>
      </c>
      <c r="H73" s="3547"/>
      <c r="I73" s="3191">
        <f t="shared" si="15"/>
        <v>1</v>
      </c>
      <c r="J73" s="3547"/>
      <c r="K73" s="3191">
        <f t="shared" si="16"/>
        <v>1</v>
      </c>
      <c r="L73" s="3547"/>
      <c r="M73" s="3191">
        <f t="shared" si="17"/>
        <v>1</v>
      </c>
      <c r="N73" s="3547"/>
      <c r="O73" s="3191">
        <f t="shared" si="18"/>
        <v>1</v>
      </c>
      <c r="P73" s="3547"/>
      <c r="Q73" s="3191">
        <f t="shared" si="19"/>
        <v>1</v>
      </c>
      <c r="R73" s="2911">
        <f t="shared" si="20"/>
        <v>0</v>
      </c>
      <c r="S73" s="2965">
        <f t="shared" si="21"/>
        <v>0</v>
      </c>
    </row>
    <row r="74" spans="1:19">
      <c r="A74" s="3193"/>
      <c r="B74" s="3545"/>
      <c r="C74" s="3191">
        <f t="shared" si="12"/>
        <v>1</v>
      </c>
      <c r="D74" s="3547"/>
      <c r="E74" s="3191">
        <f t="shared" si="13"/>
        <v>0</v>
      </c>
      <c r="F74" s="3547"/>
      <c r="G74" s="3191">
        <f t="shared" si="14"/>
        <v>1</v>
      </c>
      <c r="H74" s="3547"/>
      <c r="I74" s="3191">
        <f t="shared" si="15"/>
        <v>1</v>
      </c>
      <c r="J74" s="3547"/>
      <c r="K74" s="3191">
        <f t="shared" si="16"/>
        <v>1</v>
      </c>
      <c r="L74" s="3547"/>
      <c r="M74" s="3191">
        <f t="shared" si="17"/>
        <v>1</v>
      </c>
      <c r="N74" s="3547"/>
      <c r="O74" s="3191">
        <f t="shared" si="18"/>
        <v>1</v>
      </c>
      <c r="P74" s="3547"/>
      <c r="Q74" s="3191">
        <f t="shared" si="19"/>
        <v>1</v>
      </c>
      <c r="R74" s="2911">
        <f t="shared" si="20"/>
        <v>0</v>
      </c>
      <c r="S74" s="2965">
        <f t="shared" si="21"/>
        <v>0</v>
      </c>
    </row>
    <row r="75" spans="1:19">
      <c r="A75" s="3193"/>
      <c r="B75" s="3545"/>
      <c r="C75" s="3191">
        <f t="shared" si="12"/>
        <v>1</v>
      </c>
      <c r="D75" s="3547"/>
      <c r="E75" s="3191">
        <f t="shared" si="13"/>
        <v>0</v>
      </c>
      <c r="F75" s="3547"/>
      <c r="G75" s="3191">
        <f t="shared" si="14"/>
        <v>1</v>
      </c>
      <c r="H75" s="3547"/>
      <c r="I75" s="3191">
        <f t="shared" si="15"/>
        <v>1</v>
      </c>
      <c r="J75" s="3547"/>
      <c r="K75" s="3191">
        <f t="shared" si="16"/>
        <v>1</v>
      </c>
      <c r="L75" s="3547"/>
      <c r="M75" s="3191">
        <f t="shared" si="17"/>
        <v>1</v>
      </c>
      <c r="N75" s="3547"/>
      <c r="O75" s="3191">
        <f t="shared" si="18"/>
        <v>1</v>
      </c>
      <c r="P75" s="3547"/>
      <c r="Q75" s="3191">
        <f t="shared" si="19"/>
        <v>1</v>
      </c>
      <c r="R75" s="2911">
        <f t="shared" si="20"/>
        <v>0</v>
      </c>
      <c r="S75" s="2965">
        <f t="shared" si="21"/>
        <v>0</v>
      </c>
    </row>
    <row r="76" spans="1:19">
      <c r="A76" s="3193"/>
      <c r="B76" s="3545"/>
      <c r="C76" s="3191">
        <f t="shared" si="12"/>
        <v>1</v>
      </c>
      <c r="D76" s="3547"/>
      <c r="E76" s="3191">
        <f t="shared" si="13"/>
        <v>0</v>
      </c>
      <c r="F76" s="3547"/>
      <c r="G76" s="3191">
        <f t="shared" si="14"/>
        <v>1</v>
      </c>
      <c r="H76" s="3547"/>
      <c r="I76" s="3191">
        <f t="shared" si="15"/>
        <v>1</v>
      </c>
      <c r="J76" s="3547"/>
      <c r="K76" s="3191">
        <f t="shared" si="16"/>
        <v>1</v>
      </c>
      <c r="L76" s="3547"/>
      <c r="M76" s="3191">
        <f t="shared" si="17"/>
        <v>1</v>
      </c>
      <c r="N76" s="3547"/>
      <c r="O76" s="3191">
        <f t="shared" si="18"/>
        <v>1</v>
      </c>
      <c r="P76" s="3547"/>
      <c r="Q76" s="3191">
        <f t="shared" si="19"/>
        <v>1</v>
      </c>
      <c r="R76" s="2911">
        <f t="shared" si="20"/>
        <v>0</v>
      </c>
      <c r="S76" s="2965">
        <f t="shared" si="21"/>
        <v>0</v>
      </c>
    </row>
    <row r="77" spans="1:19">
      <c r="A77" s="3193"/>
      <c r="B77" s="3545"/>
      <c r="C77" s="3191">
        <f t="shared" si="12"/>
        <v>1</v>
      </c>
      <c r="D77" s="3547"/>
      <c r="E77" s="3191">
        <f t="shared" si="13"/>
        <v>0</v>
      </c>
      <c r="F77" s="3547"/>
      <c r="G77" s="3191">
        <f t="shared" si="14"/>
        <v>1</v>
      </c>
      <c r="H77" s="3547"/>
      <c r="I77" s="3191">
        <f t="shared" si="15"/>
        <v>1</v>
      </c>
      <c r="J77" s="3547"/>
      <c r="K77" s="3191">
        <f t="shared" si="16"/>
        <v>1</v>
      </c>
      <c r="L77" s="3547"/>
      <c r="M77" s="3191">
        <f t="shared" si="17"/>
        <v>1</v>
      </c>
      <c r="N77" s="3547"/>
      <c r="O77" s="3191">
        <f t="shared" si="18"/>
        <v>1</v>
      </c>
      <c r="P77" s="3547"/>
      <c r="Q77" s="3191">
        <f t="shared" si="19"/>
        <v>1</v>
      </c>
      <c r="R77" s="2911">
        <f t="shared" si="20"/>
        <v>0</v>
      </c>
      <c r="S77" s="2965">
        <f t="shared" si="21"/>
        <v>0</v>
      </c>
    </row>
    <row r="78" spans="1:19">
      <c r="A78" s="3193"/>
      <c r="B78" s="3545"/>
      <c r="C78" s="3191">
        <f t="shared" si="12"/>
        <v>1</v>
      </c>
      <c r="D78" s="3547"/>
      <c r="E78" s="3191">
        <f t="shared" si="13"/>
        <v>0</v>
      </c>
      <c r="F78" s="3547"/>
      <c r="G78" s="3191">
        <f t="shared" si="14"/>
        <v>1</v>
      </c>
      <c r="H78" s="3547"/>
      <c r="I78" s="3191">
        <f t="shared" si="15"/>
        <v>1</v>
      </c>
      <c r="J78" s="3547"/>
      <c r="K78" s="3191">
        <f t="shared" si="16"/>
        <v>1</v>
      </c>
      <c r="L78" s="3547"/>
      <c r="M78" s="3191">
        <f t="shared" si="17"/>
        <v>1</v>
      </c>
      <c r="N78" s="3547"/>
      <c r="O78" s="3191">
        <f t="shared" si="18"/>
        <v>1</v>
      </c>
      <c r="P78" s="3547"/>
      <c r="Q78" s="3191">
        <f t="shared" si="19"/>
        <v>1</v>
      </c>
      <c r="R78" s="2911">
        <f t="shared" si="20"/>
        <v>0</v>
      </c>
      <c r="S78" s="2965">
        <f t="shared" ref="S78:S122" si="22">ROUND(R78*B78/10000,0)</f>
        <v>0</v>
      </c>
    </row>
    <row r="79" spans="1:19">
      <c r="A79" s="3193"/>
      <c r="B79" s="3545"/>
      <c r="C79" s="3191">
        <f t="shared" si="12"/>
        <v>1</v>
      </c>
      <c r="D79" s="3547"/>
      <c r="E79" s="3191">
        <f t="shared" si="13"/>
        <v>0</v>
      </c>
      <c r="F79" s="3547"/>
      <c r="G79" s="3191">
        <f t="shared" si="14"/>
        <v>1</v>
      </c>
      <c r="H79" s="3547"/>
      <c r="I79" s="3191">
        <f t="shared" si="15"/>
        <v>1</v>
      </c>
      <c r="J79" s="3547"/>
      <c r="K79" s="3191">
        <f t="shared" si="16"/>
        <v>1</v>
      </c>
      <c r="L79" s="3547"/>
      <c r="M79" s="3191">
        <f t="shared" si="17"/>
        <v>1</v>
      </c>
      <c r="N79" s="3547"/>
      <c r="O79" s="3191">
        <f t="shared" si="18"/>
        <v>1</v>
      </c>
      <c r="P79" s="3547"/>
      <c r="Q79" s="3191">
        <f t="shared" si="19"/>
        <v>1</v>
      </c>
      <c r="R79" s="2911">
        <f t="shared" si="20"/>
        <v>0</v>
      </c>
      <c r="S79" s="2965">
        <f t="shared" si="22"/>
        <v>0</v>
      </c>
    </row>
    <row r="80" spans="1:19">
      <c r="A80" s="3193"/>
      <c r="B80" s="3545"/>
      <c r="C80" s="3191">
        <f t="shared" si="12"/>
        <v>1</v>
      </c>
      <c r="D80" s="3547"/>
      <c r="E80" s="3191">
        <f t="shared" si="13"/>
        <v>0</v>
      </c>
      <c r="F80" s="3547"/>
      <c r="G80" s="3191">
        <f t="shared" si="14"/>
        <v>1</v>
      </c>
      <c r="H80" s="3547"/>
      <c r="I80" s="3191">
        <f t="shared" si="15"/>
        <v>1</v>
      </c>
      <c r="J80" s="3547"/>
      <c r="K80" s="3191">
        <f t="shared" si="16"/>
        <v>1</v>
      </c>
      <c r="L80" s="3547"/>
      <c r="M80" s="3191">
        <f t="shared" si="17"/>
        <v>1</v>
      </c>
      <c r="N80" s="3547"/>
      <c r="O80" s="3191">
        <f t="shared" si="18"/>
        <v>1</v>
      </c>
      <c r="P80" s="3547"/>
      <c r="Q80" s="3191">
        <f t="shared" si="19"/>
        <v>1</v>
      </c>
      <c r="R80" s="2911">
        <f t="shared" si="20"/>
        <v>0</v>
      </c>
      <c r="S80" s="2965">
        <f t="shared" si="22"/>
        <v>0</v>
      </c>
    </row>
    <row r="81" spans="1:19">
      <c r="A81" s="3193"/>
      <c r="B81" s="3545"/>
      <c r="C81" s="3191">
        <f t="shared" si="12"/>
        <v>1</v>
      </c>
      <c r="D81" s="3547"/>
      <c r="E81" s="3191">
        <f t="shared" si="13"/>
        <v>0</v>
      </c>
      <c r="F81" s="3547"/>
      <c r="G81" s="3191">
        <f t="shared" si="14"/>
        <v>1</v>
      </c>
      <c r="H81" s="3547"/>
      <c r="I81" s="3191">
        <f t="shared" si="15"/>
        <v>1</v>
      </c>
      <c r="J81" s="3547"/>
      <c r="K81" s="3191">
        <f t="shared" si="16"/>
        <v>1</v>
      </c>
      <c r="L81" s="3547"/>
      <c r="M81" s="3191">
        <f t="shared" si="17"/>
        <v>1</v>
      </c>
      <c r="N81" s="3547"/>
      <c r="O81" s="3191">
        <f t="shared" si="18"/>
        <v>1</v>
      </c>
      <c r="P81" s="3547"/>
      <c r="Q81" s="3191">
        <f t="shared" si="19"/>
        <v>1</v>
      </c>
      <c r="R81" s="2911">
        <f t="shared" si="20"/>
        <v>0</v>
      </c>
      <c r="S81" s="2965">
        <f t="shared" si="22"/>
        <v>0</v>
      </c>
    </row>
    <row r="82" spans="1:19">
      <c r="A82" s="3193"/>
      <c r="B82" s="3545"/>
      <c r="C82" s="3191">
        <f t="shared" si="12"/>
        <v>1</v>
      </c>
      <c r="D82" s="3547"/>
      <c r="E82" s="3191">
        <f t="shared" si="13"/>
        <v>0</v>
      </c>
      <c r="F82" s="3547"/>
      <c r="G82" s="3191">
        <f t="shared" si="14"/>
        <v>1</v>
      </c>
      <c r="H82" s="3547"/>
      <c r="I82" s="3191">
        <f t="shared" si="15"/>
        <v>1</v>
      </c>
      <c r="J82" s="3547"/>
      <c r="K82" s="3191">
        <f t="shared" si="16"/>
        <v>1</v>
      </c>
      <c r="L82" s="3547"/>
      <c r="M82" s="3191">
        <f t="shared" si="17"/>
        <v>1</v>
      </c>
      <c r="N82" s="3547"/>
      <c r="O82" s="3191">
        <f t="shared" si="18"/>
        <v>1</v>
      </c>
      <c r="P82" s="3547"/>
      <c r="Q82" s="3191">
        <f t="shared" si="19"/>
        <v>1</v>
      </c>
      <c r="R82" s="2911">
        <f t="shared" si="20"/>
        <v>0</v>
      </c>
      <c r="S82" s="2965">
        <f t="shared" si="22"/>
        <v>0</v>
      </c>
    </row>
    <row r="83" spans="1:19">
      <c r="A83" s="3193"/>
      <c r="B83" s="3545"/>
      <c r="C83" s="3191">
        <f t="shared" si="12"/>
        <v>1</v>
      </c>
      <c r="D83" s="3547"/>
      <c r="E83" s="3191">
        <f t="shared" si="13"/>
        <v>0</v>
      </c>
      <c r="F83" s="3547"/>
      <c r="G83" s="3191">
        <f t="shared" si="14"/>
        <v>1</v>
      </c>
      <c r="H83" s="3547"/>
      <c r="I83" s="3191">
        <f t="shared" si="15"/>
        <v>1</v>
      </c>
      <c r="J83" s="3547"/>
      <c r="K83" s="3191">
        <f t="shared" si="16"/>
        <v>1</v>
      </c>
      <c r="L83" s="3547"/>
      <c r="M83" s="3191">
        <f t="shared" si="17"/>
        <v>1</v>
      </c>
      <c r="N83" s="3547"/>
      <c r="O83" s="3191">
        <f t="shared" si="18"/>
        <v>1</v>
      </c>
      <c r="P83" s="3547"/>
      <c r="Q83" s="3191">
        <f t="shared" si="19"/>
        <v>1</v>
      </c>
      <c r="R83" s="2911">
        <f t="shared" si="20"/>
        <v>0</v>
      </c>
      <c r="S83" s="2965">
        <f t="shared" si="22"/>
        <v>0</v>
      </c>
    </row>
    <row r="84" spans="1:19">
      <c r="A84" s="3193"/>
      <c r="B84" s="3545"/>
      <c r="C84" s="3191">
        <f t="shared" si="12"/>
        <v>1</v>
      </c>
      <c r="D84" s="3547"/>
      <c r="E84" s="3191">
        <f t="shared" si="13"/>
        <v>0</v>
      </c>
      <c r="F84" s="3547"/>
      <c r="G84" s="3191">
        <f t="shared" si="14"/>
        <v>1</v>
      </c>
      <c r="H84" s="3547"/>
      <c r="I84" s="3191">
        <f t="shared" si="15"/>
        <v>1</v>
      </c>
      <c r="J84" s="3547"/>
      <c r="K84" s="3191">
        <f t="shared" si="16"/>
        <v>1</v>
      </c>
      <c r="L84" s="3547"/>
      <c r="M84" s="3191">
        <f t="shared" si="17"/>
        <v>1</v>
      </c>
      <c r="N84" s="3547"/>
      <c r="O84" s="3191">
        <f t="shared" si="18"/>
        <v>1</v>
      </c>
      <c r="P84" s="3547"/>
      <c r="Q84" s="3191">
        <f t="shared" si="19"/>
        <v>1</v>
      </c>
      <c r="R84" s="2911">
        <f t="shared" si="20"/>
        <v>0</v>
      </c>
      <c r="S84" s="2965">
        <f t="shared" si="22"/>
        <v>0</v>
      </c>
    </row>
    <row r="85" spans="1:19">
      <c r="A85" s="3193"/>
      <c r="B85" s="3545"/>
      <c r="C85" s="3191">
        <f t="shared" si="12"/>
        <v>1</v>
      </c>
      <c r="D85" s="3547"/>
      <c r="E85" s="3191">
        <f t="shared" si="13"/>
        <v>0</v>
      </c>
      <c r="F85" s="3547"/>
      <c r="G85" s="3191">
        <f t="shared" si="14"/>
        <v>1</v>
      </c>
      <c r="H85" s="3547"/>
      <c r="I85" s="3191">
        <f t="shared" si="15"/>
        <v>1</v>
      </c>
      <c r="J85" s="3547"/>
      <c r="K85" s="3191">
        <f t="shared" si="16"/>
        <v>1</v>
      </c>
      <c r="L85" s="3547"/>
      <c r="M85" s="3191">
        <f t="shared" si="17"/>
        <v>1</v>
      </c>
      <c r="N85" s="3547"/>
      <c r="O85" s="3191">
        <f t="shared" si="18"/>
        <v>1</v>
      </c>
      <c r="P85" s="3547"/>
      <c r="Q85" s="3191">
        <f t="shared" si="19"/>
        <v>1</v>
      </c>
      <c r="R85" s="2911">
        <f t="shared" si="20"/>
        <v>0</v>
      </c>
      <c r="S85" s="2965">
        <f t="shared" si="22"/>
        <v>0</v>
      </c>
    </row>
    <row r="86" spans="1:19">
      <c r="A86" s="3193"/>
      <c r="B86" s="3545"/>
      <c r="C86" s="3191">
        <f t="shared" si="12"/>
        <v>1</v>
      </c>
      <c r="D86" s="3547"/>
      <c r="E86" s="3191">
        <f t="shared" si="13"/>
        <v>0</v>
      </c>
      <c r="F86" s="3547"/>
      <c r="G86" s="3191">
        <f t="shared" si="14"/>
        <v>1</v>
      </c>
      <c r="H86" s="3547"/>
      <c r="I86" s="3191">
        <f t="shared" si="15"/>
        <v>1</v>
      </c>
      <c r="J86" s="3547"/>
      <c r="K86" s="3191">
        <f t="shared" si="16"/>
        <v>1</v>
      </c>
      <c r="L86" s="3547"/>
      <c r="M86" s="3191">
        <f t="shared" si="17"/>
        <v>1</v>
      </c>
      <c r="N86" s="3547"/>
      <c r="O86" s="3191">
        <f t="shared" si="18"/>
        <v>1</v>
      </c>
      <c r="P86" s="3547"/>
      <c r="Q86" s="3191">
        <f t="shared" si="19"/>
        <v>1</v>
      </c>
      <c r="R86" s="2911">
        <f t="shared" si="20"/>
        <v>0</v>
      </c>
      <c r="S86" s="2965">
        <f t="shared" si="22"/>
        <v>0</v>
      </c>
    </row>
    <row r="87" spans="1:19">
      <c r="A87" s="3193"/>
      <c r="B87" s="3545"/>
      <c r="C87" s="3191">
        <f t="shared" si="12"/>
        <v>1</v>
      </c>
      <c r="D87" s="3547"/>
      <c r="E87" s="3191">
        <f t="shared" si="13"/>
        <v>0</v>
      </c>
      <c r="F87" s="3547"/>
      <c r="G87" s="3191">
        <f t="shared" si="14"/>
        <v>1</v>
      </c>
      <c r="H87" s="3547"/>
      <c r="I87" s="3191">
        <f t="shared" si="15"/>
        <v>1</v>
      </c>
      <c r="J87" s="3547"/>
      <c r="K87" s="3191">
        <f t="shared" si="16"/>
        <v>1</v>
      </c>
      <c r="L87" s="3547"/>
      <c r="M87" s="3191">
        <f t="shared" si="17"/>
        <v>1</v>
      </c>
      <c r="N87" s="3547"/>
      <c r="O87" s="3191">
        <f t="shared" si="18"/>
        <v>1</v>
      </c>
      <c r="P87" s="3547"/>
      <c r="Q87" s="3191">
        <f t="shared" si="19"/>
        <v>1</v>
      </c>
      <c r="R87" s="2911">
        <f t="shared" si="20"/>
        <v>0</v>
      </c>
      <c r="S87" s="2965">
        <f t="shared" si="22"/>
        <v>0</v>
      </c>
    </row>
    <row r="88" spans="1:19">
      <c r="A88" s="3193"/>
      <c r="B88" s="3545"/>
      <c r="C88" s="3191">
        <f t="shared" si="12"/>
        <v>1</v>
      </c>
      <c r="D88" s="3547"/>
      <c r="E88" s="3191">
        <f t="shared" si="13"/>
        <v>0</v>
      </c>
      <c r="F88" s="3547"/>
      <c r="G88" s="3191">
        <f t="shared" si="14"/>
        <v>1</v>
      </c>
      <c r="H88" s="3547"/>
      <c r="I88" s="3191">
        <f t="shared" si="15"/>
        <v>1</v>
      </c>
      <c r="J88" s="3547"/>
      <c r="K88" s="3191">
        <f t="shared" si="16"/>
        <v>1</v>
      </c>
      <c r="L88" s="3547"/>
      <c r="M88" s="3191">
        <f t="shared" si="17"/>
        <v>1</v>
      </c>
      <c r="N88" s="3547"/>
      <c r="O88" s="3191">
        <f t="shared" si="18"/>
        <v>1</v>
      </c>
      <c r="P88" s="3547"/>
      <c r="Q88" s="3191">
        <f t="shared" si="19"/>
        <v>1</v>
      </c>
      <c r="R88" s="2911">
        <f t="shared" si="20"/>
        <v>0</v>
      </c>
      <c r="S88" s="2965">
        <f t="shared" si="22"/>
        <v>0</v>
      </c>
    </row>
    <row r="89" spans="1:19">
      <c r="A89" s="3193"/>
      <c r="B89" s="3545"/>
      <c r="C89" s="3191">
        <f t="shared" si="12"/>
        <v>1</v>
      </c>
      <c r="D89" s="3547"/>
      <c r="E89" s="3191">
        <f t="shared" si="13"/>
        <v>0</v>
      </c>
      <c r="F89" s="3547"/>
      <c r="G89" s="3191">
        <f t="shared" si="14"/>
        <v>1</v>
      </c>
      <c r="H89" s="3547"/>
      <c r="I89" s="3191">
        <f t="shared" si="15"/>
        <v>1</v>
      </c>
      <c r="J89" s="3547"/>
      <c r="K89" s="3191">
        <f t="shared" si="16"/>
        <v>1</v>
      </c>
      <c r="L89" s="3547"/>
      <c r="M89" s="3191">
        <f t="shared" si="17"/>
        <v>1</v>
      </c>
      <c r="N89" s="3547"/>
      <c r="O89" s="3191">
        <f t="shared" si="18"/>
        <v>1</v>
      </c>
      <c r="P89" s="3547"/>
      <c r="Q89" s="3191">
        <f t="shared" si="19"/>
        <v>1</v>
      </c>
      <c r="R89" s="2911">
        <f t="shared" si="20"/>
        <v>0</v>
      </c>
      <c r="S89" s="2965">
        <f t="shared" si="22"/>
        <v>0</v>
      </c>
    </row>
    <row r="90" spans="1:19">
      <c r="A90" s="3193"/>
      <c r="B90" s="3545"/>
      <c r="C90" s="3191">
        <f t="shared" ref="C90:C153" si="23">IF(B90="",1,(LOOKUP(B90,$3:$3,$4:$4)-LOOKUP($B$24,$3:$3,$4:$4)+100)/100)</f>
        <v>1</v>
      </c>
      <c r="D90" s="3547"/>
      <c r="E90" s="3191">
        <f t="shared" ref="E90:E153" si="24">(SUMIF($5:$5,D90,$6:$6)-SUMIF($5:$5,$D$24,$6:$6)+100)/100</f>
        <v>0</v>
      </c>
      <c r="F90" s="3547"/>
      <c r="G90" s="3191">
        <f t="shared" ref="G90:G153" si="25">(SUMIF($7:$7,F90,$8:$8)-SUMIF($7:$7,$F$24,$8:$8)+100)/100</f>
        <v>1</v>
      </c>
      <c r="H90" s="3547"/>
      <c r="I90" s="3191">
        <f t="shared" ref="I90:I153" si="26">(SUMIF($9:$9,H90,$10:$10)-SUMIF($9:$9,$H$24,$10:$10)+100)/100</f>
        <v>1</v>
      </c>
      <c r="J90" s="3547"/>
      <c r="K90" s="3191">
        <f t="shared" ref="K90:K153" si="27">(SUMIF($11:$11,J90,$12:$12)-SUMIF($11:$11,$J$24,$12:$12)+100)/100</f>
        <v>1</v>
      </c>
      <c r="L90" s="3547"/>
      <c r="M90" s="3191">
        <f t="shared" ref="M90:M153" si="28">(SUMIF($13:$13,L90,$14:$14)-SUMIF($13:$13,$L$24,$14:$14)+100)/100</f>
        <v>1</v>
      </c>
      <c r="N90" s="3547"/>
      <c r="O90" s="3191">
        <f t="shared" ref="O90:O153" si="29">(SUMIF($15:$15,N90,$16:$16)-SUMIF($15:$15,$N$24,$16:$16)+100)/100</f>
        <v>1</v>
      </c>
      <c r="P90" s="3547"/>
      <c r="Q90" s="3191">
        <f t="shared" ref="Q90:Q153" si="30">(SUMIF($17:$17,P90,$18:$18)-SUMIF($17:$17,$P$24,$18:$18)+100)/100</f>
        <v>1</v>
      </c>
      <c r="R90" s="2911">
        <f t="shared" ref="R90:R153" si="31">IF(B90="",0,ROUND($R$24*C90*E90*G90*I90*K90*M90*O90*Q90,0))</f>
        <v>0</v>
      </c>
      <c r="S90" s="2965">
        <f t="shared" si="22"/>
        <v>0</v>
      </c>
    </row>
    <row r="91" spans="1:19">
      <c r="A91" s="3193"/>
      <c r="B91" s="3545"/>
      <c r="C91" s="3191">
        <f t="shared" si="23"/>
        <v>1</v>
      </c>
      <c r="D91" s="3547"/>
      <c r="E91" s="3191">
        <f t="shared" si="24"/>
        <v>0</v>
      </c>
      <c r="F91" s="3547"/>
      <c r="G91" s="3191">
        <f t="shared" si="25"/>
        <v>1</v>
      </c>
      <c r="H91" s="3547"/>
      <c r="I91" s="3191">
        <f t="shared" si="26"/>
        <v>1</v>
      </c>
      <c r="J91" s="3547"/>
      <c r="K91" s="3191">
        <f t="shared" si="27"/>
        <v>1</v>
      </c>
      <c r="L91" s="3547"/>
      <c r="M91" s="3191">
        <f t="shared" si="28"/>
        <v>1</v>
      </c>
      <c r="N91" s="3547"/>
      <c r="O91" s="3191">
        <f t="shared" si="29"/>
        <v>1</v>
      </c>
      <c r="P91" s="3547"/>
      <c r="Q91" s="3191">
        <f t="shared" si="30"/>
        <v>1</v>
      </c>
      <c r="R91" s="2911">
        <f t="shared" si="31"/>
        <v>0</v>
      </c>
      <c r="S91" s="2965">
        <f t="shared" si="22"/>
        <v>0</v>
      </c>
    </row>
    <row r="92" spans="1:19">
      <c r="A92" s="3193"/>
      <c r="B92" s="3545"/>
      <c r="C92" s="3191">
        <f t="shared" si="23"/>
        <v>1</v>
      </c>
      <c r="D92" s="3547"/>
      <c r="E92" s="3191">
        <f t="shared" si="24"/>
        <v>0</v>
      </c>
      <c r="F92" s="3547"/>
      <c r="G92" s="3191">
        <f t="shared" si="25"/>
        <v>1</v>
      </c>
      <c r="H92" s="3547"/>
      <c r="I92" s="3191">
        <f t="shared" si="26"/>
        <v>1</v>
      </c>
      <c r="J92" s="3547"/>
      <c r="K92" s="3191">
        <f t="shared" si="27"/>
        <v>1</v>
      </c>
      <c r="L92" s="3547"/>
      <c r="M92" s="3191">
        <f t="shared" si="28"/>
        <v>1</v>
      </c>
      <c r="N92" s="3547"/>
      <c r="O92" s="3191">
        <f t="shared" si="29"/>
        <v>1</v>
      </c>
      <c r="P92" s="3547"/>
      <c r="Q92" s="3191">
        <f t="shared" si="30"/>
        <v>1</v>
      </c>
      <c r="R92" s="2911">
        <f t="shared" si="31"/>
        <v>0</v>
      </c>
      <c r="S92" s="2965">
        <f t="shared" si="22"/>
        <v>0</v>
      </c>
    </row>
    <row r="93" spans="1:19">
      <c r="A93" s="3193"/>
      <c r="B93" s="3545"/>
      <c r="C93" s="3191">
        <f t="shared" si="23"/>
        <v>1</v>
      </c>
      <c r="D93" s="3547"/>
      <c r="E93" s="3191">
        <f t="shared" si="24"/>
        <v>0</v>
      </c>
      <c r="F93" s="3547"/>
      <c r="G93" s="3191">
        <f t="shared" si="25"/>
        <v>1</v>
      </c>
      <c r="H93" s="3547"/>
      <c r="I93" s="3191">
        <f t="shared" si="26"/>
        <v>1</v>
      </c>
      <c r="J93" s="3547"/>
      <c r="K93" s="3191">
        <f t="shared" si="27"/>
        <v>1</v>
      </c>
      <c r="L93" s="3547"/>
      <c r="M93" s="3191">
        <f t="shared" si="28"/>
        <v>1</v>
      </c>
      <c r="N93" s="3547"/>
      <c r="O93" s="3191">
        <f t="shared" si="29"/>
        <v>1</v>
      </c>
      <c r="P93" s="3547"/>
      <c r="Q93" s="3191">
        <f t="shared" si="30"/>
        <v>1</v>
      </c>
      <c r="R93" s="2911">
        <f t="shared" si="31"/>
        <v>0</v>
      </c>
      <c r="S93" s="2965">
        <f t="shared" si="22"/>
        <v>0</v>
      </c>
    </row>
    <row r="94" spans="1:19">
      <c r="A94" s="3193"/>
      <c r="B94" s="3545"/>
      <c r="C94" s="3191">
        <f t="shared" si="23"/>
        <v>1</v>
      </c>
      <c r="D94" s="3547"/>
      <c r="E94" s="3191">
        <f t="shared" si="24"/>
        <v>0</v>
      </c>
      <c r="F94" s="3547"/>
      <c r="G94" s="3191">
        <f t="shared" si="25"/>
        <v>1</v>
      </c>
      <c r="H94" s="3547"/>
      <c r="I94" s="3191">
        <f t="shared" si="26"/>
        <v>1</v>
      </c>
      <c r="J94" s="3547"/>
      <c r="K94" s="3191">
        <f t="shared" si="27"/>
        <v>1</v>
      </c>
      <c r="L94" s="3547"/>
      <c r="M94" s="3191">
        <f t="shared" si="28"/>
        <v>1</v>
      </c>
      <c r="N94" s="3547"/>
      <c r="O94" s="3191">
        <f t="shared" si="29"/>
        <v>1</v>
      </c>
      <c r="P94" s="3547"/>
      <c r="Q94" s="3191">
        <f t="shared" si="30"/>
        <v>1</v>
      </c>
      <c r="R94" s="2911">
        <f t="shared" si="31"/>
        <v>0</v>
      </c>
      <c r="S94" s="2965">
        <f t="shared" si="22"/>
        <v>0</v>
      </c>
    </row>
    <row r="95" spans="1:19">
      <c r="A95" s="3193"/>
      <c r="B95" s="3545"/>
      <c r="C95" s="3191">
        <f t="shared" si="23"/>
        <v>1</v>
      </c>
      <c r="D95" s="3547"/>
      <c r="E95" s="3191">
        <f t="shared" si="24"/>
        <v>0</v>
      </c>
      <c r="F95" s="3547"/>
      <c r="G95" s="3191">
        <f t="shared" si="25"/>
        <v>1</v>
      </c>
      <c r="H95" s="3547"/>
      <c r="I95" s="3191">
        <f t="shared" si="26"/>
        <v>1</v>
      </c>
      <c r="J95" s="3547"/>
      <c r="K95" s="3191">
        <f t="shared" si="27"/>
        <v>1</v>
      </c>
      <c r="L95" s="3547"/>
      <c r="M95" s="3191">
        <f t="shared" si="28"/>
        <v>1</v>
      </c>
      <c r="N95" s="3547"/>
      <c r="O95" s="3191">
        <f t="shared" si="29"/>
        <v>1</v>
      </c>
      <c r="P95" s="3547"/>
      <c r="Q95" s="3191">
        <f t="shared" si="30"/>
        <v>1</v>
      </c>
      <c r="R95" s="2911">
        <f t="shared" si="31"/>
        <v>0</v>
      </c>
      <c r="S95" s="2965">
        <f t="shared" si="22"/>
        <v>0</v>
      </c>
    </row>
    <row r="96" spans="1:19">
      <c r="A96" s="3193"/>
      <c r="B96" s="3545"/>
      <c r="C96" s="3191">
        <f t="shared" si="23"/>
        <v>1</v>
      </c>
      <c r="D96" s="3547"/>
      <c r="E96" s="3191">
        <f t="shared" si="24"/>
        <v>0</v>
      </c>
      <c r="F96" s="3547"/>
      <c r="G96" s="3191">
        <f t="shared" si="25"/>
        <v>1</v>
      </c>
      <c r="H96" s="3547"/>
      <c r="I96" s="3191">
        <f t="shared" si="26"/>
        <v>1</v>
      </c>
      <c r="J96" s="3547"/>
      <c r="K96" s="3191">
        <f t="shared" si="27"/>
        <v>1</v>
      </c>
      <c r="L96" s="3547"/>
      <c r="M96" s="3191">
        <f t="shared" si="28"/>
        <v>1</v>
      </c>
      <c r="N96" s="3547"/>
      <c r="O96" s="3191">
        <f t="shared" si="29"/>
        <v>1</v>
      </c>
      <c r="P96" s="3547"/>
      <c r="Q96" s="3191">
        <f t="shared" si="30"/>
        <v>1</v>
      </c>
      <c r="R96" s="2911">
        <f t="shared" si="31"/>
        <v>0</v>
      </c>
      <c r="S96" s="2965">
        <f t="shared" si="22"/>
        <v>0</v>
      </c>
    </row>
    <row r="97" spans="1:19">
      <c r="A97" s="3193"/>
      <c r="B97" s="3545"/>
      <c r="C97" s="3191">
        <f t="shared" si="23"/>
        <v>1</v>
      </c>
      <c r="D97" s="3547"/>
      <c r="E97" s="3191">
        <f t="shared" si="24"/>
        <v>0</v>
      </c>
      <c r="F97" s="3547"/>
      <c r="G97" s="3191">
        <f t="shared" si="25"/>
        <v>1</v>
      </c>
      <c r="H97" s="3547"/>
      <c r="I97" s="3191">
        <f t="shared" si="26"/>
        <v>1</v>
      </c>
      <c r="J97" s="3547"/>
      <c r="K97" s="3191">
        <f t="shared" si="27"/>
        <v>1</v>
      </c>
      <c r="L97" s="3547"/>
      <c r="M97" s="3191">
        <f t="shared" si="28"/>
        <v>1</v>
      </c>
      <c r="N97" s="3547"/>
      <c r="O97" s="3191">
        <f t="shared" si="29"/>
        <v>1</v>
      </c>
      <c r="P97" s="3547"/>
      <c r="Q97" s="3191">
        <f t="shared" si="30"/>
        <v>1</v>
      </c>
      <c r="R97" s="2911">
        <f t="shared" si="31"/>
        <v>0</v>
      </c>
      <c r="S97" s="2965">
        <f t="shared" si="22"/>
        <v>0</v>
      </c>
    </row>
    <row r="98" spans="1:19">
      <c r="A98" s="3193"/>
      <c r="B98" s="3545"/>
      <c r="C98" s="3191">
        <f t="shared" si="23"/>
        <v>1</v>
      </c>
      <c r="D98" s="3547"/>
      <c r="E98" s="3191">
        <f t="shared" si="24"/>
        <v>0</v>
      </c>
      <c r="F98" s="3547"/>
      <c r="G98" s="3191">
        <f t="shared" si="25"/>
        <v>1</v>
      </c>
      <c r="H98" s="3547"/>
      <c r="I98" s="3191">
        <f t="shared" si="26"/>
        <v>1</v>
      </c>
      <c r="J98" s="3547"/>
      <c r="K98" s="3191">
        <f t="shared" si="27"/>
        <v>1</v>
      </c>
      <c r="L98" s="3547"/>
      <c r="M98" s="3191">
        <f t="shared" si="28"/>
        <v>1</v>
      </c>
      <c r="N98" s="3547"/>
      <c r="O98" s="3191">
        <f t="shared" si="29"/>
        <v>1</v>
      </c>
      <c r="P98" s="3547"/>
      <c r="Q98" s="3191">
        <f t="shared" si="30"/>
        <v>1</v>
      </c>
      <c r="R98" s="2911">
        <f t="shared" si="31"/>
        <v>0</v>
      </c>
      <c r="S98" s="2965">
        <f t="shared" si="22"/>
        <v>0</v>
      </c>
    </row>
    <row r="99" spans="1:19">
      <c r="A99" s="3193"/>
      <c r="B99" s="3545"/>
      <c r="C99" s="3191">
        <f t="shared" si="23"/>
        <v>1</v>
      </c>
      <c r="D99" s="3547"/>
      <c r="E99" s="3191">
        <f t="shared" si="24"/>
        <v>0</v>
      </c>
      <c r="F99" s="3547"/>
      <c r="G99" s="3191">
        <f t="shared" si="25"/>
        <v>1</v>
      </c>
      <c r="H99" s="3547"/>
      <c r="I99" s="3191">
        <f t="shared" si="26"/>
        <v>1</v>
      </c>
      <c r="J99" s="3547"/>
      <c r="K99" s="3191">
        <f t="shared" si="27"/>
        <v>1</v>
      </c>
      <c r="L99" s="3547"/>
      <c r="M99" s="3191">
        <f t="shared" si="28"/>
        <v>1</v>
      </c>
      <c r="N99" s="3547"/>
      <c r="O99" s="3191">
        <f t="shared" si="29"/>
        <v>1</v>
      </c>
      <c r="P99" s="3547"/>
      <c r="Q99" s="3191">
        <f t="shared" si="30"/>
        <v>1</v>
      </c>
      <c r="R99" s="2911">
        <f t="shared" si="31"/>
        <v>0</v>
      </c>
      <c r="S99" s="2965">
        <f t="shared" si="22"/>
        <v>0</v>
      </c>
    </row>
    <row r="100" spans="1:19">
      <c r="A100" s="3193"/>
      <c r="B100" s="3545"/>
      <c r="C100" s="3191">
        <f t="shared" si="23"/>
        <v>1</v>
      </c>
      <c r="D100" s="3547"/>
      <c r="E100" s="3191">
        <f t="shared" si="24"/>
        <v>0</v>
      </c>
      <c r="F100" s="3547"/>
      <c r="G100" s="3191">
        <f t="shared" si="25"/>
        <v>1</v>
      </c>
      <c r="H100" s="3547"/>
      <c r="I100" s="3191">
        <f t="shared" si="26"/>
        <v>1</v>
      </c>
      <c r="J100" s="3547"/>
      <c r="K100" s="3191">
        <f t="shared" si="27"/>
        <v>1</v>
      </c>
      <c r="L100" s="3547"/>
      <c r="M100" s="3191">
        <f t="shared" si="28"/>
        <v>1</v>
      </c>
      <c r="N100" s="3547"/>
      <c r="O100" s="3191">
        <f t="shared" si="29"/>
        <v>1</v>
      </c>
      <c r="P100" s="3547"/>
      <c r="Q100" s="3191">
        <f t="shared" si="30"/>
        <v>1</v>
      </c>
      <c r="R100" s="2911">
        <f t="shared" si="31"/>
        <v>0</v>
      </c>
      <c r="S100" s="2965">
        <f t="shared" si="22"/>
        <v>0</v>
      </c>
    </row>
    <row r="101" spans="1:19">
      <c r="A101" s="3193"/>
      <c r="B101" s="3545"/>
      <c r="C101" s="3191">
        <f t="shared" si="23"/>
        <v>1</v>
      </c>
      <c r="D101" s="3547"/>
      <c r="E101" s="3191">
        <f t="shared" si="24"/>
        <v>0</v>
      </c>
      <c r="F101" s="3547"/>
      <c r="G101" s="3191">
        <f t="shared" si="25"/>
        <v>1</v>
      </c>
      <c r="H101" s="3547"/>
      <c r="I101" s="3191">
        <f t="shared" si="26"/>
        <v>1</v>
      </c>
      <c r="J101" s="3547"/>
      <c r="K101" s="3191">
        <f t="shared" si="27"/>
        <v>1</v>
      </c>
      <c r="L101" s="3547"/>
      <c r="M101" s="3191">
        <f t="shared" si="28"/>
        <v>1</v>
      </c>
      <c r="N101" s="3547"/>
      <c r="O101" s="3191">
        <f t="shared" si="29"/>
        <v>1</v>
      </c>
      <c r="P101" s="3547"/>
      <c r="Q101" s="3191">
        <f t="shared" si="30"/>
        <v>1</v>
      </c>
      <c r="R101" s="2911">
        <f t="shared" si="31"/>
        <v>0</v>
      </c>
      <c r="S101" s="2965">
        <f t="shared" si="22"/>
        <v>0</v>
      </c>
    </row>
    <row r="102" spans="1:19">
      <c r="A102" s="3193"/>
      <c r="B102" s="3545"/>
      <c r="C102" s="3191">
        <f t="shared" si="23"/>
        <v>1</v>
      </c>
      <c r="D102" s="3547"/>
      <c r="E102" s="3191">
        <f t="shared" si="24"/>
        <v>0</v>
      </c>
      <c r="F102" s="3547"/>
      <c r="G102" s="3191">
        <f t="shared" si="25"/>
        <v>1</v>
      </c>
      <c r="H102" s="3547"/>
      <c r="I102" s="3191">
        <f t="shared" si="26"/>
        <v>1</v>
      </c>
      <c r="J102" s="3547"/>
      <c r="K102" s="3191">
        <f t="shared" si="27"/>
        <v>1</v>
      </c>
      <c r="L102" s="3547"/>
      <c r="M102" s="3191">
        <f t="shared" si="28"/>
        <v>1</v>
      </c>
      <c r="N102" s="3547"/>
      <c r="O102" s="3191">
        <f t="shared" si="29"/>
        <v>1</v>
      </c>
      <c r="P102" s="3547"/>
      <c r="Q102" s="3191">
        <f t="shared" si="30"/>
        <v>1</v>
      </c>
      <c r="R102" s="2911">
        <f t="shared" si="31"/>
        <v>0</v>
      </c>
      <c r="S102" s="2965">
        <f t="shared" si="22"/>
        <v>0</v>
      </c>
    </row>
    <row r="103" spans="1:19">
      <c r="A103" s="3193"/>
      <c r="B103" s="3545"/>
      <c r="C103" s="3191">
        <f t="shared" si="23"/>
        <v>1</v>
      </c>
      <c r="D103" s="3547"/>
      <c r="E103" s="3191">
        <f t="shared" si="24"/>
        <v>0</v>
      </c>
      <c r="F103" s="3547"/>
      <c r="G103" s="3191">
        <f t="shared" si="25"/>
        <v>1</v>
      </c>
      <c r="H103" s="3547"/>
      <c r="I103" s="3191">
        <f t="shared" si="26"/>
        <v>1</v>
      </c>
      <c r="J103" s="3547"/>
      <c r="K103" s="3191">
        <f t="shared" si="27"/>
        <v>1</v>
      </c>
      <c r="L103" s="3547"/>
      <c r="M103" s="3191">
        <f t="shared" si="28"/>
        <v>1</v>
      </c>
      <c r="N103" s="3547"/>
      <c r="O103" s="3191">
        <f t="shared" si="29"/>
        <v>1</v>
      </c>
      <c r="P103" s="3547"/>
      <c r="Q103" s="3191">
        <f t="shared" si="30"/>
        <v>1</v>
      </c>
      <c r="R103" s="2911">
        <f t="shared" si="31"/>
        <v>0</v>
      </c>
      <c r="S103" s="2965">
        <f t="shared" si="22"/>
        <v>0</v>
      </c>
    </row>
    <row r="104" spans="1:19">
      <c r="A104" s="3193"/>
      <c r="B104" s="3545"/>
      <c r="C104" s="3191">
        <f t="shared" si="23"/>
        <v>1</v>
      </c>
      <c r="D104" s="3547"/>
      <c r="E104" s="3191">
        <f t="shared" si="24"/>
        <v>0</v>
      </c>
      <c r="F104" s="3547"/>
      <c r="G104" s="3191">
        <f t="shared" si="25"/>
        <v>1</v>
      </c>
      <c r="H104" s="3547"/>
      <c r="I104" s="3191">
        <f t="shared" si="26"/>
        <v>1</v>
      </c>
      <c r="J104" s="3547"/>
      <c r="K104" s="3191">
        <f t="shared" si="27"/>
        <v>1</v>
      </c>
      <c r="L104" s="3547"/>
      <c r="M104" s="3191">
        <f t="shared" si="28"/>
        <v>1</v>
      </c>
      <c r="N104" s="3547"/>
      <c r="O104" s="3191">
        <f t="shared" si="29"/>
        <v>1</v>
      </c>
      <c r="P104" s="3547"/>
      <c r="Q104" s="3191">
        <f t="shared" si="30"/>
        <v>1</v>
      </c>
      <c r="R104" s="2911">
        <f t="shared" si="31"/>
        <v>0</v>
      </c>
      <c r="S104" s="2965">
        <f t="shared" si="22"/>
        <v>0</v>
      </c>
    </row>
    <row r="105" spans="1:19">
      <c r="A105" s="3193"/>
      <c r="B105" s="3545"/>
      <c r="C105" s="3191">
        <f t="shared" si="23"/>
        <v>1</v>
      </c>
      <c r="D105" s="3547"/>
      <c r="E105" s="3191">
        <f t="shared" si="24"/>
        <v>0</v>
      </c>
      <c r="F105" s="3547"/>
      <c r="G105" s="3191">
        <f t="shared" si="25"/>
        <v>1</v>
      </c>
      <c r="H105" s="3547"/>
      <c r="I105" s="3191">
        <f t="shared" si="26"/>
        <v>1</v>
      </c>
      <c r="J105" s="3547"/>
      <c r="K105" s="3191">
        <f t="shared" si="27"/>
        <v>1</v>
      </c>
      <c r="L105" s="3547"/>
      <c r="M105" s="3191">
        <f t="shared" si="28"/>
        <v>1</v>
      </c>
      <c r="N105" s="3547"/>
      <c r="O105" s="3191">
        <f t="shared" si="29"/>
        <v>1</v>
      </c>
      <c r="P105" s="3547"/>
      <c r="Q105" s="3191">
        <f t="shared" si="30"/>
        <v>1</v>
      </c>
      <c r="R105" s="2911">
        <f t="shared" si="31"/>
        <v>0</v>
      </c>
      <c r="S105" s="2965">
        <f t="shared" si="22"/>
        <v>0</v>
      </c>
    </row>
    <row r="106" spans="1:19">
      <c r="A106" s="3193"/>
      <c r="B106" s="3545"/>
      <c r="C106" s="3191">
        <f t="shared" si="23"/>
        <v>1</v>
      </c>
      <c r="D106" s="3547"/>
      <c r="E106" s="3191">
        <f t="shared" si="24"/>
        <v>0</v>
      </c>
      <c r="F106" s="3547"/>
      <c r="G106" s="3191">
        <f t="shared" si="25"/>
        <v>1</v>
      </c>
      <c r="H106" s="3547"/>
      <c r="I106" s="3191">
        <f t="shared" si="26"/>
        <v>1</v>
      </c>
      <c r="J106" s="3547"/>
      <c r="K106" s="3191">
        <f t="shared" si="27"/>
        <v>1</v>
      </c>
      <c r="L106" s="3547"/>
      <c r="M106" s="3191">
        <f t="shared" si="28"/>
        <v>1</v>
      </c>
      <c r="N106" s="3547"/>
      <c r="O106" s="3191">
        <f t="shared" si="29"/>
        <v>1</v>
      </c>
      <c r="P106" s="3547"/>
      <c r="Q106" s="3191">
        <f t="shared" si="30"/>
        <v>1</v>
      </c>
      <c r="R106" s="2911">
        <f t="shared" si="31"/>
        <v>0</v>
      </c>
      <c r="S106" s="2965">
        <f t="shared" si="22"/>
        <v>0</v>
      </c>
    </row>
    <row r="107" spans="1:19">
      <c r="A107" s="3193"/>
      <c r="B107" s="3545"/>
      <c r="C107" s="3191">
        <f t="shared" si="23"/>
        <v>1</v>
      </c>
      <c r="D107" s="3547"/>
      <c r="E107" s="3191">
        <f t="shared" si="24"/>
        <v>0</v>
      </c>
      <c r="F107" s="3547"/>
      <c r="G107" s="3191">
        <f t="shared" si="25"/>
        <v>1</v>
      </c>
      <c r="H107" s="3547"/>
      <c r="I107" s="3191">
        <f t="shared" si="26"/>
        <v>1</v>
      </c>
      <c r="J107" s="3547"/>
      <c r="K107" s="3191">
        <f t="shared" si="27"/>
        <v>1</v>
      </c>
      <c r="L107" s="3547"/>
      <c r="M107" s="3191">
        <f t="shared" si="28"/>
        <v>1</v>
      </c>
      <c r="N107" s="3547"/>
      <c r="O107" s="3191">
        <f t="shared" si="29"/>
        <v>1</v>
      </c>
      <c r="P107" s="3547"/>
      <c r="Q107" s="3191">
        <f t="shared" si="30"/>
        <v>1</v>
      </c>
      <c r="R107" s="2911">
        <f t="shared" si="31"/>
        <v>0</v>
      </c>
      <c r="S107" s="2965">
        <f t="shared" si="22"/>
        <v>0</v>
      </c>
    </row>
    <row r="108" spans="1:19">
      <c r="A108" s="3193"/>
      <c r="B108" s="3545"/>
      <c r="C108" s="3191">
        <f t="shared" si="23"/>
        <v>1</v>
      </c>
      <c r="D108" s="3547"/>
      <c r="E108" s="3191">
        <f t="shared" si="24"/>
        <v>0</v>
      </c>
      <c r="F108" s="3547"/>
      <c r="G108" s="3191">
        <f t="shared" si="25"/>
        <v>1</v>
      </c>
      <c r="H108" s="3547"/>
      <c r="I108" s="3191">
        <f t="shared" si="26"/>
        <v>1</v>
      </c>
      <c r="J108" s="3547"/>
      <c r="K108" s="3191">
        <f t="shared" si="27"/>
        <v>1</v>
      </c>
      <c r="L108" s="3547"/>
      <c r="M108" s="3191">
        <f t="shared" si="28"/>
        <v>1</v>
      </c>
      <c r="N108" s="3547"/>
      <c r="O108" s="3191">
        <f t="shared" si="29"/>
        <v>1</v>
      </c>
      <c r="P108" s="3547"/>
      <c r="Q108" s="3191">
        <f t="shared" si="30"/>
        <v>1</v>
      </c>
      <c r="R108" s="2911">
        <f t="shared" si="31"/>
        <v>0</v>
      </c>
      <c r="S108" s="2965">
        <f t="shared" si="22"/>
        <v>0</v>
      </c>
    </row>
    <row r="109" spans="1:19">
      <c r="A109" s="3193"/>
      <c r="B109" s="3545"/>
      <c r="C109" s="3191">
        <f t="shared" si="23"/>
        <v>1</v>
      </c>
      <c r="D109" s="3547"/>
      <c r="E109" s="3191">
        <f t="shared" si="24"/>
        <v>0</v>
      </c>
      <c r="F109" s="3547"/>
      <c r="G109" s="3191">
        <f t="shared" si="25"/>
        <v>1</v>
      </c>
      <c r="H109" s="3547"/>
      <c r="I109" s="3191">
        <f t="shared" si="26"/>
        <v>1</v>
      </c>
      <c r="J109" s="3547"/>
      <c r="K109" s="3191">
        <f t="shared" si="27"/>
        <v>1</v>
      </c>
      <c r="L109" s="3547"/>
      <c r="M109" s="3191">
        <f t="shared" si="28"/>
        <v>1</v>
      </c>
      <c r="N109" s="3547"/>
      <c r="O109" s="3191">
        <f t="shared" si="29"/>
        <v>1</v>
      </c>
      <c r="P109" s="3547"/>
      <c r="Q109" s="3191">
        <f t="shared" si="30"/>
        <v>1</v>
      </c>
      <c r="R109" s="2911">
        <f t="shared" si="31"/>
        <v>0</v>
      </c>
      <c r="S109" s="2965">
        <f t="shared" si="22"/>
        <v>0</v>
      </c>
    </row>
    <row r="110" spans="1:19">
      <c r="A110" s="3193"/>
      <c r="B110" s="3545"/>
      <c r="C110" s="3191">
        <f t="shared" si="23"/>
        <v>1</v>
      </c>
      <c r="D110" s="3547"/>
      <c r="E110" s="3191">
        <f t="shared" si="24"/>
        <v>0</v>
      </c>
      <c r="F110" s="3547"/>
      <c r="G110" s="3191">
        <f t="shared" si="25"/>
        <v>1</v>
      </c>
      <c r="H110" s="3547"/>
      <c r="I110" s="3191">
        <f t="shared" si="26"/>
        <v>1</v>
      </c>
      <c r="J110" s="3547"/>
      <c r="K110" s="3191">
        <f t="shared" si="27"/>
        <v>1</v>
      </c>
      <c r="L110" s="3547"/>
      <c r="M110" s="3191">
        <f t="shared" si="28"/>
        <v>1</v>
      </c>
      <c r="N110" s="3547"/>
      <c r="O110" s="3191">
        <f t="shared" si="29"/>
        <v>1</v>
      </c>
      <c r="P110" s="3547"/>
      <c r="Q110" s="3191">
        <f t="shared" si="30"/>
        <v>1</v>
      </c>
      <c r="R110" s="2911">
        <f t="shared" si="31"/>
        <v>0</v>
      </c>
      <c r="S110" s="2965">
        <f t="shared" si="22"/>
        <v>0</v>
      </c>
    </row>
    <row r="111" spans="1:19">
      <c r="A111" s="3193"/>
      <c r="B111" s="3545"/>
      <c r="C111" s="3191">
        <f t="shared" si="23"/>
        <v>1</v>
      </c>
      <c r="D111" s="3547"/>
      <c r="E111" s="3191">
        <f t="shared" si="24"/>
        <v>0</v>
      </c>
      <c r="F111" s="3547"/>
      <c r="G111" s="3191">
        <f t="shared" si="25"/>
        <v>1</v>
      </c>
      <c r="H111" s="3547"/>
      <c r="I111" s="3191">
        <f t="shared" si="26"/>
        <v>1</v>
      </c>
      <c r="J111" s="3547"/>
      <c r="K111" s="3191">
        <f t="shared" si="27"/>
        <v>1</v>
      </c>
      <c r="L111" s="3547"/>
      <c r="M111" s="3191">
        <f t="shared" si="28"/>
        <v>1</v>
      </c>
      <c r="N111" s="3547"/>
      <c r="O111" s="3191">
        <f t="shared" si="29"/>
        <v>1</v>
      </c>
      <c r="P111" s="3547"/>
      <c r="Q111" s="3191">
        <f t="shared" si="30"/>
        <v>1</v>
      </c>
      <c r="R111" s="2911">
        <f t="shared" si="31"/>
        <v>0</v>
      </c>
      <c r="S111" s="2965">
        <f t="shared" si="22"/>
        <v>0</v>
      </c>
    </row>
    <row r="112" spans="1:19">
      <c r="A112" s="3193"/>
      <c r="B112" s="3545"/>
      <c r="C112" s="3191">
        <f t="shared" si="23"/>
        <v>1</v>
      </c>
      <c r="D112" s="3547"/>
      <c r="E112" s="3191">
        <f t="shared" si="24"/>
        <v>0</v>
      </c>
      <c r="F112" s="3547"/>
      <c r="G112" s="3191">
        <f t="shared" si="25"/>
        <v>1</v>
      </c>
      <c r="H112" s="3547"/>
      <c r="I112" s="3191">
        <f t="shared" si="26"/>
        <v>1</v>
      </c>
      <c r="J112" s="3547"/>
      <c r="K112" s="3191">
        <f t="shared" si="27"/>
        <v>1</v>
      </c>
      <c r="L112" s="3547"/>
      <c r="M112" s="3191">
        <f t="shared" si="28"/>
        <v>1</v>
      </c>
      <c r="N112" s="3547"/>
      <c r="O112" s="3191">
        <f t="shared" si="29"/>
        <v>1</v>
      </c>
      <c r="P112" s="3547"/>
      <c r="Q112" s="3191">
        <f t="shared" si="30"/>
        <v>1</v>
      </c>
      <c r="R112" s="2911">
        <f t="shared" si="31"/>
        <v>0</v>
      </c>
      <c r="S112" s="2965">
        <f t="shared" si="22"/>
        <v>0</v>
      </c>
    </row>
    <row r="113" spans="1:19">
      <c r="A113" s="3193"/>
      <c r="B113" s="3545"/>
      <c r="C113" s="3191">
        <f t="shared" si="23"/>
        <v>1</v>
      </c>
      <c r="D113" s="3547"/>
      <c r="E113" s="3191">
        <f t="shared" si="24"/>
        <v>0</v>
      </c>
      <c r="F113" s="3547"/>
      <c r="G113" s="3191">
        <f t="shared" si="25"/>
        <v>1</v>
      </c>
      <c r="H113" s="3547"/>
      <c r="I113" s="3191">
        <f t="shared" si="26"/>
        <v>1</v>
      </c>
      <c r="J113" s="3547"/>
      <c r="K113" s="3191">
        <f t="shared" si="27"/>
        <v>1</v>
      </c>
      <c r="L113" s="3547"/>
      <c r="M113" s="3191">
        <f t="shared" si="28"/>
        <v>1</v>
      </c>
      <c r="N113" s="3547"/>
      <c r="O113" s="3191">
        <f t="shared" si="29"/>
        <v>1</v>
      </c>
      <c r="P113" s="3547"/>
      <c r="Q113" s="3191">
        <f t="shared" si="30"/>
        <v>1</v>
      </c>
      <c r="R113" s="2911">
        <f t="shared" si="31"/>
        <v>0</v>
      </c>
      <c r="S113" s="2965">
        <f t="shared" si="22"/>
        <v>0</v>
      </c>
    </row>
    <row r="114" spans="1:19">
      <c r="A114" s="3193"/>
      <c r="B114" s="3545"/>
      <c r="C114" s="3191">
        <f t="shared" si="23"/>
        <v>1</v>
      </c>
      <c r="D114" s="3547"/>
      <c r="E114" s="3191">
        <f t="shared" si="24"/>
        <v>0</v>
      </c>
      <c r="F114" s="3547"/>
      <c r="G114" s="3191">
        <f t="shared" si="25"/>
        <v>1</v>
      </c>
      <c r="H114" s="3547"/>
      <c r="I114" s="3191">
        <f t="shared" si="26"/>
        <v>1</v>
      </c>
      <c r="J114" s="3547"/>
      <c r="K114" s="3191">
        <f t="shared" si="27"/>
        <v>1</v>
      </c>
      <c r="L114" s="3547"/>
      <c r="M114" s="3191">
        <f t="shared" si="28"/>
        <v>1</v>
      </c>
      <c r="N114" s="3547"/>
      <c r="O114" s="3191">
        <f t="shared" si="29"/>
        <v>1</v>
      </c>
      <c r="P114" s="3547"/>
      <c r="Q114" s="3191">
        <f t="shared" si="30"/>
        <v>1</v>
      </c>
      <c r="R114" s="2911">
        <f t="shared" si="31"/>
        <v>0</v>
      </c>
      <c r="S114" s="2965">
        <f t="shared" si="22"/>
        <v>0</v>
      </c>
    </row>
    <row r="115" spans="1:19">
      <c r="A115" s="3193"/>
      <c r="B115" s="3545"/>
      <c r="C115" s="3191">
        <f t="shared" si="23"/>
        <v>1</v>
      </c>
      <c r="D115" s="3547"/>
      <c r="E115" s="3191">
        <f t="shared" si="24"/>
        <v>0</v>
      </c>
      <c r="F115" s="3547"/>
      <c r="G115" s="3191">
        <f t="shared" si="25"/>
        <v>1</v>
      </c>
      <c r="H115" s="3547"/>
      <c r="I115" s="3191">
        <f t="shared" si="26"/>
        <v>1</v>
      </c>
      <c r="J115" s="3547"/>
      <c r="K115" s="3191">
        <f t="shared" si="27"/>
        <v>1</v>
      </c>
      <c r="L115" s="3547"/>
      <c r="M115" s="3191">
        <f t="shared" si="28"/>
        <v>1</v>
      </c>
      <c r="N115" s="3547"/>
      <c r="O115" s="3191">
        <f t="shared" si="29"/>
        <v>1</v>
      </c>
      <c r="P115" s="3547"/>
      <c r="Q115" s="3191">
        <f t="shared" si="30"/>
        <v>1</v>
      </c>
      <c r="R115" s="2911">
        <f t="shared" si="31"/>
        <v>0</v>
      </c>
      <c r="S115" s="2965">
        <f t="shared" si="22"/>
        <v>0</v>
      </c>
    </row>
    <row r="116" spans="1:19">
      <c r="A116" s="3193"/>
      <c r="B116" s="3545"/>
      <c r="C116" s="3191">
        <f t="shared" si="23"/>
        <v>1</v>
      </c>
      <c r="D116" s="3547"/>
      <c r="E116" s="3191">
        <f t="shared" si="24"/>
        <v>0</v>
      </c>
      <c r="F116" s="3547"/>
      <c r="G116" s="3191">
        <f t="shared" si="25"/>
        <v>1</v>
      </c>
      <c r="H116" s="3547"/>
      <c r="I116" s="3191">
        <f t="shared" si="26"/>
        <v>1</v>
      </c>
      <c r="J116" s="3547"/>
      <c r="K116" s="3191">
        <f t="shared" si="27"/>
        <v>1</v>
      </c>
      <c r="L116" s="3547"/>
      <c r="M116" s="3191">
        <f t="shared" si="28"/>
        <v>1</v>
      </c>
      <c r="N116" s="3547"/>
      <c r="O116" s="3191">
        <f t="shared" si="29"/>
        <v>1</v>
      </c>
      <c r="P116" s="3547"/>
      <c r="Q116" s="3191">
        <f t="shared" si="30"/>
        <v>1</v>
      </c>
      <c r="R116" s="2911">
        <f t="shared" si="31"/>
        <v>0</v>
      </c>
      <c r="S116" s="2965">
        <f t="shared" si="22"/>
        <v>0</v>
      </c>
    </row>
    <row r="117" spans="1:19">
      <c r="A117" s="3193"/>
      <c r="B117" s="3545"/>
      <c r="C117" s="3191">
        <f t="shared" si="23"/>
        <v>1</v>
      </c>
      <c r="D117" s="3547"/>
      <c r="E117" s="3191">
        <f t="shared" si="24"/>
        <v>0</v>
      </c>
      <c r="F117" s="3547"/>
      <c r="G117" s="3191">
        <f t="shared" si="25"/>
        <v>1</v>
      </c>
      <c r="H117" s="3547"/>
      <c r="I117" s="3191">
        <f t="shared" si="26"/>
        <v>1</v>
      </c>
      <c r="J117" s="3547"/>
      <c r="K117" s="3191">
        <f t="shared" si="27"/>
        <v>1</v>
      </c>
      <c r="L117" s="3547"/>
      <c r="M117" s="3191">
        <f t="shared" si="28"/>
        <v>1</v>
      </c>
      <c r="N117" s="3547"/>
      <c r="O117" s="3191">
        <f t="shared" si="29"/>
        <v>1</v>
      </c>
      <c r="P117" s="3547"/>
      <c r="Q117" s="3191">
        <f t="shared" si="30"/>
        <v>1</v>
      </c>
      <c r="R117" s="2911">
        <f t="shared" si="31"/>
        <v>0</v>
      </c>
      <c r="S117" s="2965">
        <f t="shared" si="22"/>
        <v>0</v>
      </c>
    </row>
    <row r="118" spans="1:19">
      <c r="A118" s="3193"/>
      <c r="B118" s="3545"/>
      <c r="C118" s="3191">
        <f t="shared" si="23"/>
        <v>1</v>
      </c>
      <c r="D118" s="3547"/>
      <c r="E118" s="3191">
        <f t="shared" si="24"/>
        <v>0</v>
      </c>
      <c r="F118" s="3547"/>
      <c r="G118" s="3191">
        <f t="shared" si="25"/>
        <v>1</v>
      </c>
      <c r="H118" s="3547"/>
      <c r="I118" s="3191">
        <f t="shared" si="26"/>
        <v>1</v>
      </c>
      <c r="J118" s="3547"/>
      <c r="K118" s="3191">
        <f t="shared" si="27"/>
        <v>1</v>
      </c>
      <c r="L118" s="3547"/>
      <c r="M118" s="3191">
        <f t="shared" si="28"/>
        <v>1</v>
      </c>
      <c r="N118" s="3547"/>
      <c r="O118" s="3191">
        <f t="shared" si="29"/>
        <v>1</v>
      </c>
      <c r="P118" s="3547"/>
      <c r="Q118" s="3191">
        <f t="shared" si="30"/>
        <v>1</v>
      </c>
      <c r="R118" s="2911">
        <f t="shared" si="31"/>
        <v>0</v>
      </c>
      <c r="S118" s="2965">
        <f t="shared" si="22"/>
        <v>0</v>
      </c>
    </row>
    <row r="119" spans="1:19">
      <c r="A119" s="3193"/>
      <c r="B119" s="3545"/>
      <c r="C119" s="3191">
        <f t="shared" si="23"/>
        <v>1</v>
      </c>
      <c r="D119" s="3547"/>
      <c r="E119" s="3191">
        <f t="shared" si="24"/>
        <v>0</v>
      </c>
      <c r="F119" s="3547"/>
      <c r="G119" s="3191">
        <f t="shared" si="25"/>
        <v>1</v>
      </c>
      <c r="H119" s="3547"/>
      <c r="I119" s="3191">
        <f t="shared" si="26"/>
        <v>1</v>
      </c>
      <c r="J119" s="3547"/>
      <c r="K119" s="3191">
        <f t="shared" si="27"/>
        <v>1</v>
      </c>
      <c r="L119" s="3547"/>
      <c r="M119" s="3191">
        <f t="shared" si="28"/>
        <v>1</v>
      </c>
      <c r="N119" s="3547"/>
      <c r="O119" s="3191">
        <f t="shared" si="29"/>
        <v>1</v>
      </c>
      <c r="P119" s="3547"/>
      <c r="Q119" s="3191">
        <f t="shared" si="30"/>
        <v>1</v>
      </c>
      <c r="R119" s="2911">
        <f t="shared" si="31"/>
        <v>0</v>
      </c>
      <c r="S119" s="2965">
        <f t="shared" si="22"/>
        <v>0</v>
      </c>
    </row>
    <row r="120" spans="1:19">
      <c r="A120" s="3193"/>
      <c r="B120" s="3545"/>
      <c r="C120" s="3191">
        <f t="shared" si="23"/>
        <v>1</v>
      </c>
      <c r="D120" s="3547"/>
      <c r="E120" s="3191">
        <f t="shared" si="24"/>
        <v>0</v>
      </c>
      <c r="F120" s="3547"/>
      <c r="G120" s="3191">
        <f t="shared" si="25"/>
        <v>1</v>
      </c>
      <c r="H120" s="3547"/>
      <c r="I120" s="3191">
        <f t="shared" si="26"/>
        <v>1</v>
      </c>
      <c r="J120" s="3547"/>
      <c r="K120" s="3191">
        <f t="shared" si="27"/>
        <v>1</v>
      </c>
      <c r="L120" s="3547"/>
      <c r="M120" s="3191">
        <f t="shared" si="28"/>
        <v>1</v>
      </c>
      <c r="N120" s="3547"/>
      <c r="O120" s="3191">
        <f t="shared" si="29"/>
        <v>1</v>
      </c>
      <c r="P120" s="3547"/>
      <c r="Q120" s="3191">
        <f t="shared" si="30"/>
        <v>1</v>
      </c>
      <c r="R120" s="2911">
        <f t="shared" si="31"/>
        <v>0</v>
      </c>
      <c r="S120" s="2965">
        <f t="shared" si="22"/>
        <v>0</v>
      </c>
    </row>
    <row r="121" spans="1:19">
      <c r="A121" s="3193"/>
      <c r="B121" s="3545"/>
      <c r="C121" s="3191">
        <f t="shared" si="23"/>
        <v>1</v>
      </c>
      <c r="D121" s="3547"/>
      <c r="E121" s="3191">
        <f t="shared" si="24"/>
        <v>0</v>
      </c>
      <c r="F121" s="3547"/>
      <c r="G121" s="3191">
        <f t="shared" si="25"/>
        <v>1</v>
      </c>
      <c r="H121" s="3547"/>
      <c r="I121" s="3191">
        <f t="shared" si="26"/>
        <v>1</v>
      </c>
      <c r="J121" s="3547"/>
      <c r="K121" s="3191">
        <f t="shared" si="27"/>
        <v>1</v>
      </c>
      <c r="L121" s="3547"/>
      <c r="M121" s="3191">
        <f t="shared" si="28"/>
        <v>1</v>
      </c>
      <c r="N121" s="3547"/>
      <c r="O121" s="3191">
        <f t="shared" si="29"/>
        <v>1</v>
      </c>
      <c r="P121" s="3547"/>
      <c r="Q121" s="3191">
        <f t="shared" si="30"/>
        <v>1</v>
      </c>
      <c r="R121" s="2911">
        <f t="shared" si="31"/>
        <v>0</v>
      </c>
      <c r="S121" s="2965">
        <f t="shared" si="22"/>
        <v>0</v>
      </c>
    </row>
    <row r="122" spans="1:19">
      <c r="A122" s="3193"/>
      <c r="B122" s="3545"/>
      <c r="C122" s="3191">
        <f t="shared" si="23"/>
        <v>1</v>
      </c>
      <c r="D122" s="3547"/>
      <c r="E122" s="3191">
        <f t="shared" si="24"/>
        <v>0</v>
      </c>
      <c r="F122" s="3547"/>
      <c r="G122" s="3191">
        <f t="shared" si="25"/>
        <v>1</v>
      </c>
      <c r="H122" s="3547"/>
      <c r="I122" s="3191">
        <f t="shared" si="26"/>
        <v>1</v>
      </c>
      <c r="J122" s="3547"/>
      <c r="K122" s="3191">
        <f t="shared" si="27"/>
        <v>1</v>
      </c>
      <c r="L122" s="3547"/>
      <c r="M122" s="3191">
        <f t="shared" si="28"/>
        <v>1</v>
      </c>
      <c r="N122" s="3547"/>
      <c r="O122" s="3191">
        <f t="shared" si="29"/>
        <v>1</v>
      </c>
      <c r="P122" s="3547"/>
      <c r="Q122" s="3191">
        <f t="shared" si="30"/>
        <v>1</v>
      </c>
      <c r="R122" s="2911">
        <f t="shared" si="31"/>
        <v>0</v>
      </c>
      <c r="S122" s="2965">
        <f t="shared" si="22"/>
        <v>0</v>
      </c>
    </row>
    <row r="123" spans="1:19">
      <c r="A123" s="3193"/>
      <c r="B123" s="3545"/>
      <c r="C123" s="3191">
        <f t="shared" si="23"/>
        <v>1</v>
      </c>
      <c r="D123" s="3547"/>
      <c r="E123" s="3191">
        <f t="shared" si="24"/>
        <v>0</v>
      </c>
      <c r="F123" s="3547"/>
      <c r="G123" s="3191">
        <f t="shared" si="25"/>
        <v>1</v>
      </c>
      <c r="H123" s="3547"/>
      <c r="I123" s="3191">
        <f t="shared" si="26"/>
        <v>1</v>
      </c>
      <c r="J123" s="3547"/>
      <c r="K123" s="3191">
        <f t="shared" si="27"/>
        <v>1</v>
      </c>
      <c r="L123" s="3547"/>
      <c r="M123" s="3191">
        <f t="shared" si="28"/>
        <v>1</v>
      </c>
      <c r="N123" s="3547"/>
      <c r="O123" s="3191">
        <f t="shared" si="29"/>
        <v>1</v>
      </c>
      <c r="P123" s="3547"/>
      <c r="Q123" s="3191">
        <f t="shared" si="30"/>
        <v>1</v>
      </c>
      <c r="R123" s="2911">
        <f t="shared" si="31"/>
        <v>0</v>
      </c>
      <c r="S123" s="2965">
        <f t="shared" ref="S123:S186" si="32">ROUND(R123*B123/10000,0)</f>
        <v>0</v>
      </c>
    </row>
    <row r="124" spans="1:19">
      <c r="A124" s="3193"/>
      <c r="B124" s="3545"/>
      <c r="C124" s="3191">
        <f t="shared" si="23"/>
        <v>1</v>
      </c>
      <c r="D124" s="3547"/>
      <c r="E124" s="3191">
        <f t="shared" si="24"/>
        <v>0</v>
      </c>
      <c r="F124" s="3547"/>
      <c r="G124" s="3191">
        <f t="shared" si="25"/>
        <v>1</v>
      </c>
      <c r="H124" s="3547"/>
      <c r="I124" s="3191">
        <f t="shared" si="26"/>
        <v>1</v>
      </c>
      <c r="J124" s="3547"/>
      <c r="K124" s="3191">
        <f t="shared" si="27"/>
        <v>1</v>
      </c>
      <c r="L124" s="3547"/>
      <c r="M124" s="3191">
        <f t="shared" si="28"/>
        <v>1</v>
      </c>
      <c r="N124" s="3547"/>
      <c r="O124" s="3191">
        <f t="shared" si="29"/>
        <v>1</v>
      </c>
      <c r="P124" s="3547"/>
      <c r="Q124" s="3191">
        <f t="shared" si="30"/>
        <v>1</v>
      </c>
      <c r="R124" s="2911">
        <f t="shared" si="31"/>
        <v>0</v>
      </c>
      <c r="S124" s="2965">
        <f t="shared" si="32"/>
        <v>0</v>
      </c>
    </row>
    <row r="125" spans="1:19">
      <c r="A125" s="3193"/>
      <c r="B125" s="3545"/>
      <c r="C125" s="3191">
        <f t="shared" si="23"/>
        <v>1</v>
      </c>
      <c r="D125" s="3547"/>
      <c r="E125" s="3191">
        <f t="shared" si="24"/>
        <v>0</v>
      </c>
      <c r="F125" s="3547"/>
      <c r="G125" s="3191">
        <f t="shared" si="25"/>
        <v>1</v>
      </c>
      <c r="H125" s="3547"/>
      <c r="I125" s="3191">
        <f t="shared" si="26"/>
        <v>1</v>
      </c>
      <c r="J125" s="3547"/>
      <c r="K125" s="3191">
        <f t="shared" si="27"/>
        <v>1</v>
      </c>
      <c r="L125" s="3547"/>
      <c r="M125" s="3191">
        <f t="shared" si="28"/>
        <v>1</v>
      </c>
      <c r="N125" s="3547"/>
      <c r="O125" s="3191">
        <f t="shared" si="29"/>
        <v>1</v>
      </c>
      <c r="P125" s="3547"/>
      <c r="Q125" s="3191">
        <f t="shared" si="30"/>
        <v>1</v>
      </c>
      <c r="R125" s="2911">
        <f t="shared" si="31"/>
        <v>0</v>
      </c>
      <c r="S125" s="2965">
        <f t="shared" si="32"/>
        <v>0</v>
      </c>
    </row>
    <row r="126" spans="1:19">
      <c r="A126" s="3193"/>
      <c r="B126" s="3545"/>
      <c r="C126" s="3191">
        <f t="shared" si="23"/>
        <v>1</v>
      </c>
      <c r="D126" s="3547"/>
      <c r="E126" s="3191">
        <f t="shared" si="24"/>
        <v>0</v>
      </c>
      <c r="F126" s="3547"/>
      <c r="G126" s="3191">
        <f t="shared" si="25"/>
        <v>1</v>
      </c>
      <c r="H126" s="3547"/>
      <c r="I126" s="3191">
        <f t="shared" si="26"/>
        <v>1</v>
      </c>
      <c r="J126" s="3547"/>
      <c r="K126" s="3191">
        <f t="shared" si="27"/>
        <v>1</v>
      </c>
      <c r="L126" s="3547"/>
      <c r="M126" s="3191">
        <f t="shared" si="28"/>
        <v>1</v>
      </c>
      <c r="N126" s="3547"/>
      <c r="O126" s="3191">
        <f t="shared" si="29"/>
        <v>1</v>
      </c>
      <c r="P126" s="3547"/>
      <c r="Q126" s="3191">
        <f t="shared" si="30"/>
        <v>1</v>
      </c>
      <c r="R126" s="2911">
        <f t="shared" si="31"/>
        <v>0</v>
      </c>
      <c r="S126" s="2965">
        <f t="shared" si="32"/>
        <v>0</v>
      </c>
    </row>
    <row r="127" spans="1:19">
      <c r="A127" s="3193"/>
      <c r="B127" s="3545"/>
      <c r="C127" s="3191">
        <f t="shared" si="23"/>
        <v>1</v>
      </c>
      <c r="D127" s="3547"/>
      <c r="E127" s="3191">
        <f t="shared" si="24"/>
        <v>0</v>
      </c>
      <c r="F127" s="3547"/>
      <c r="G127" s="3191">
        <f t="shared" si="25"/>
        <v>1</v>
      </c>
      <c r="H127" s="3547"/>
      <c r="I127" s="3191">
        <f t="shared" si="26"/>
        <v>1</v>
      </c>
      <c r="J127" s="3547"/>
      <c r="K127" s="3191">
        <f t="shared" si="27"/>
        <v>1</v>
      </c>
      <c r="L127" s="3547"/>
      <c r="M127" s="3191">
        <f t="shared" si="28"/>
        <v>1</v>
      </c>
      <c r="N127" s="3547"/>
      <c r="O127" s="3191">
        <f t="shared" si="29"/>
        <v>1</v>
      </c>
      <c r="P127" s="3547"/>
      <c r="Q127" s="3191">
        <f t="shared" si="30"/>
        <v>1</v>
      </c>
      <c r="R127" s="2911">
        <f t="shared" si="31"/>
        <v>0</v>
      </c>
      <c r="S127" s="2965">
        <f t="shared" si="32"/>
        <v>0</v>
      </c>
    </row>
    <row r="128" spans="1:19">
      <c r="A128" s="3193"/>
      <c r="B128" s="3545"/>
      <c r="C128" s="3191">
        <f t="shared" si="23"/>
        <v>1</v>
      </c>
      <c r="D128" s="3547"/>
      <c r="E128" s="3191">
        <f t="shared" si="24"/>
        <v>0</v>
      </c>
      <c r="F128" s="3547"/>
      <c r="G128" s="3191">
        <f t="shared" si="25"/>
        <v>1</v>
      </c>
      <c r="H128" s="3547"/>
      <c r="I128" s="3191">
        <f t="shared" si="26"/>
        <v>1</v>
      </c>
      <c r="J128" s="3547"/>
      <c r="K128" s="3191">
        <f t="shared" si="27"/>
        <v>1</v>
      </c>
      <c r="L128" s="3547"/>
      <c r="M128" s="3191">
        <f t="shared" si="28"/>
        <v>1</v>
      </c>
      <c r="N128" s="3547"/>
      <c r="O128" s="3191">
        <f t="shared" si="29"/>
        <v>1</v>
      </c>
      <c r="P128" s="3547"/>
      <c r="Q128" s="3191">
        <f t="shared" si="30"/>
        <v>1</v>
      </c>
      <c r="R128" s="2911">
        <f t="shared" si="31"/>
        <v>0</v>
      </c>
      <c r="S128" s="2965">
        <f t="shared" si="32"/>
        <v>0</v>
      </c>
    </row>
    <row r="129" spans="1:19">
      <c r="A129" s="3193"/>
      <c r="B129" s="3545"/>
      <c r="C129" s="3191">
        <f t="shared" si="23"/>
        <v>1</v>
      </c>
      <c r="D129" s="3547"/>
      <c r="E129" s="3191">
        <f t="shared" si="24"/>
        <v>0</v>
      </c>
      <c r="F129" s="3547"/>
      <c r="G129" s="3191">
        <f t="shared" si="25"/>
        <v>1</v>
      </c>
      <c r="H129" s="3547"/>
      <c r="I129" s="3191">
        <f t="shared" si="26"/>
        <v>1</v>
      </c>
      <c r="J129" s="3547"/>
      <c r="K129" s="3191">
        <f t="shared" si="27"/>
        <v>1</v>
      </c>
      <c r="L129" s="3547"/>
      <c r="M129" s="3191">
        <f t="shared" si="28"/>
        <v>1</v>
      </c>
      <c r="N129" s="3547"/>
      <c r="O129" s="3191">
        <f t="shared" si="29"/>
        <v>1</v>
      </c>
      <c r="P129" s="3547"/>
      <c r="Q129" s="3191">
        <f t="shared" si="30"/>
        <v>1</v>
      </c>
      <c r="R129" s="2911">
        <f t="shared" si="31"/>
        <v>0</v>
      </c>
      <c r="S129" s="2965">
        <f t="shared" si="32"/>
        <v>0</v>
      </c>
    </row>
    <row r="130" spans="1:19">
      <c r="A130" s="3193"/>
      <c r="B130" s="3545"/>
      <c r="C130" s="3191">
        <f t="shared" si="23"/>
        <v>1</v>
      </c>
      <c r="D130" s="3547"/>
      <c r="E130" s="3191">
        <f t="shared" si="24"/>
        <v>0</v>
      </c>
      <c r="F130" s="3547"/>
      <c r="G130" s="3191">
        <f t="shared" si="25"/>
        <v>1</v>
      </c>
      <c r="H130" s="3547"/>
      <c r="I130" s="3191">
        <f t="shared" si="26"/>
        <v>1</v>
      </c>
      <c r="J130" s="3547"/>
      <c r="K130" s="3191">
        <f t="shared" si="27"/>
        <v>1</v>
      </c>
      <c r="L130" s="3547"/>
      <c r="M130" s="3191">
        <f t="shared" si="28"/>
        <v>1</v>
      </c>
      <c r="N130" s="3547"/>
      <c r="O130" s="3191">
        <f t="shared" si="29"/>
        <v>1</v>
      </c>
      <c r="P130" s="3547"/>
      <c r="Q130" s="3191">
        <f t="shared" si="30"/>
        <v>1</v>
      </c>
      <c r="R130" s="2911">
        <f t="shared" si="31"/>
        <v>0</v>
      </c>
      <c r="S130" s="2965">
        <f t="shared" si="32"/>
        <v>0</v>
      </c>
    </row>
    <row r="131" spans="1:19">
      <c r="A131" s="3193"/>
      <c r="B131" s="3545"/>
      <c r="C131" s="3191">
        <f t="shared" si="23"/>
        <v>1</v>
      </c>
      <c r="D131" s="3547"/>
      <c r="E131" s="3191">
        <f t="shared" si="24"/>
        <v>0</v>
      </c>
      <c r="F131" s="3547"/>
      <c r="G131" s="3191">
        <f t="shared" si="25"/>
        <v>1</v>
      </c>
      <c r="H131" s="3547"/>
      <c r="I131" s="3191">
        <f t="shared" si="26"/>
        <v>1</v>
      </c>
      <c r="J131" s="3547"/>
      <c r="K131" s="3191">
        <f t="shared" si="27"/>
        <v>1</v>
      </c>
      <c r="L131" s="3547"/>
      <c r="M131" s="3191">
        <f t="shared" si="28"/>
        <v>1</v>
      </c>
      <c r="N131" s="3547"/>
      <c r="O131" s="3191">
        <f t="shared" si="29"/>
        <v>1</v>
      </c>
      <c r="P131" s="3547"/>
      <c r="Q131" s="3191">
        <f t="shared" si="30"/>
        <v>1</v>
      </c>
      <c r="R131" s="2911">
        <f t="shared" si="31"/>
        <v>0</v>
      </c>
      <c r="S131" s="2965">
        <f t="shared" si="32"/>
        <v>0</v>
      </c>
    </row>
    <row r="132" spans="1:19">
      <c r="A132" s="3193"/>
      <c r="B132" s="3545"/>
      <c r="C132" s="3191">
        <f t="shared" si="23"/>
        <v>1</v>
      </c>
      <c r="D132" s="3547"/>
      <c r="E132" s="3191">
        <f t="shared" si="24"/>
        <v>0</v>
      </c>
      <c r="F132" s="3547"/>
      <c r="G132" s="3191">
        <f t="shared" si="25"/>
        <v>1</v>
      </c>
      <c r="H132" s="3547"/>
      <c r="I132" s="3191">
        <f t="shared" si="26"/>
        <v>1</v>
      </c>
      <c r="J132" s="3547"/>
      <c r="K132" s="3191">
        <f t="shared" si="27"/>
        <v>1</v>
      </c>
      <c r="L132" s="3547"/>
      <c r="M132" s="3191">
        <f t="shared" si="28"/>
        <v>1</v>
      </c>
      <c r="N132" s="3547"/>
      <c r="O132" s="3191">
        <f t="shared" si="29"/>
        <v>1</v>
      </c>
      <c r="P132" s="3547"/>
      <c r="Q132" s="3191">
        <f t="shared" si="30"/>
        <v>1</v>
      </c>
      <c r="R132" s="2911">
        <f t="shared" si="31"/>
        <v>0</v>
      </c>
      <c r="S132" s="2965">
        <f t="shared" si="32"/>
        <v>0</v>
      </c>
    </row>
    <row r="133" spans="1:19">
      <c r="A133" s="3193"/>
      <c r="B133" s="3545"/>
      <c r="C133" s="3191">
        <f t="shared" si="23"/>
        <v>1</v>
      </c>
      <c r="D133" s="3547"/>
      <c r="E133" s="3191">
        <f t="shared" si="24"/>
        <v>0</v>
      </c>
      <c r="F133" s="3547"/>
      <c r="G133" s="3191">
        <f t="shared" si="25"/>
        <v>1</v>
      </c>
      <c r="H133" s="3547"/>
      <c r="I133" s="3191">
        <f t="shared" si="26"/>
        <v>1</v>
      </c>
      <c r="J133" s="3547"/>
      <c r="K133" s="3191">
        <f t="shared" si="27"/>
        <v>1</v>
      </c>
      <c r="L133" s="3547"/>
      <c r="M133" s="3191">
        <f t="shared" si="28"/>
        <v>1</v>
      </c>
      <c r="N133" s="3547"/>
      <c r="O133" s="3191">
        <f t="shared" si="29"/>
        <v>1</v>
      </c>
      <c r="P133" s="3547"/>
      <c r="Q133" s="3191">
        <f t="shared" si="30"/>
        <v>1</v>
      </c>
      <c r="R133" s="2911">
        <f t="shared" si="31"/>
        <v>0</v>
      </c>
      <c r="S133" s="2965">
        <f t="shared" si="32"/>
        <v>0</v>
      </c>
    </row>
    <row r="134" spans="1:19">
      <c r="A134" s="3193"/>
      <c r="B134" s="3545"/>
      <c r="C134" s="3191">
        <f t="shared" si="23"/>
        <v>1</v>
      </c>
      <c r="D134" s="3547"/>
      <c r="E134" s="3191">
        <f t="shared" si="24"/>
        <v>0</v>
      </c>
      <c r="F134" s="3547"/>
      <c r="G134" s="3191">
        <f t="shared" si="25"/>
        <v>1</v>
      </c>
      <c r="H134" s="3547"/>
      <c r="I134" s="3191">
        <f t="shared" si="26"/>
        <v>1</v>
      </c>
      <c r="J134" s="3547"/>
      <c r="K134" s="3191">
        <f t="shared" si="27"/>
        <v>1</v>
      </c>
      <c r="L134" s="3547"/>
      <c r="M134" s="3191">
        <f t="shared" si="28"/>
        <v>1</v>
      </c>
      <c r="N134" s="3547"/>
      <c r="O134" s="3191">
        <f t="shared" si="29"/>
        <v>1</v>
      </c>
      <c r="P134" s="3547"/>
      <c r="Q134" s="3191">
        <f t="shared" si="30"/>
        <v>1</v>
      </c>
      <c r="R134" s="2911">
        <f t="shared" si="31"/>
        <v>0</v>
      </c>
      <c r="S134" s="2965">
        <f t="shared" si="32"/>
        <v>0</v>
      </c>
    </row>
    <row r="135" spans="1:19">
      <c r="A135" s="3193"/>
      <c r="B135" s="3545"/>
      <c r="C135" s="3191">
        <f t="shared" si="23"/>
        <v>1</v>
      </c>
      <c r="D135" s="3547"/>
      <c r="E135" s="3191">
        <f t="shared" si="24"/>
        <v>0</v>
      </c>
      <c r="F135" s="3547"/>
      <c r="G135" s="3191">
        <f t="shared" si="25"/>
        <v>1</v>
      </c>
      <c r="H135" s="3547"/>
      <c r="I135" s="3191">
        <f t="shared" si="26"/>
        <v>1</v>
      </c>
      <c r="J135" s="3547"/>
      <c r="K135" s="3191">
        <f t="shared" si="27"/>
        <v>1</v>
      </c>
      <c r="L135" s="3547"/>
      <c r="M135" s="3191">
        <f t="shared" si="28"/>
        <v>1</v>
      </c>
      <c r="N135" s="3547"/>
      <c r="O135" s="3191">
        <f t="shared" si="29"/>
        <v>1</v>
      </c>
      <c r="P135" s="3547"/>
      <c r="Q135" s="3191">
        <f t="shared" si="30"/>
        <v>1</v>
      </c>
      <c r="R135" s="2911">
        <f t="shared" si="31"/>
        <v>0</v>
      </c>
      <c r="S135" s="2965">
        <f t="shared" si="32"/>
        <v>0</v>
      </c>
    </row>
    <row r="136" spans="1:19">
      <c r="A136" s="3193"/>
      <c r="B136" s="3545"/>
      <c r="C136" s="3191">
        <f t="shared" si="23"/>
        <v>1</v>
      </c>
      <c r="D136" s="3547"/>
      <c r="E136" s="3191">
        <f t="shared" si="24"/>
        <v>0</v>
      </c>
      <c r="F136" s="3547"/>
      <c r="G136" s="3191">
        <f t="shared" si="25"/>
        <v>1</v>
      </c>
      <c r="H136" s="3547"/>
      <c r="I136" s="3191">
        <f t="shared" si="26"/>
        <v>1</v>
      </c>
      <c r="J136" s="3547"/>
      <c r="K136" s="3191">
        <f t="shared" si="27"/>
        <v>1</v>
      </c>
      <c r="L136" s="3547"/>
      <c r="M136" s="3191">
        <f t="shared" si="28"/>
        <v>1</v>
      </c>
      <c r="N136" s="3547"/>
      <c r="O136" s="3191">
        <f t="shared" si="29"/>
        <v>1</v>
      </c>
      <c r="P136" s="3547"/>
      <c r="Q136" s="3191">
        <f t="shared" si="30"/>
        <v>1</v>
      </c>
      <c r="R136" s="2911">
        <f t="shared" si="31"/>
        <v>0</v>
      </c>
      <c r="S136" s="2965">
        <f t="shared" si="32"/>
        <v>0</v>
      </c>
    </row>
    <row r="137" spans="1:19">
      <c r="A137" s="3193"/>
      <c r="B137" s="3545"/>
      <c r="C137" s="3191">
        <f t="shared" si="23"/>
        <v>1</v>
      </c>
      <c r="D137" s="3547"/>
      <c r="E137" s="3191">
        <f t="shared" si="24"/>
        <v>0</v>
      </c>
      <c r="F137" s="3547"/>
      <c r="G137" s="3191">
        <f t="shared" si="25"/>
        <v>1</v>
      </c>
      <c r="H137" s="3547"/>
      <c r="I137" s="3191">
        <f t="shared" si="26"/>
        <v>1</v>
      </c>
      <c r="J137" s="3547"/>
      <c r="K137" s="3191">
        <f t="shared" si="27"/>
        <v>1</v>
      </c>
      <c r="L137" s="3547"/>
      <c r="M137" s="3191">
        <f t="shared" si="28"/>
        <v>1</v>
      </c>
      <c r="N137" s="3547"/>
      <c r="O137" s="3191">
        <f t="shared" si="29"/>
        <v>1</v>
      </c>
      <c r="P137" s="3547"/>
      <c r="Q137" s="3191">
        <f t="shared" si="30"/>
        <v>1</v>
      </c>
      <c r="R137" s="2911">
        <f t="shared" si="31"/>
        <v>0</v>
      </c>
      <c r="S137" s="2965">
        <f t="shared" si="32"/>
        <v>0</v>
      </c>
    </row>
    <row r="138" spans="1:19">
      <c r="A138" s="3193"/>
      <c r="B138" s="3545"/>
      <c r="C138" s="3191">
        <f t="shared" si="23"/>
        <v>1</v>
      </c>
      <c r="D138" s="3547"/>
      <c r="E138" s="3191">
        <f t="shared" si="24"/>
        <v>0</v>
      </c>
      <c r="F138" s="3547"/>
      <c r="G138" s="3191">
        <f t="shared" si="25"/>
        <v>1</v>
      </c>
      <c r="H138" s="3547"/>
      <c r="I138" s="3191">
        <f t="shared" si="26"/>
        <v>1</v>
      </c>
      <c r="J138" s="3547"/>
      <c r="K138" s="3191">
        <f t="shared" si="27"/>
        <v>1</v>
      </c>
      <c r="L138" s="3547"/>
      <c r="M138" s="3191">
        <f t="shared" si="28"/>
        <v>1</v>
      </c>
      <c r="N138" s="3547"/>
      <c r="O138" s="3191">
        <f t="shared" si="29"/>
        <v>1</v>
      </c>
      <c r="P138" s="3547"/>
      <c r="Q138" s="3191">
        <f t="shared" si="30"/>
        <v>1</v>
      </c>
      <c r="R138" s="2911">
        <f t="shared" si="31"/>
        <v>0</v>
      </c>
      <c r="S138" s="2965">
        <f t="shared" si="32"/>
        <v>0</v>
      </c>
    </row>
    <row r="139" spans="1:19">
      <c r="A139" s="3193"/>
      <c r="B139" s="3545"/>
      <c r="C139" s="3191">
        <f t="shared" si="23"/>
        <v>1</v>
      </c>
      <c r="D139" s="3547"/>
      <c r="E139" s="3191">
        <f t="shared" si="24"/>
        <v>0</v>
      </c>
      <c r="F139" s="3547"/>
      <c r="G139" s="3191">
        <f t="shared" si="25"/>
        <v>1</v>
      </c>
      <c r="H139" s="3547"/>
      <c r="I139" s="3191">
        <f t="shared" si="26"/>
        <v>1</v>
      </c>
      <c r="J139" s="3547"/>
      <c r="K139" s="3191">
        <f t="shared" si="27"/>
        <v>1</v>
      </c>
      <c r="L139" s="3547"/>
      <c r="M139" s="3191">
        <f t="shared" si="28"/>
        <v>1</v>
      </c>
      <c r="N139" s="3547"/>
      <c r="O139" s="3191">
        <f t="shared" si="29"/>
        <v>1</v>
      </c>
      <c r="P139" s="3547"/>
      <c r="Q139" s="3191">
        <f t="shared" si="30"/>
        <v>1</v>
      </c>
      <c r="R139" s="2911">
        <f t="shared" si="31"/>
        <v>0</v>
      </c>
      <c r="S139" s="2965">
        <f t="shared" si="32"/>
        <v>0</v>
      </c>
    </row>
    <row r="140" spans="1:19">
      <c r="A140" s="3193"/>
      <c r="B140" s="3545"/>
      <c r="C140" s="3191">
        <f t="shared" si="23"/>
        <v>1</v>
      </c>
      <c r="D140" s="3547"/>
      <c r="E140" s="3191">
        <f t="shared" si="24"/>
        <v>0</v>
      </c>
      <c r="F140" s="3547"/>
      <c r="G140" s="3191">
        <f t="shared" si="25"/>
        <v>1</v>
      </c>
      <c r="H140" s="3547"/>
      <c r="I140" s="3191">
        <f t="shared" si="26"/>
        <v>1</v>
      </c>
      <c r="J140" s="3547"/>
      <c r="K140" s="3191">
        <f t="shared" si="27"/>
        <v>1</v>
      </c>
      <c r="L140" s="3547"/>
      <c r="M140" s="3191">
        <f t="shared" si="28"/>
        <v>1</v>
      </c>
      <c r="N140" s="3547"/>
      <c r="O140" s="3191">
        <f t="shared" si="29"/>
        <v>1</v>
      </c>
      <c r="P140" s="3547"/>
      <c r="Q140" s="3191">
        <f t="shared" si="30"/>
        <v>1</v>
      </c>
      <c r="R140" s="2911">
        <f t="shared" si="31"/>
        <v>0</v>
      </c>
      <c r="S140" s="2965">
        <f t="shared" si="32"/>
        <v>0</v>
      </c>
    </row>
    <row r="141" spans="1:19">
      <c r="A141" s="3193"/>
      <c r="B141" s="3545"/>
      <c r="C141" s="3191">
        <f t="shared" si="23"/>
        <v>1</v>
      </c>
      <c r="D141" s="3547"/>
      <c r="E141" s="3191">
        <f t="shared" si="24"/>
        <v>0</v>
      </c>
      <c r="F141" s="3547"/>
      <c r="G141" s="3191">
        <f t="shared" si="25"/>
        <v>1</v>
      </c>
      <c r="H141" s="3547"/>
      <c r="I141" s="3191">
        <f t="shared" si="26"/>
        <v>1</v>
      </c>
      <c r="J141" s="3547"/>
      <c r="K141" s="3191">
        <f t="shared" si="27"/>
        <v>1</v>
      </c>
      <c r="L141" s="3547"/>
      <c r="M141" s="3191">
        <f t="shared" si="28"/>
        <v>1</v>
      </c>
      <c r="N141" s="3547"/>
      <c r="O141" s="3191">
        <f t="shared" si="29"/>
        <v>1</v>
      </c>
      <c r="P141" s="3547"/>
      <c r="Q141" s="3191">
        <f t="shared" si="30"/>
        <v>1</v>
      </c>
      <c r="R141" s="2911">
        <f t="shared" si="31"/>
        <v>0</v>
      </c>
      <c r="S141" s="2965">
        <f t="shared" si="32"/>
        <v>0</v>
      </c>
    </row>
    <row r="142" spans="1:19">
      <c r="A142" s="3193"/>
      <c r="B142" s="3545"/>
      <c r="C142" s="3191">
        <f t="shared" si="23"/>
        <v>1</v>
      </c>
      <c r="D142" s="3547"/>
      <c r="E142" s="3191">
        <f t="shared" si="24"/>
        <v>0</v>
      </c>
      <c r="F142" s="3547"/>
      <c r="G142" s="3191">
        <f t="shared" si="25"/>
        <v>1</v>
      </c>
      <c r="H142" s="3547"/>
      <c r="I142" s="3191">
        <f t="shared" si="26"/>
        <v>1</v>
      </c>
      <c r="J142" s="3547"/>
      <c r="K142" s="3191">
        <f t="shared" si="27"/>
        <v>1</v>
      </c>
      <c r="L142" s="3547"/>
      <c r="M142" s="3191">
        <f t="shared" si="28"/>
        <v>1</v>
      </c>
      <c r="N142" s="3547"/>
      <c r="O142" s="3191">
        <f t="shared" si="29"/>
        <v>1</v>
      </c>
      <c r="P142" s="3547"/>
      <c r="Q142" s="3191">
        <f t="shared" si="30"/>
        <v>1</v>
      </c>
      <c r="R142" s="2911">
        <f t="shared" si="31"/>
        <v>0</v>
      </c>
      <c r="S142" s="2965">
        <f t="shared" si="32"/>
        <v>0</v>
      </c>
    </row>
    <row r="143" spans="1:19">
      <c r="A143" s="3193"/>
      <c r="B143" s="3545"/>
      <c r="C143" s="3191">
        <f t="shared" si="23"/>
        <v>1</v>
      </c>
      <c r="D143" s="3547"/>
      <c r="E143" s="3191">
        <f t="shared" si="24"/>
        <v>0</v>
      </c>
      <c r="F143" s="3547"/>
      <c r="G143" s="3191">
        <f t="shared" si="25"/>
        <v>1</v>
      </c>
      <c r="H143" s="3547"/>
      <c r="I143" s="3191">
        <f t="shared" si="26"/>
        <v>1</v>
      </c>
      <c r="J143" s="3547"/>
      <c r="K143" s="3191">
        <f t="shared" si="27"/>
        <v>1</v>
      </c>
      <c r="L143" s="3547"/>
      <c r="M143" s="3191">
        <f t="shared" si="28"/>
        <v>1</v>
      </c>
      <c r="N143" s="3547"/>
      <c r="O143" s="3191">
        <f t="shared" si="29"/>
        <v>1</v>
      </c>
      <c r="P143" s="3547"/>
      <c r="Q143" s="3191">
        <f t="shared" si="30"/>
        <v>1</v>
      </c>
      <c r="R143" s="2911">
        <f t="shared" si="31"/>
        <v>0</v>
      </c>
      <c r="S143" s="2965">
        <f t="shared" si="32"/>
        <v>0</v>
      </c>
    </row>
    <row r="144" spans="1:19">
      <c r="A144" s="3193"/>
      <c r="B144" s="3545"/>
      <c r="C144" s="3191">
        <f t="shared" si="23"/>
        <v>1</v>
      </c>
      <c r="D144" s="3547"/>
      <c r="E144" s="3191">
        <f t="shared" si="24"/>
        <v>0</v>
      </c>
      <c r="F144" s="3547"/>
      <c r="G144" s="3191">
        <f t="shared" si="25"/>
        <v>1</v>
      </c>
      <c r="H144" s="3547"/>
      <c r="I144" s="3191">
        <f t="shared" si="26"/>
        <v>1</v>
      </c>
      <c r="J144" s="3547"/>
      <c r="K144" s="3191">
        <f t="shared" si="27"/>
        <v>1</v>
      </c>
      <c r="L144" s="3547"/>
      <c r="M144" s="3191">
        <f t="shared" si="28"/>
        <v>1</v>
      </c>
      <c r="N144" s="3547"/>
      <c r="O144" s="3191">
        <f t="shared" si="29"/>
        <v>1</v>
      </c>
      <c r="P144" s="3547"/>
      <c r="Q144" s="3191">
        <f t="shared" si="30"/>
        <v>1</v>
      </c>
      <c r="R144" s="2911">
        <f t="shared" si="31"/>
        <v>0</v>
      </c>
      <c r="S144" s="2965">
        <f t="shared" si="32"/>
        <v>0</v>
      </c>
    </row>
    <row r="145" spans="1:19">
      <c r="A145" s="3193"/>
      <c r="B145" s="3545"/>
      <c r="C145" s="3191">
        <f t="shared" si="23"/>
        <v>1</v>
      </c>
      <c r="D145" s="3547"/>
      <c r="E145" s="3191">
        <f t="shared" si="24"/>
        <v>0</v>
      </c>
      <c r="F145" s="3547"/>
      <c r="G145" s="3191">
        <f t="shared" si="25"/>
        <v>1</v>
      </c>
      <c r="H145" s="3547"/>
      <c r="I145" s="3191">
        <f t="shared" si="26"/>
        <v>1</v>
      </c>
      <c r="J145" s="3547"/>
      <c r="K145" s="3191">
        <f t="shared" si="27"/>
        <v>1</v>
      </c>
      <c r="L145" s="3547"/>
      <c r="M145" s="3191">
        <f t="shared" si="28"/>
        <v>1</v>
      </c>
      <c r="N145" s="3547"/>
      <c r="O145" s="3191">
        <f t="shared" si="29"/>
        <v>1</v>
      </c>
      <c r="P145" s="3547"/>
      <c r="Q145" s="3191">
        <f t="shared" si="30"/>
        <v>1</v>
      </c>
      <c r="R145" s="2911">
        <f t="shared" si="31"/>
        <v>0</v>
      </c>
      <c r="S145" s="2965">
        <f t="shared" si="32"/>
        <v>0</v>
      </c>
    </row>
    <row r="146" spans="1:19">
      <c r="A146" s="3193"/>
      <c r="B146" s="3545"/>
      <c r="C146" s="3191">
        <f t="shared" si="23"/>
        <v>1</v>
      </c>
      <c r="D146" s="3547"/>
      <c r="E146" s="3191">
        <f t="shared" si="24"/>
        <v>0</v>
      </c>
      <c r="F146" s="3547"/>
      <c r="G146" s="3191">
        <f t="shared" si="25"/>
        <v>1</v>
      </c>
      <c r="H146" s="3547"/>
      <c r="I146" s="3191">
        <f t="shared" si="26"/>
        <v>1</v>
      </c>
      <c r="J146" s="3547"/>
      <c r="K146" s="3191">
        <f t="shared" si="27"/>
        <v>1</v>
      </c>
      <c r="L146" s="3547"/>
      <c r="M146" s="3191">
        <f t="shared" si="28"/>
        <v>1</v>
      </c>
      <c r="N146" s="3547"/>
      <c r="O146" s="3191">
        <f t="shared" si="29"/>
        <v>1</v>
      </c>
      <c r="P146" s="3547"/>
      <c r="Q146" s="3191">
        <f t="shared" si="30"/>
        <v>1</v>
      </c>
      <c r="R146" s="2911">
        <f t="shared" si="31"/>
        <v>0</v>
      </c>
      <c r="S146" s="2965">
        <f t="shared" si="32"/>
        <v>0</v>
      </c>
    </row>
    <row r="147" spans="1:19">
      <c r="A147" s="3193"/>
      <c r="B147" s="3545"/>
      <c r="C147" s="3191">
        <f t="shared" si="23"/>
        <v>1</v>
      </c>
      <c r="D147" s="3547"/>
      <c r="E147" s="3191">
        <f t="shared" si="24"/>
        <v>0</v>
      </c>
      <c r="F147" s="3547"/>
      <c r="G147" s="3191">
        <f t="shared" si="25"/>
        <v>1</v>
      </c>
      <c r="H147" s="3547"/>
      <c r="I147" s="3191">
        <f t="shared" si="26"/>
        <v>1</v>
      </c>
      <c r="J147" s="3547"/>
      <c r="K147" s="3191">
        <f t="shared" si="27"/>
        <v>1</v>
      </c>
      <c r="L147" s="3547"/>
      <c r="M147" s="3191">
        <f t="shared" si="28"/>
        <v>1</v>
      </c>
      <c r="N147" s="3547"/>
      <c r="O147" s="3191">
        <f t="shared" si="29"/>
        <v>1</v>
      </c>
      <c r="P147" s="3547"/>
      <c r="Q147" s="3191">
        <f t="shared" si="30"/>
        <v>1</v>
      </c>
      <c r="R147" s="2911">
        <f t="shared" si="31"/>
        <v>0</v>
      </c>
      <c r="S147" s="2965">
        <f t="shared" si="32"/>
        <v>0</v>
      </c>
    </row>
    <row r="148" spans="1:19">
      <c r="A148" s="3193"/>
      <c r="B148" s="3545"/>
      <c r="C148" s="3191">
        <f t="shared" si="23"/>
        <v>1</v>
      </c>
      <c r="D148" s="3547"/>
      <c r="E148" s="3191">
        <f t="shared" si="24"/>
        <v>0</v>
      </c>
      <c r="F148" s="3547"/>
      <c r="G148" s="3191">
        <f t="shared" si="25"/>
        <v>1</v>
      </c>
      <c r="H148" s="3547"/>
      <c r="I148" s="3191">
        <f t="shared" si="26"/>
        <v>1</v>
      </c>
      <c r="J148" s="3547"/>
      <c r="K148" s="3191">
        <f t="shared" si="27"/>
        <v>1</v>
      </c>
      <c r="L148" s="3547"/>
      <c r="M148" s="3191">
        <f t="shared" si="28"/>
        <v>1</v>
      </c>
      <c r="N148" s="3547"/>
      <c r="O148" s="3191">
        <f t="shared" si="29"/>
        <v>1</v>
      </c>
      <c r="P148" s="3547"/>
      <c r="Q148" s="3191">
        <f t="shared" si="30"/>
        <v>1</v>
      </c>
      <c r="R148" s="2911">
        <f t="shared" si="31"/>
        <v>0</v>
      </c>
      <c r="S148" s="2965">
        <f t="shared" si="32"/>
        <v>0</v>
      </c>
    </row>
    <row r="149" spans="1:19">
      <c r="A149" s="3193"/>
      <c r="B149" s="3545"/>
      <c r="C149" s="3191">
        <f t="shared" si="23"/>
        <v>1</v>
      </c>
      <c r="D149" s="3547"/>
      <c r="E149" s="3191">
        <f t="shared" si="24"/>
        <v>0</v>
      </c>
      <c r="F149" s="3547"/>
      <c r="G149" s="3191">
        <f t="shared" si="25"/>
        <v>1</v>
      </c>
      <c r="H149" s="3547"/>
      <c r="I149" s="3191">
        <f t="shared" si="26"/>
        <v>1</v>
      </c>
      <c r="J149" s="3547"/>
      <c r="K149" s="3191">
        <f t="shared" si="27"/>
        <v>1</v>
      </c>
      <c r="L149" s="3547"/>
      <c r="M149" s="3191">
        <f t="shared" si="28"/>
        <v>1</v>
      </c>
      <c r="N149" s="3547"/>
      <c r="O149" s="3191">
        <f t="shared" si="29"/>
        <v>1</v>
      </c>
      <c r="P149" s="3547"/>
      <c r="Q149" s="3191">
        <f t="shared" si="30"/>
        <v>1</v>
      </c>
      <c r="R149" s="2911">
        <f t="shared" si="31"/>
        <v>0</v>
      </c>
      <c r="S149" s="2965">
        <f t="shared" si="32"/>
        <v>0</v>
      </c>
    </row>
    <row r="150" spans="1:19">
      <c r="A150" s="3193"/>
      <c r="B150" s="3545"/>
      <c r="C150" s="3191">
        <f t="shared" si="23"/>
        <v>1</v>
      </c>
      <c r="D150" s="3547"/>
      <c r="E150" s="3191">
        <f t="shared" si="24"/>
        <v>0</v>
      </c>
      <c r="F150" s="3547"/>
      <c r="G150" s="3191">
        <f t="shared" si="25"/>
        <v>1</v>
      </c>
      <c r="H150" s="3547"/>
      <c r="I150" s="3191">
        <f t="shared" si="26"/>
        <v>1</v>
      </c>
      <c r="J150" s="3547"/>
      <c r="K150" s="3191">
        <f t="shared" si="27"/>
        <v>1</v>
      </c>
      <c r="L150" s="3547"/>
      <c r="M150" s="3191">
        <f t="shared" si="28"/>
        <v>1</v>
      </c>
      <c r="N150" s="3547"/>
      <c r="O150" s="3191">
        <f t="shared" si="29"/>
        <v>1</v>
      </c>
      <c r="P150" s="3547"/>
      <c r="Q150" s="3191">
        <f t="shared" si="30"/>
        <v>1</v>
      </c>
      <c r="R150" s="2911">
        <f t="shared" si="31"/>
        <v>0</v>
      </c>
      <c r="S150" s="2965">
        <f t="shared" si="32"/>
        <v>0</v>
      </c>
    </row>
    <row r="151" spans="1:19">
      <c r="A151" s="3193"/>
      <c r="B151" s="3545"/>
      <c r="C151" s="3191">
        <f t="shared" si="23"/>
        <v>1</v>
      </c>
      <c r="D151" s="3547"/>
      <c r="E151" s="3191">
        <f t="shared" si="24"/>
        <v>0</v>
      </c>
      <c r="F151" s="3547"/>
      <c r="G151" s="3191">
        <f t="shared" si="25"/>
        <v>1</v>
      </c>
      <c r="H151" s="3547"/>
      <c r="I151" s="3191">
        <f t="shared" si="26"/>
        <v>1</v>
      </c>
      <c r="J151" s="3547"/>
      <c r="K151" s="3191">
        <f t="shared" si="27"/>
        <v>1</v>
      </c>
      <c r="L151" s="3547"/>
      <c r="M151" s="3191">
        <f t="shared" si="28"/>
        <v>1</v>
      </c>
      <c r="N151" s="3547"/>
      <c r="O151" s="3191">
        <f t="shared" si="29"/>
        <v>1</v>
      </c>
      <c r="P151" s="3547"/>
      <c r="Q151" s="3191">
        <f t="shared" si="30"/>
        <v>1</v>
      </c>
      <c r="R151" s="2911">
        <f t="shared" si="31"/>
        <v>0</v>
      </c>
      <c r="S151" s="2965">
        <f t="shared" si="32"/>
        <v>0</v>
      </c>
    </row>
    <row r="152" spans="1:19">
      <c r="A152" s="3193"/>
      <c r="B152" s="3545"/>
      <c r="C152" s="3191">
        <f t="shared" si="23"/>
        <v>1</v>
      </c>
      <c r="D152" s="3547"/>
      <c r="E152" s="3191">
        <f t="shared" si="24"/>
        <v>0</v>
      </c>
      <c r="F152" s="3547"/>
      <c r="G152" s="3191">
        <f t="shared" si="25"/>
        <v>1</v>
      </c>
      <c r="H152" s="3547"/>
      <c r="I152" s="3191">
        <f t="shared" si="26"/>
        <v>1</v>
      </c>
      <c r="J152" s="3547"/>
      <c r="K152" s="3191">
        <f t="shared" si="27"/>
        <v>1</v>
      </c>
      <c r="L152" s="3547"/>
      <c r="M152" s="3191">
        <f t="shared" si="28"/>
        <v>1</v>
      </c>
      <c r="N152" s="3547"/>
      <c r="O152" s="3191">
        <f t="shared" si="29"/>
        <v>1</v>
      </c>
      <c r="P152" s="3547"/>
      <c r="Q152" s="3191">
        <f t="shared" si="30"/>
        <v>1</v>
      </c>
      <c r="R152" s="2911">
        <f t="shared" si="31"/>
        <v>0</v>
      </c>
      <c r="S152" s="2965">
        <f t="shared" si="32"/>
        <v>0</v>
      </c>
    </row>
    <row r="153" spans="1:19">
      <c r="A153" s="3193"/>
      <c r="B153" s="3545"/>
      <c r="C153" s="3191">
        <f t="shared" si="23"/>
        <v>1</v>
      </c>
      <c r="D153" s="3547"/>
      <c r="E153" s="3191">
        <f t="shared" si="24"/>
        <v>0</v>
      </c>
      <c r="F153" s="3547"/>
      <c r="G153" s="3191">
        <f t="shared" si="25"/>
        <v>1</v>
      </c>
      <c r="H153" s="3547"/>
      <c r="I153" s="3191">
        <f t="shared" si="26"/>
        <v>1</v>
      </c>
      <c r="J153" s="3547"/>
      <c r="K153" s="3191">
        <f t="shared" si="27"/>
        <v>1</v>
      </c>
      <c r="L153" s="3547"/>
      <c r="M153" s="3191">
        <f t="shared" si="28"/>
        <v>1</v>
      </c>
      <c r="N153" s="3547"/>
      <c r="O153" s="3191">
        <f t="shared" si="29"/>
        <v>1</v>
      </c>
      <c r="P153" s="3547"/>
      <c r="Q153" s="3191">
        <f t="shared" si="30"/>
        <v>1</v>
      </c>
      <c r="R153" s="2911">
        <f t="shared" si="31"/>
        <v>0</v>
      </c>
      <c r="S153" s="2965">
        <f t="shared" si="32"/>
        <v>0</v>
      </c>
    </row>
    <row r="154" spans="1:19">
      <c r="A154" s="3193"/>
      <c r="B154" s="3545"/>
      <c r="C154" s="3191">
        <f t="shared" ref="C154:C217" si="33">IF(B154="",1,(LOOKUP(B154,$3:$3,$4:$4)-LOOKUP($B$24,$3:$3,$4:$4)+100)/100)</f>
        <v>1</v>
      </c>
      <c r="D154" s="3547"/>
      <c r="E154" s="3191">
        <f t="shared" ref="E154:E217" si="34">(SUMIF($5:$5,D154,$6:$6)-SUMIF($5:$5,$D$24,$6:$6)+100)/100</f>
        <v>0</v>
      </c>
      <c r="F154" s="3547"/>
      <c r="G154" s="3191">
        <f t="shared" ref="G154:G217" si="35">(SUMIF($7:$7,F154,$8:$8)-SUMIF($7:$7,$F$24,$8:$8)+100)/100</f>
        <v>1</v>
      </c>
      <c r="H154" s="3547"/>
      <c r="I154" s="3191">
        <f t="shared" ref="I154:I217" si="36">(SUMIF($9:$9,H154,$10:$10)-SUMIF($9:$9,$H$24,$10:$10)+100)/100</f>
        <v>1</v>
      </c>
      <c r="J154" s="3547"/>
      <c r="K154" s="3191">
        <f t="shared" ref="K154:K217" si="37">(SUMIF($11:$11,J154,$12:$12)-SUMIF($11:$11,$J$24,$12:$12)+100)/100</f>
        <v>1</v>
      </c>
      <c r="L154" s="3547"/>
      <c r="M154" s="3191">
        <f t="shared" ref="M154:M217" si="38">(SUMIF($13:$13,L154,$14:$14)-SUMIF($13:$13,$L$24,$14:$14)+100)/100</f>
        <v>1</v>
      </c>
      <c r="N154" s="3547"/>
      <c r="O154" s="3191">
        <f t="shared" ref="O154:O217" si="39">(SUMIF($15:$15,N154,$16:$16)-SUMIF($15:$15,$N$24,$16:$16)+100)/100</f>
        <v>1</v>
      </c>
      <c r="P154" s="3547"/>
      <c r="Q154" s="3191">
        <f t="shared" ref="Q154:Q217" si="40">(SUMIF($17:$17,P154,$18:$18)-SUMIF($17:$17,$P$24,$18:$18)+100)/100</f>
        <v>1</v>
      </c>
      <c r="R154" s="2911">
        <f t="shared" ref="R154:R217" si="41">IF(B154="",0,ROUND($R$24*C154*E154*G154*I154*K154*M154*O154*Q154,0))</f>
        <v>0</v>
      </c>
      <c r="S154" s="2965">
        <f t="shared" si="32"/>
        <v>0</v>
      </c>
    </row>
    <row r="155" spans="1:19">
      <c r="A155" s="3193"/>
      <c r="B155" s="3545"/>
      <c r="C155" s="3191">
        <f t="shared" si="33"/>
        <v>1</v>
      </c>
      <c r="D155" s="3547"/>
      <c r="E155" s="3191">
        <f t="shared" si="34"/>
        <v>0</v>
      </c>
      <c r="F155" s="3547"/>
      <c r="G155" s="3191">
        <f t="shared" si="35"/>
        <v>1</v>
      </c>
      <c r="H155" s="3547"/>
      <c r="I155" s="3191">
        <f t="shared" si="36"/>
        <v>1</v>
      </c>
      <c r="J155" s="3547"/>
      <c r="K155" s="3191">
        <f t="shared" si="37"/>
        <v>1</v>
      </c>
      <c r="L155" s="3547"/>
      <c r="M155" s="3191">
        <f t="shared" si="38"/>
        <v>1</v>
      </c>
      <c r="N155" s="3547"/>
      <c r="O155" s="3191">
        <f t="shared" si="39"/>
        <v>1</v>
      </c>
      <c r="P155" s="3547"/>
      <c r="Q155" s="3191">
        <f t="shared" si="40"/>
        <v>1</v>
      </c>
      <c r="R155" s="2911">
        <f t="shared" si="41"/>
        <v>0</v>
      </c>
      <c r="S155" s="2965">
        <f t="shared" si="32"/>
        <v>0</v>
      </c>
    </row>
    <row r="156" spans="1:19">
      <c r="A156" s="3193"/>
      <c r="B156" s="3545"/>
      <c r="C156" s="3191">
        <f t="shared" si="33"/>
        <v>1</v>
      </c>
      <c r="D156" s="3547"/>
      <c r="E156" s="3191">
        <f t="shared" si="34"/>
        <v>0</v>
      </c>
      <c r="F156" s="3547"/>
      <c r="G156" s="3191">
        <f t="shared" si="35"/>
        <v>1</v>
      </c>
      <c r="H156" s="3547"/>
      <c r="I156" s="3191">
        <f t="shared" si="36"/>
        <v>1</v>
      </c>
      <c r="J156" s="3547"/>
      <c r="K156" s="3191">
        <f t="shared" si="37"/>
        <v>1</v>
      </c>
      <c r="L156" s="3547"/>
      <c r="M156" s="3191">
        <f t="shared" si="38"/>
        <v>1</v>
      </c>
      <c r="N156" s="3547"/>
      <c r="O156" s="3191">
        <f t="shared" si="39"/>
        <v>1</v>
      </c>
      <c r="P156" s="3547"/>
      <c r="Q156" s="3191">
        <f t="shared" si="40"/>
        <v>1</v>
      </c>
      <c r="R156" s="2911">
        <f t="shared" si="41"/>
        <v>0</v>
      </c>
      <c r="S156" s="2965">
        <f t="shared" si="32"/>
        <v>0</v>
      </c>
    </row>
    <row r="157" spans="1:19">
      <c r="A157" s="3193"/>
      <c r="B157" s="3545"/>
      <c r="C157" s="3191">
        <f t="shared" si="33"/>
        <v>1</v>
      </c>
      <c r="D157" s="3547"/>
      <c r="E157" s="3191">
        <f t="shared" si="34"/>
        <v>0</v>
      </c>
      <c r="F157" s="3547"/>
      <c r="G157" s="3191">
        <f t="shared" si="35"/>
        <v>1</v>
      </c>
      <c r="H157" s="3547"/>
      <c r="I157" s="3191">
        <f t="shared" si="36"/>
        <v>1</v>
      </c>
      <c r="J157" s="3547"/>
      <c r="K157" s="3191">
        <f t="shared" si="37"/>
        <v>1</v>
      </c>
      <c r="L157" s="3547"/>
      <c r="M157" s="3191">
        <f t="shared" si="38"/>
        <v>1</v>
      </c>
      <c r="N157" s="3547"/>
      <c r="O157" s="3191">
        <f t="shared" si="39"/>
        <v>1</v>
      </c>
      <c r="P157" s="3547"/>
      <c r="Q157" s="3191">
        <f t="shared" si="40"/>
        <v>1</v>
      </c>
      <c r="R157" s="2911">
        <f t="shared" si="41"/>
        <v>0</v>
      </c>
      <c r="S157" s="2965">
        <f t="shared" si="32"/>
        <v>0</v>
      </c>
    </row>
    <row r="158" spans="1:19">
      <c r="A158" s="3193"/>
      <c r="B158" s="3545"/>
      <c r="C158" s="3191">
        <f t="shared" si="33"/>
        <v>1</v>
      </c>
      <c r="D158" s="3547"/>
      <c r="E158" s="3191">
        <f t="shared" si="34"/>
        <v>0</v>
      </c>
      <c r="F158" s="3547"/>
      <c r="G158" s="3191">
        <f t="shared" si="35"/>
        <v>1</v>
      </c>
      <c r="H158" s="3547"/>
      <c r="I158" s="3191">
        <f t="shared" si="36"/>
        <v>1</v>
      </c>
      <c r="J158" s="3547"/>
      <c r="K158" s="3191">
        <f t="shared" si="37"/>
        <v>1</v>
      </c>
      <c r="L158" s="3547"/>
      <c r="M158" s="3191">
        <f t="shared" si="38"/>
        <v>1</v>
      </c>
      <c r="N158" s="3547"/>
      <c r="O158" s="3191">
        <f t="shared" si="39"/>
        <v>1</v>
      </c>
      <c r="P158" s="3547"/>
      <c r="Q158" s="3191">
        <f t="shared" si="40"/>
        <v>1</v>
      </c>
      <c r="R158" s="2911">
        <f t="shared" si="41"/>
        <v>0</v>
      </c>
      <c r="S158" s="2965">
        <f t="shared" si="32"/>
        <v>0</v>
      </c>
    </row>
    <row r="159" spans="1:19">
      <c r="A159" s="3193"/>
      <c r="B159" s="3545"/>
      <c r="C159" s="3191">
        <f t="shared" si="33"/>
        <v>1</v>
      </c>
      <c r="D159" s="3547"/>
      <c r="E159" s="3191">
        <f t="shared" si="34"/>
        <v>0</v>
      </c>
      <c r="F159" s="3547"/>
      <c r="G159" s="3191">
        <f t="shared" si="35"/>
        <v>1</v>
      </c>
      <c r="H159" s="3547"/>
      <c r="I159" s="3191">
        <f t="shared" si="36"/>
        <v>1</v>
      </c>
      <c r="J159" s="3547"/>
      <c r="K159" s="3191">
        <f t="shared" si="37"/>
        <v>1</v>
      </c>
      <c r="L159" s="3547"/>
      <c r="M159" s="3191">
        <f t="shared" si="38"/>
        <v>1</v>
      </c>
      <c r="N159" s="3547"/>
      <c r="O159" s="3191">
        <f t="shared" si="39"/>
        <v>1</v>
      </c>
      <c r="P159" s="3547"/>
      <c r="Q159" s="3191">
        <f t="shared" si="40"/>
        <v>1</v>
      </c>
      <c r="R159" s="2911">
        <f t="shared" si="41"/>
        <v>0</v>
      </c>
      <c r="S159" s="2965">
        <f t="shared" si="32"/>
        <v>0</v>
      </c>
    </row>
    <row r="160" spans="1:19">
      <c r="A160" s="3193"/>
      <c r="B160" s="3545"/>
      <c r="C160" s="3191">
        <f t="shared" si="33"/>
        <v>1</v>
      </c>
      <c r="D160" s="3547"/>
      <c r="E160" s="3191">
        <f t="shared" si="34"/>
        <v>0</v>
      </c>
      <c r="F160" s="3547"/>
      <c r="G160" s="3191">
        <f t="shared" si="35"/>
        <v>1</v>
      </c>
      <c r="H160" s="3547"/>
      <c r="I160" s="3191">
        <f t="shared" si="36"/>
        <v>1</v>
      </c>
      <c r="J160" s="3547"/>
      <c r="K160" s="3191">
        <f t="shared" si="37"/>
        <v>1</v>
      </c>
      <c r="L160" s="3547"/>
      <c r="M160" s="3191">
        <f t="shared" si="38"/>
        <v>1</v>
      </c>
      <c r="N160" s="3547"/>
      <c r="O160" s="3191">
        <f t="shared" si="39"/>
        <v>1</v>
      </c>
      <c r="P160" s="3547"/>
      <c r="Q160" s="3191">
        <f t="shared" si="40"/>
        <v>1</v>
      </c>
      <c r="R160" s="2911">
        <f t="shared" si="41"/>
        <v>0</v>
      </c>
      <c r="S160" s="2965">
        <f t="shared" si="32"/>
        <v>0</v>
      </c>
    </row>
    <row r="161" spans="1:19">
      <c r="A161" s="3193"/>
      <c r="B161" s="3545"/>
      <c r="C161" s="3191">
        <f t="shared" si="33"/>
        <v>1</v>
      </c>
      <c r="D161" s="3547"/>
      <c r="E161" s="3191">
        <f t="shared" si="34"/>
        <v>0</v>
      </c>
      <c r="F161" s="3547"/>
      <c r="G161" s="3191">
        <f t="shared" si="35"/>
        <v>1</v>
      </c>
      <c r="H161" s="3547"/>
      <c r="I161" s="3191">
        <f t="shared" si="36"/>
        <v>1</v>
      </c>
      <c r="J161" s="3547"/>
      <c r="K161" s="3191">
        <f t="shared" si="37"/>
        <v>1</v>
      </c>
      <c r="L161" s="3547"/>
      <c r="M161" s="3191">
        <f t="shared" si="38"/>
        <v>1</v>
      </c>
      <c r="N161" s="3547"/>
      <c r="O161" s="3191">
        <f t="shared" si="39"/>
        <v>1</v>
      </c>
      <c r="P161" s="3547"/>
      <c r="Q161" s="3191">
        <f t="shared" si="40"/>
        <v>1</v>
      </c>
      <c r="R161" s="2911">
        <f t="shared" si="41"/>
        <v>0</v>
      </c>
      <c r="S161" s="2965">
        <f t="shared" si="32"/>
        <v>0</v>
      </c>
    </row>
    <row r="162" spans="1:19">
      <c r="A162" s="3193"/>
      <c r="B162" s="3545"/>
      <c r="C162" s="3191">
        <f t="shared" si="33"/>
        <v>1</v>
      </c>
      <c r="D162" s="3547"/>
      <c r="E162" s="3191">
        <f t="shared" si="34"/>
        <v>0</v>
      </c>
      <c r="F162" s="3547"/>
      <c r="G162" s="3191">
        <f t="shared" si="35"/>
        <v>1</v>
      </c>
      <c r="H162" s="3547"/>
      <c r="I162" s="3191">
        <f t="shared" si="36"/>
        <v>1</v>
      </c>
      <c r="J162" s="3547"/>
      <c r="K162" s="3191">
        <f t="shared" si="37"/>
        <v>1</v>
      </c>
      <c r="L162" s="3547"/>
      <c r="M162" s="3191">
        <f t="shared" si="38"/>
        <v>1</v>
      </c>
      <c r="N162" s="3547"/>
      <c r="O162" s="3191">
        <f t="shared" si="39"/>
        <v>1</v>
      </c>
      <c r="P162" s="3547"/>
      <c r="Q162" s="3191">
        <f t="shared" si="40"/>
        <v>1</v>
      </c>
      <c r="R162" s="2911">
        <f t="shared" si="41"/>
        <v>0</v>
      </c>
      <c r="S162" s="2965">
        <f t="shared" si="32"/>
        <v>0</v>
      </c>
    </row>
    <row r="163" spans="1:19">
      <c r="A163" s="3193"/>
      <c r="B163" s="3545"/>
      <c r="C163" s="3191">
        <f t="shared" si="33"/>
        <v>1</v>
      </c>
      <c r="D163" s="3547"/>
      <c r="E163" s="3191">
        <f t="shared" si="34"/>
        <v>0</v>
      </c>
      <c r="F163" s="3547"/>
      <c r="G163" s="3191">
        <f t="shared" si="35"/>
        <v>1</v>
      </c>
      <c r="H163" s="3547"/>
      <c r="I163" s="3191">
        <f t="shared" si="36"/>
        <v>1</v>
      </c>
      <c r="J163" s="3547"/>
      <c r="K163" s="3191">
        <f t="shared" si="37"/>
        <v>1</v>
      </c>
      <c r="L163" s="3547"/>
      <c r="M163" s="3191">
        <f t="shared" si="38"/>
        <v>1</v>
      </c>
      <c r="N163" s="3547"/>
      <c r="O163" s="3191">
        <f t="shared" si="39"/>
        <v>1</v>
      </c>
      <c r="P163" s="3547"/>
      <c r="Q163" s="3191">
        <f t="shared" si="40"/>
        <v>1</v>
      </c>
      <c r="R163" s="2911">
        <f t="shared" si="41"/>
        <v>0</v>
      </c>
      <c r="S163" s="2965">
        <f t="shared" si="32"/>
        <v>0</v>
      </c>
    </row>
    <row r="164" spans="1:19">
      <c r="A164" s="3193"/>
      <c r="B164" s="3545"/>
      <c r="C164" s="3191">
        <f t="shared" si="33"/>
        <v>1</v>
      </c>
      <c r="D164" s="3547"/>
      <c r="E164" s="3191">
        <f t="shared" si="34"/>
        <v>0</v>
      </c>
      <c r="F164" s="3547"/>
      <c r="G164" s="3191">
        <f t="shared" si="35"/>
        <v>1</v>
      </c>
      <c r="H164" s="3547"/>
      <c r="I164" s="3191">
        <f t="shared" si="36"/>
        <v>1</v>
      </c>
      <c r="J164" s="3547"/>
      <c r="K164" s="3191">
        <f t="shared" si="37"/>
        <v>1</v>
      </c>
      <c r="L164" s="3547"/>
      <c r="M164" s="3191">
        <f t="shared" si="38"/>
        <v>1</v>
      </c>
      <c r="N164" s="3547"/>
      <c r="O164" s="3191">
        <f t="shared" si="39"/>
        <v>1</v>
      </c>
      <c r="P164" s="3547"/>
      <c r="Q164" s="3191">
        <f t="shared" si="40"/>
        <v>1</v>
      </c>
      <c r="R164" s="2911">
        <f t="shared" si="41"/>
        <v>0</v>
      </c>
      <c r="S164" s="2965">
        <f t="shared" si="32"/>
        <v>0</v>
      </c>
    </row>
    <row r="165" spans="1:19">
      <c r="A165" s="3193"/>
      <c r="B165" s="3545"/>
      <c r="C165" s="3191">
        <f t="shared" si="33"/>
        <v>1</v>
      </c>
      <c r="D165" s="3547"/>
      <c r="E165" s="3191">
        <f t="shared" si="34"/>
        <v>0</v>
      </c>
      <c r="F165" s="3547"/>
      <c r="G165" s="3191">
        <f t="shared" si="35"/>
        <v>1</v>
      </c>
      <c r="H165" s="3547"/>
      <c r="I165" s="3191">
        <f t="shared" si="36"/>
        <v>1</v>
      </c>
      <c r="J165" s="3547"/>
      <c r="K165" s="3191">
        <f t="shared" si="37"/>
        <v>1</v>
      </c>
      <c r="L165" s="3547"/>
      <c r="M165" s="3191">
        <f t="shared" si="38"/>
        <v>1</v>
      </c>
      <c r="N165" s="3547"/>
      <c r="O165" s="3191">
        <f t="shared" si="39"/>
        <v>1</v>
      </c>
      <c r="P165" s="3547"/>
      <c r="Q165" s="3191">
        <f t="shared" si="40"/>
        <v>1</v>
      </c>
      <c r="R165" s="2911">
        <f t="shared" si="41"/>
        <v>0</v>
      </c>
      <c r="S165" s="2965">
        <f t="shared" si="32"/>
        <v>0</v>
      </c>
    </row>
    <row r="166" spans="1:19">
      <c r="A166" s="3193"/>
      <c r="B166" s="3545"/>
      <c r="C166" s="3191">
        <f t="shared" si="33"/>
        <v>1</v>
      </c>
      <c r="D166" s="3547"/>
      <c r="E166" s="3191">
        <f t="shared" si="34"/>
        <v>0</v>
      </c>
      <c r="F166" s="3547"/>
      <c r="G166" s="3191">
        <f t="shared" si="35"/>
        <v>1</v>
      </c>
      <c r="H166" s="3547"/>
      <c r="I166" s="3191">
        <f t="shared" si="36"/>
        <v>1</v>
      </c>
      <c r="J166" s="3547"/>
      <c r="K166" s="3191">
        <f t="shared" si="37"/>
        <v>1</v>
      </c>
      <c r="L166" s="3547"/>
      <c r="M166" s="3191">
        <f t="shared" si="38"/>
        <v>1</v>
      </c>
      <c r="N166" s="3547"/>
      <c r="O166" s="3191">
        <f t="shared" si="39"/>
        <v>1</v>
      </c>
      <c r="P166" s="3547"/>
      <c r="Q166" s="3191">
        <f t="shared" si="40"/>
        <v>1</v>
      </c>
      <c r="R166" s="2911">
        <f t="shared" si="41"/>
        <v>0</v>
      </c>
      <c r="S166" s="2965">
        <f t="shared" si="32"/>
        <v>0</v>
      </c>
    </row>
    <row r="167" spans="1:19">
      <c r="A167" s="3193"/>
      <c r="B167" s="3545"/>
      <c r="C167" s="3191">
        <f t="shared" si="33"/>
        <v>1</v>
      </c>
      <c r="D167" s="3547"/>
      <c r="E167" s="3191">
        <f t="shared" si="34"/>
        <v>0</v>
      </c>
      <c r="F167" s="3547"/>
      <c r="G167" s="3191">
        <f t="shared" si="35"/>
        <v>1</v>
      </c>
      <c r="H167" s="3547"/>
      <c r="I167" s="3191">
        <f t="shared" si="36"/>
        <v>1</v>
      </c>
      <c r="J167" s="3547"/>
      <c r="K167" s="3191">
        <f t="shared" si="37"/>
        <v>1</v>
      </c>
      <c r="L167" s="3547"/>
      <c r="M167" s="3191">
        <f t="shared" si="38"/>
        <v>1</v>
      </c>
      <c r="N167" s="3547"/>
      <c r="O167" s="3191">
        <f t="shared" si="39"/>
        <v>1</v>
      </c>
      <c r="P167" s="3547"/>
      <c r="Q167" s="3191">
        <f t="shared" si="40"/>
        <v>1</v>
      </c>
      <c r="R167" s="2911">
        <f t="shared" si="41"/>
        <v>0</v>
      </c>
      <c r="S167" s="2965">
        <f t="shared" si="32"/>
        <v>0</v>
      </c>
    </row>
    <row r="168" spans="1:19">
      <c r="A168" s="3193"/>
      <c r="B168" s="3545"/>
      <c r="C168" s="3191">
        <f t="shared" si="33"/>
        <v>1</v>
      </c>
      <c r="D168" s="3547"/>
      <c r="E168" s="3191">
        <f t="shared" si="34"/>
        <v>0</v>
      </c>
      <c r="F168" s="3547"/>
      <c r="G168" s="3191">
        <f t="shared" si="35"/>
        <v>1</v>
      </c>
      <c r="H168" s="3547"/>
      <c r="I168" s="3191">
        <f t="shared" si="36"/>
        <v>1</v>
      </c>
      <c r="J168" s="3547"/>
      <c r="K168" s="3191">
        <f t="shared" si="37"/>
        <v>1</v>
      </c>
      <c r="L168" s="3547"/>
      <c r="M168" s="3191">
        <f t="shared" si="38"/>
        <v>1</v>
      </c>
      <c r="N168" s="3547"/>
      <c r="O168" s="3191">
        <f t="shared" si="39"/>
        <v>1</v>
      </c>
      <c r="P168" s="3547"/>
      <c r="Q168" s="3191">
        <f t="shared" si="40"/>
        <v>1</v>
      </c>
      <c r="R168" s="2911">
        <f t="shared" si="41"/>
        <v>0</v>
      </c>
      <c r="S168" s="2965">
        <f t="shared" si="32"/>
        <v>0</v>
      </c>
    </row>
    <row r="169" spans="1:19">
      <c r="A169" s="3193"/>
      <c r="B169" s="3545"/>
      <c r="C169" s="3191">
        <f t="shared" si="33"/>
        <v>1</v>
      </c>
      <c r="D169" s="3547"/>
      <c r="E169" s="3191">
        <f t="shared" si="34"/>
        <v>0</v>
      </c>
      <c r="F169" s="3547"/>
      <c r="G169" s="3191">
        <f t="shared" si="35"/>
        <v>1</v>
      </c>
      <c r="H169" s="3547"/>
      <c r="I169" s="3191">
        <f t="shared" si="36"/>
        <v>1</v>
      </c>
      <c r="J169" s="3547"/>
      <c r="K169" s="3191">
        <f t="shared" si="37"/>
        <v>1</v>
      </c>
      <c r="L169" s="3547"/>
      <c r="M169" s="3191">
        <f t="shared" si="38"/>
        <v>1</v>
      </c>
      <c r="N169" s="3547"/>
      <c r="O169" s="3191">
        <f t="shared" si="39"/>
        <v>1</v>
      </c>
      <c r="P169" s="3547"/>
      <c r="Q169" s="3191">
        <f t="shared" si="40"/>
        <v>1</v>
      </c>
      <c r="R169" s="2911">
        <f t="shared" si="41"/>
        <v>0</v>
      </c>
      <c r="S169" s="2965">
        <f t="shared" si="32"/>
        <v>0</v>
      </c>
    </row>
    <row r="170" spans="1:19">
      <c r="A170" s="3193"/>
      <c r="B170" s="3545"/>
      <c r="C170" s="3191">
        <f t="shared" si="33"/>
        <v>1</v>
      </c>
      <c r="D170" s="3547"/>
      <c r="E170" s="3191">
        <f t="shared" si="34"/>
        <v>0</v>
      </c>
      <c r="F170" s="3547"/>
      <c r="G170" s="3191">
        <f t="shared" si="35"/>
        <v>1</v>
      </c>
      <c r="H170" s="3547"/>
      <c r="I170" s="3191">
        <f t="shared" si="36"/>
        <v>1</v>
      </c>
      <c r="J170" s="3547"/>
      <c r="K170" s="3191">
        <f t="shared" si="37"/>
        <v>1</v>
      </c>
      <c r="L170" s="3547"/>
      <c r="M170" s="3191">
        <f t="shared" si="38"/>
        <v>1</v>
      </c>
      <c r="N170" s="3547"/>
      <c r="O170" s="3191">
        <f t="shared" si="39"/>
        <v>1</v>
      </c>
      <c r="P170" s="3547"/>
      <c r="Q170" s="3191">
        <f t="shared" si="40"/>
        <v>1</v>
      </c>
      <c r="R170" s="2911">
        <f t="shared" si="41"/>
        <v>0</v>
      </c>
      <c r="S170" s="2965">
        <f t="shared" si="32"/>
        <v>0</v>
      </c>
    </row>
    <row r="171" spans="1:19">
      <c r="A171" s="3193"/>
      <c r="B171" s="3545"/>
      <c r="C171" s="3191">
        <f t="shared" si="33"/>
        <v>1</v>
      </c>
      <c r="D171" s="3547"/>
      <c r="E171" s="3191">
        <f t="shared" si="34"/>
        <v>0</v>
      </c>
      <c r="F171" s="3547"/>
      <c r="G171" s="3191">
        <f t="shared" si="35"/>
        <v>1</v>
      </c>
      <c r="H171" s="3547"/>
      <c r="I171" s="3191">
        <f t="shared" si="36"/>
        <v>1</v>
      </c>
      <c r="J171" s="3547"/>
      <c r="K171" s="3191">
        <f t="shared" si="37"/>
        <v>1</v>
      </c>
      <c r="L171" s="3547"/>
      <c r="M171" s="3191">
        <f t="shared" si="38"/>
        <v>1</v>
      </c>
      <c r="N171" s="3547"/>
      <c r="O171" s="3191">
        <f t="shared" si="39"/>
        <v>1</v>
      </c>
      <c r="P171" s="3547"/>
      <c r="Q171" s="3191">
        <f t="shared" si="40"/>
        <v>1</v>
      </c>
      <c r="R171" s="2911">
        <f t="shared" si="41"/>
        <v>0</v>
      </c>
      <c r="S171" s="2965">
        <f t="shared" si="32"/>
        <v>0</v>
      </c>
    </row>
    <row r="172" spans="1:19">
      <c r="A172" s="3193"/>
      <c r="B172" s="3545"/>
      <c r="C172" s="3191">
        <f t="shared" si="33"/>
        <v>1</v>
      </c>
      <c r="D172" s="3547"/>
      <c r="E172" s="3191">
        <f t="shared" si="34"/>
        <v>0</v>
      </c>
      <c r="F172" s="3547"/>
      <c r="G172" s="3191">
        <f t="shared" si="35"/>
        <v>1</v>
      </c>
      <c r="H172" s="3547"/>
      <c r="I172" s="3191">
        <f t="shared" si="36"/>
        <v>1</v>
      </c>
      <c r="J172" s="3547"/>
      <c r="K172" s="3191">
        <f t="shared" si="37"/>
        <v>1</v>
      </c>
      <c r="L172" s="3547"/>
      <c r="M172" s="3191">
        <f t="shared" si="38"/>
        <v>1</v>
      </c>
      <c r="N172" s="3547"/>
      <c r="O172" s="3191">
        <f t="shared" si="39"/>
        <v>1</v>
      </c>
      <c r="P172" s="3547"/>
      <c r="Q172" s="3191">
        <f t="shared" si="40"/>
        <v>1</v>
      </c>
      <c r="R172" s="2911">
        <f t="shared" si="41"/>
        <v>0</v>
      </c>
      <c r="S172" s="2965">
        <f t="shared" si="32"/>
        <v>0</v>
      </c>
    </row>
    <row r="173" spans="1:19">
      <c r="A173" s="3193"/>
      <c r="B173" s="3545"/>
      <c r="C173" s="3191">
        <f t="shared" si="33"/>
        <v>1</v>
      </c>
      <c r="D173" s="3547"/>
      <c r="E173" s="3191">
        <f t="shared" si="34"/>
        <v>0</v>
      </c>
      <c r="F173" s="3547"/>
      <c r="G173" s="3191">
        <f t="shared" si="35"/>
        <v>1</v>
      </c>
      <c r="H173" s="3547"/>
      <c r="I173" s="3191">
        <f t="shared" si="36"/>
        <v>1</v>
      </c>
      <c r="J173" s="3547"/>
      <c r="K173" s="3191">
        <f t="shared" si="37"/>
        <v>1</v>
      </c>
      <c r="L173" s="3547"/>
      <c r="M173" s="3191">
        <f t="shared" si="38"/>
        <v>1</v>
      </c>
      <c r="N173" s="3547"/>
      <c r="O173" s="3191">
        <f t="shared" si="39"/>
        <v>1</v>
      </c>
      <c r="P173" s="3547"/>
      <c r="Q173" s="3191">
        <f t="shared" si="40"/>
        <v>1</v>
      </c>
      <c r="R173" s="2911">
        <f t="shared" si="41"/>
        <v>0</v>
      </c>
      <c r="S173" s="2965">
        <f t="shared" si="32"/>
        <v>0</v>
      </c>
    </row>
    <row r="174" spans="1:19">
      <c r="A174" s="3193"/>
      <c r="B174" s="3545"/>
      <c r="C174" s="3191">
        <f t="shared" si="33"/>
        <v>1</v>
      </c>
      <c r="D174" s="3547"/>
      <c r="E174" s="3191">
        <f t="shared" si="34"/>
        <v>0</v>
      </c>
      <c r="F174" s="3547"/>
      <c r="G174" s="3191">
        <f t="shared" si="35"/>
        <v>1</v>
      </c>
      <c r="H174" s="3547"/>
      <c r="I174" s="3191">
        <f t="shared" si="36"/>
        <v>1</v>
      </c>
      <c r="J174" s="3547"/>
      <c r="K174" s="3191">
        <f t="shared" si="37"/>
        <v>1</v>
      </c>
      <c r="L174" s="3547"/>
      <c r="M174" s="3191">
        <f t="shared" si="38"/>
        <v>1</v>
      </c>
      <c r="N174" s="3547"/>
      <c r="O174" s="3191">
        <f t="shared" si="39"/>
        <v>1</v>
      </c>
      <c r="P174" s="3547"/>
      <c r="Q174" s="3191">
        <f t="shared" si="40"/>
        <v>1</v>
      </c>
      <c r="R174" s="2911">
        <f t="shared" si="41"/>
        <v>0</v>
      </c>
      <c r="S174" s="2965">
        <f t="shared" si="32"/>
        <v>0</v>
      </c>
    </row>
    <row r="175" spans="1:19">
      <c r="A175" s="3193"/>
      <c r="B175" s="3545"/>
      <c r="C175" s="3191">
        <f t="shared" si="33"/>
        <v>1</v>
      </c>
      <c r="D175" s="3547"/>
      <c r="E175" s="3191">
        <f t="shared" si="34"/>
        <v>0</v>
      </c>
      <c r="F175" s="3547"/>
      <c r="G175" s="3191">
        <f t="shared" si="35"/>
        <v>1</v>
      </c>
      <c r="H175" s="3547"/>
      <c r="I175" s="3191">
        <f t="shared" si="36"/>
        <v>1</v>
      </c>
      <c r="J175" s="3547"/>
      <c r="K175" s="3191">
        <f t="shared" si="37"/>
        <v>1</v>
      </c>
      <c r="L175" s="3547"/>
      <c r="M175" s="3191">
        <f t="shared" si="38"/>
        <v>1</v>
      </c>
      <c r="N175" s="3547"/>
      <c r="O175" s="3191">
        <f t="shared" si="39"/>
        <v>1</v>
      </c>
      <c r="P175" s="3547"/>
      <c r="Q175" s="3191">
        <f t="shared" si="40"/>
        <v>1</v>
      </c>
      <c r="R175" s="2911">
        <f t="shared" si="41"/>
        <v>0</v>
      </c>
      <c r="S175" s="2965">
        <f t="shared" si="32"/>
        <v>0</v>
      </c>
    </row>
    <row r="176" spans="1:19">
      <c r="A176" s="3193"/>
      <c r="B176" s="3545"/>
      <c r="C176" s="3191">
        <f t="shared" si="33"/>
        <v>1</v>
      </c>
      <c r="D176" s="3547"/>
      <c r="E176" s="3191">
        <f t="shared" si="34"/>
        <v>0</v>
      </c>
      <c r="F176" s="3547"/>
      <c r="G176" s="3191">
        <f t="shared" si="35"/>
        <v>1</v>
      </c>
      <c r="H176" s="3547"/>
      <c r="I176" s="3191">
        <f t="shared" si="36"/>
        <v>1</v>
      </c>
      <c r="J176" s="3547"/>
      <c r="K176" s="3191">
        <f t="shared" si="37"/>
        <v>1</v>
      </c>
      <c r="L176" s="3547"/>
      <c r="M176" s="3191">
        <f t="shared" si="38"/>
        <v>1</v>
      </c>
      <c r="N176" s="3547"/>
      <c r="O176" s="3191">
        <f t="shared" si="39"/>
        <v>1</v>
      </c>
      <c r="P176" s="3547"/>
      <c r="Q176" s="3191">
        <f t="shared" si="40"/>
        <v>1</v>
      </c>
      <c r="R176" s="2911">
        <f t="shared" si="41"/>
        <v>0</v>
      </c>
      <c r="S176" s="2965">
        <f t="shared" si="32"/>
        <v>0</v>
      </c>
    </row>
    <row r="177" spans="1:19">
      <c r="A177" s="3193"/>
      <c r="B177" s="3545"/>
      <c r="C177" s="3191">
        <f t="shared" si="33"/>
        <v>1</v>
      </c>
      <c r="D177" s="3547"/>
      <c r="E177" s="3191">
        <f t="shared" si="34"/>
        <v>0</v>
      </c>
      <c r="F177" s="3547"/>
      <c r="G177" s="3191">
        <f t="shared" si="35"/>
        <v>1</v>
      </c>
      <c r="H177" s="3547"/>
      <c r="I177" s="3191">
        <f t="shared" si="36"/>
        <v>1</v>
      </c>
      <c r="J177" s="3547"/>
      <c r="K177" s="3191">
        <f t="shared" si="37"/>
        <v>1</v>
      </c>
      <c r="L177" s="3547"/>
      <c r="M177" s="3191">
        <f t="shared" si="38"/>
        <v>1</v>
      </c>
      <c r="N177" s="3547"/>
      <c r="O177" s="3191">
        <f t="shared" si="39"/>
        <v>1</v>
      </c>
      <c r="P177" s="3547"/>
      <c r="Q177" s="3191">
        <f t="shared" si="40"/>
        <v>1</v>
      </c>
      <c r="R177" s="2911">
        <f t="shared" si="41"/>
        <v>0</v>
      </c>
      <c r="S177" s="2965">
        <f t="shared" si="32"/>
        <v>0</v>
      </c>
    </row>
    <row r="178" spans="1:19">
      <c r="A178" s="3193"/>
      <c r="B178" s="3545"/>
      <c r="C178" s="3191">
        <f t="shared" si="33"/>
        <v>1</v>
      </c>
      <c r="D178" s="3547"/>
      <c r="E178" s="3191">
        <f t="shared" si="34"/>
        <v>0</v>
      </c>
      <c r="F178" s="3547"/>
      <c r="G178" s="3191">
        <f t="shared" si="35"/>
        <v>1</v>
      </c>
      <c r="H178" s="3547"/>
      <c r="I178" s="3191">
        <f t="shared" si="36"/>
        <v>1</v>
      </c>
      <c r="J178" s="3547"/>
      <c r="K178" s="3191">
        <f t="shared" si="37"/>
        <v>1</v>
      </c>
      <c r="L178" s="3547"/>
      <c r="M178" s="3191">
        <f t="shared" si="38"/>
        <v>1</v>
      </c>
      <c r="N178" s="3547"/>
      <c r="O178" s="3191">
        <f t="shared" si="39"/>
        <v>1</v>
      </c>
      <c r="P178" s="3547"/>
      <c r="Q178" s="3191">
        <f t="shared" si="40"/>
        <v>1</v>
      </c>
      <c r="R178" s="2911">
        <f t="shared" si="41"/>
        <v>0</v>
      </c>
      <c r="S178" s="2965">
        <f t="shared" si="32"/>
        <v>0</v>
      </c>
    </row>
    <row r="179" spans="1:19">
      <c r="A179" s="3193"/>
      <c r="B179" s="3545"/>
      <c r="C179" s="3191">
        <f t="shared" si="33"/>
        <v>1</v>
      </c>
      <c r="D179" s="3547"/>
      <c r="E179" s="3191">
        <f t="shared" si="34"/>
        <v>0</v>
      </c>
      <c r="F179" s="3547"/>
      <c r="G179" s="3191">
        <f t="shared" si="35"/>
        <v>1</v>
      </c>
      <c r="H179" s="3547"/>
      <c r="I179" s="3191">
        <f t="shared" si="36"/>
        <v>1</v>
      </c>
      <c r="J179" s="3547"/>
      <c r="K179" s="3191">
        <f t="shared" si="37"/>
        <v>1</v>
      </c>
      <c r="L179" s="3547"/>
      <c r="M179" s="3191">
        <f t="shared" si="38"/>
        <v>1</v>
      </c>
      <c r="N179" s="3547"/>
      <c r="O179" s="3191">
        <f t="shared" si="39"/>
        <v>1</v>
      </c>
      <c r="P179" s="3547"/>
      <c r="Q179" s="3191">
        <f t="shared" si="40"/>
        <v>1</v>
      </c>
      <c r="R179" s="2911">
        <f t="shared" si="41"/>
        <v>0</v>
      </c>
      <c r="S179" s="2965">
        <f t="shared" si="32"/>
        <v>0</v>
      </c>
    </row>
    <row r="180" spans="1:19">
      <c r="A180" s="3193"/>
      <c r="B180" s="3545"/>
      <c r="C180" s="3191">
        <f t="shared" si="33"/>
        <v>1</v>
      </c>
      <c r="D180" s="3547"/>
      <c r="E180" s="3191">
        <f t="shared" si="34"/>
        <v>0</v>
      </c>
      <c r="F180" s="3547"/>
      <c r="G180" s="3191">
        <f t="shared" si="35"/>
        <v>1</v>
      </c>
      <c r="H180" s="3547"/>
      <c r="I180" s="3191">
        <f t="shared" si="36"/>
        <v>1</v>
      </c>
      <c r="J180" s="3547"/>
      <c r="K180" s="3191">
        <f t="shared" si="37"/>
        <v>1</v>
      </c>
      <c r="L180" s="3547"/>
      <c r="M180" s="3191">
        <f t="shared" si="38"/>
        <v>1</v>
      </c>
      <c r="N180" s="3547"/>
      <c r="O180" s="3191">
        <f t="shared" si="39"/>
        <v>1</v>
      </c>
      <c r="P180" s="3547"/>
      <c r="Q180" s="3191">
        <f t="shared" si="40"/>
        <v>1</v>
      </c>
      <c r="R180" s="2911">
        <f t="shared" si="41"/>
        <v>0</v>
      </c>
      <c r="S180" s="2965">
        <f t="shared" si="32"/>
        <v>0</v>
      </c>
    </row>
    <row r="181" spans="1:19">
      <c r="A181" s="3193"/>
      <c r="B181" s="3545"/>
      <c r="C181" s="3191">
        <f t="shared" si="33"/>
        <v>1</v>
      </c>
      <c r="D181" s="3547"/>
      <c r="E181" s="3191">
        <f t="shared" si="34"/>
        <v>0</v>
      </c>
      <c r="F181" s="3547"/>
      <c r="G181" s="3191">
        <f t="shared" si="35"/>
        <v>1</v>
      </c>
      <c r="H181" s="3547"/>
      <c r="I181" s="3191">
        <f t="shared" si="36"/>
        <v>1</v>
      </c>
      <c r="J181" s="3547"/>
      <c r="K181" s="3191">
        <f t="shared" si="37"/>
        <v>1</v>
      </c>
      <c r="L181" s="3547"/>
      <c r="M181" s="3191">
        <f t="shared" si="38"/>
        <v>1</v>
      </c>
      <c r="N181" s="3547"/>
      <c r="O181" s="3191">
        <f t="shared" si="39"/>
        <v>1</v>
      </c>
      <c r="P181" s="3547"/>
      <c r="Q181" s="3191">
        <f t="shared" si="40"/>
        <v>1</v>
      </c>
      <c r="R181" s="2911">
        <f t="shared" si="41"/>
        <v>0</v>
      </c>
      <c r="S181" s="2965">
        <f t="shared" si="32"/>
        <v>0</v>
      </c>
    </row>
    <row r="182" spans="1:19">
      <c r="A182" s="3193"/>
      <c r="B182" s="3545"/>
      <c r="C182" s="3191">
        <f t="shared" si="33"/>
        <v>1</v>
      </c>
      <c r="D182" s="3547"/>
      <c r="E182" s="3191">
        <f t="shared" si="34"/>
        <v>0</v>
      </c>
      <c r="F182" s="3547"/>
      <c r="G182" s="3191">
        <f t="shared" si="35"/>
        <v>1</v>
      </c>
      <c r="H182" s="3547"/>
      <c r="I182" s="3191">
        <f t="shared" si="36"/>
        <v>1</v>
      </c>
      <c r="J182" s="3547"/>
      <c r="K182" s="3191">
        <f t="shared" si="37"/>
        <v>1</v>
      </c>
      <c r="L182" s="3547"/>
      <c r="M182" s="3191">
        <f t="shared" si="38"/>
        <v>1</v>
      </c>
      <c r="N182" s="3547"/>
      <c r="O182" s="3191">
        <f t="shared" si="39"/>
        <v>1</v>
      </c>
      <c r="P182" s="3547"/>
      <c r="Q182" s="3191">
        <f t="shared" si="40"/>
        <v>1</v>
      </c>
      <c r="R182" s="2911">
        <f t="shared" si="41"/>
        <v>0</v>
      </c>
      <c r="S182" s="2965">
        <f t="shared" si="32"/>
        <v>0</v>
      </c>
    </row>
    <row r="183" spans="1:19">
      <c r="A183" s="3193"/>
      <c r="B183" s="3545"/>
      <c r="C183" s="3191">
        <f t="shared" si="33"/>
        <v>1</v>
      </c>
      <c r="D183" s="3547"/>
      <c r="E183" s="3191">
        <f t="shared" si="34"/>
        <v>0</v>
      </c>
      <c r="F183" s="3547"/>
      <c r="G183" s="3191">
        <f t="shared" si="35"/>
        <v>1</v>
      </c>
      <c r="H183" s="3547"/>
      <c r="I183" s="3191">
        <f t="shared" si="36"/>
        <v>1</v>
      </c>
      <c r="J183" s="3547"/>
      <c r="K183" s="3191">
        <f t="shared" si="37"/>
        <v>1</v>
      </c>
      <c r="L183" s="3547"/>
      <c r="M183" s="3191">
        <f t="shared" si="38"/>
        <v>1</v>
      </c>
      <c r="N183" s="3547"/>
      <c r="O183" s="3191">
        <f t="shared" si="39"/>
        <v>1</v>
      </c>
      <c r="P183" s="3547"/>
      <c r="Q183" s="3191">
        <f t="shared" si="40"/>
        <v>1</v>
      </c>
      <c r="R183" s="2911">
        <f t="shared" si="41"/>
        <v>0</v>
      </c>
      <c r="S183" s="2965">
        <f t="shared" si="32"/>
        <v>0</v>
      </c>
    </row>
    <row r="184" spans="1:19">
      <c r="A184" s="3193"/>
      <c r="B184" s="3545"/>
      <c r="C184" s="3191">
        <f t="shared" si="33"/>
        <v>1</v>
      </c>
      <c r="D184" s="3547"/>
      <c r="E184" s="3191">
        <f t="shared" si="34"/>
        <v>0</v>
      </c>
      <c r="F184" s="3547"/>
      <c r="G184" s="3191">
        <f t="shared" si="35"/>
        <v>1</v>
      </c>
      <c r="H184" s="3547"/>
      <c r="I184" s="3191">
        <f t="shared" si="36"/>
        <v>1</v>
      </c>
      <c r="J184" s="3547"/>
      <c r="K184" s="3191">
        <f t="shared" si="37"/>
        <v>1</v>
      </c>
      <c r="L184" s="3547"/>
      <c r="M184" s="3191">
        <f t="shared" si="38"/>
        <v>1</v>
      </c>
      <c r="N184" s="3547"/>
      <c r="O184" s="3191">
        <f t="shared" si="39"/>
        <v>1</v>
      </c>
      <c r="P184" s="3547"/>
      <c r="Q184" s="3191">
        <f t="shared" si="40"/>
        <v>1</v>
      </c>
      <c r="R184" s="2911">
        <f t="shared" si="41"/>
        <v>0</v>
      </c>
      <c r="S184" s="2965">
        <f t="shared" si="32"/>
        <v>0</v>
      </c>
    </row>
    <row r="185" spans="1:19">
      <c r="A185" s="3193"/>
      <c r="B185" s="3545"/>
      <c r="C185" s="3191">
        <f t="shared" si="33"/>
        <v>1</v>
      </c>
      <c r="D185" s="3547"/>
      <c r="E185" s="3191">
        <f t="shared" si="34"/>
        <v>0</v>
      </c>
      <c r="F185" s="3547"/>
      <c r="G185" s="3191">
        <f t="shared" si="35"/>
        <v>1</v>
      </c>
      <c r="H185" s="3547"/>
      <c r="I185" s="3191">
        <f t="shared" si="36"/>
        <v>1</v>
      </c>
      <c r="J185" s="3547"/>
      <c r="K185" s="3191">
        <f t="shared" si="37"/>
        <v>1</v>
      </c>
      <c r="L185" s="3547"/>
      <c r="M185" s="3191">
        <f t="shared" si="38"/>
        <v>1</v>
      </c>
      <c r="N185" s="3547"/>
      <c r="O185" s="3191">
        <f t="shared" si="39"/>
        <v>1</v>
      </c>
      <c r="P185" s="3547"/>
      <c r="Q185" s="3191">
        <f t="shared" si="40"/>
        <v>1</v>
      </c>
      <c r="R185" s="2911">
        <f t="shared" si="41"/>
        <v>0</v>
      </c>
      <c r="S185" s="2965">
        <f t="shared" si="32"/>
        <v>0</v>
      </c>
    </row>
    <row r="186" spans="1:19">
      <c r="A186" s="3193"/>
      <c r="B186" s="3545"/>
      <c r="C186" s="3191">
        <f t="shared" si="33"/>
        <v>1</v>
      </c>
      <c r="D186" s="3547"/>
      <c r="E186" s="3191">
        <f t="shared" si="34"/>
        <v>0</v>
      </c>
      <c r="F186" s="3547"/>
      <c r="G186" s="3191">
        <f t="shared" si="35"/>
        <v>1</v>
      </c>
      <c r="H186" s="3547"/>
      <c r="I186" s="3191">
        <f t="shared" si="36"/>
        <v>1</v>
      </c>
      <c r="J186" s="3547"/>
      <c r="K186" s="3191">
        <f t="shared" si="37"/>
        <v>1</v>
      </c>
      <c r="L186" s="3547"/>
      <c r="M186" s="3191">
        <f t="shared" si="38"/>
        <v>1</v>
      </c>
      <c r="N186" s="3547"/>
      <c r="O186" s="3191">
        <f t="shared" si="39"/>
        <v>1</v>
      </c>
      <c r="P186" s="3547"/>
      <c r="Q186" s="3191">
        <f t="shared" si="40"/>
        <v>1</v>
      </c>
      <c r="R186" s="2911">
        <f t="shared" si="41"/>
        <v>0</v>
      </c>
      <c r="S186" s="2965">
        <f t="shared" si="32"/>
        <v>0</v>
      </c>
    </row>
    <row r="187" spans="1:19">
      <c r="A187" s="3193"/>
      <c r="B187" s="3545"/>
      <c r="C187" s="3191">
        <f t="shared" si="33"/>
        <v>1</v>
      </c>
      <c r="D187" s="3547"/>
      <c r="E187" s="3191">
        <f t="shared" si="34"/>
        <v>0</v>
      </c>
      <c r="F187" s="3547"/>
      <c r="G187" s="3191">
        <f t="shared" si="35"/>
        <v>1</v>
      </c>
      <c r="H187" s="3547"/>
      <c r="I187" s="3191">
        <f t="shared" si="36"/>
        <v>1</v>
      </c>
      <c r="J187" s="3547"/>
      <c r="K187" s="3191">
        <f t="shared" si="37"/>
        <v>1</v>
      </c>
      <c r="L187" s="3547"/>
      <c r="M187" s="3191">
        <f t="shared" si="38"/>
        <v>1</v>
      </c>
      <c r="N187" s="3547"/>
      <c r="O187" s="3191">
        <f t="shared" si="39"/>
        <v>1</v>
      </c>
      <c r="P187" s="3547"/>
      <c r="Q187" s="3191">
        <f t="shared" si="40"/>
        <v>1</v>
      </c>
      <c r="R187" s="2911">
        <f t="shared" si="41"/>
        <v>0</v>
      </c>
      <c r="S187" s="2965">
        <f t="shared" ref="S187:S222" si="42">ROUND(R187*B187/10000,0)</f>
        <v>0</v>
      </c>
    </row>
    <row r="188" spans="1:19">
      <c r="A188" s="3193"/>
      <c r="B188" s="3545"/>
      <c r="C188" s="3191">
        <f t="shared" si="33"/>
        <v>1</v>
      </c>
      <c r="D188" s="3547"/>
      <c r="E188" s="3191">
        <f t="shared" si="34"/>
        <v>0</v>
      </c>
      <c r="F188" s="3547"/>
      <c r="G188" s="3191">
        <f t="shared" si="35"/>
        <v>1</v>
      </c>
      <c r="H188" s="3547"/>
      <c r="I188" s="3191">
        <f t="shared" si="36"/>
        <v>1</v>
      </c>
      <c r="J188" s="3547"/>
      <c r="K188" s="3191">
        <f t="shared" si="37"/>
        <v>1</v>
      </c>
      <c r="L188" s="3547"/>
      <c r="M188" s="3191">
        <f t="shared" si="38"/>
        <v>1</v>
      </c>
      <c r="N188" s="3547"/>
      <c r="O188" s="3191">
        <f t="shared" si="39"/>
        <v>1</v>
      </c>
      <c r="P188" s="3547"/>
      <c r="Q188" s="3191">
        <f t="shared" si="40"/>
        <v>1</v>
      </c>
      <c r="R188" s="2911">
        <f t="shared" si="41"/>
        <v>0</v>
      </c>
      <c r="S188" s="2965">
        <f t="shared" si="42"/>
        <v>0</v>
      </c>
    </row>
    <row r="189" spans="1:19">
      <c r="A189" s="3193"/>
      <c r="B189" s="3545"/>
      <c r="C189" s="3191">
        <f t="shared" si="33"/>
        <v>1</v>
      </c>
      <c r="D189" s="3547"/>
      <c r="E189" s="3191">
        <f t="shared" si="34"/>
        <v>0</v>
      </c>
      <c r="F189" s="3547"/>
      <c r="G189" s="3191">
        <f t="shared" si="35"/>
        <v>1</v>
      </c>
      <c r="H189" s="3547"/>
      <c r="I189" s="3191">
        <f t="shared" si="36"/>
        <v>1</v>
      </c>
      <c r="J189" s="3547"/>
      <c r="K189" s="3191">
        <f t="shared" si="37"/>
        <v>1</v>
      </c>
      <c r="L189" s="3547"/>
      <c r="M189" s="3191">
        <f t="shared" si="38"/>
        <v>1</v>
      </c>
      <c r="N189" s="3547"/>
      <c r="O189" s="3191">
        <f t="shared" si="39"/>
        <v>1</v>
      </c>
      <c r="P189" s="3547"/>
      <c r="Q189" s="3191">
        <f t="shared" si="40"/>
        <v>1</v>
      </c>
      <c r="R189" s="2911">
        <f t="shared" si="41"/>
        <v>0</v>
      </c>
      <c r="S189" s="2965">
        <f t="shared" si="42"/>
        <v>0</v>
      </c>
    </row>
    <row r="190" spans="1:19">
      <c r="A190" s="3193"/>
      <c r="B190" s="3545"/>
      <c r="C190" s="3191">
        <f t="shared" si="33"/>
        <v>1</v>
      </c>
      <c r="D190" s="3547"/>
      <c r="E190" s="3191">
        <f t="shared" si="34"/>
        <v>0</v>
      </c>
      <c r="F190" s="3547"/>
      <c r="G190" s="3191">
        <f t="shared" si="35"/>
        <v>1</v>
      </c>
      <c r="H190" s="3547"/>
      <c r="I190" s="3191">
        <f t="shared" si="36"/>
        <v>1</v>
      </c>
      <c r="J190" s="3547"/>
      <c r="K190" s="3191">
        <f t="shared" si="37"/>
        <v>1</v>
      </c>
      <c r="L190" s="3547"/>
      <c r="M190" s="3191">
        <f t="shared" si="38"/>
        <v>1</v>
      </c>
      <c r="N190" s="3547"/>
      <c r="O190" s="3191">
        <f t="shared" si="39"/>
        <v>1</v>
      </c>
      <c r="P190" s="3547"/>
      <c r="Q190" s="3191">
        <f t="shared" si="40"/>
        <v>1</v>
      </c>
      <c r="R190" s="2911">
        <f t="shared" si="41"/>
        <v>0</v>
      </c>
      <c r="S190" s="2965">
        <f t="shared" si="42"/>
        <v>0</v>
      </c>
    </row>
    <row r="191" spans="1:19">
      <c r="A191" s="3193"/>
      <c r="B191" s="3545"/>
      <c r="C191" s="3191">
        <f t="shared" si="33"/>
        <v>1</v>
      </c>
      <c r="D191" s="3547"/>
      <c r="E191" s="3191">
        <f t="shared" si="34"/>
        <v>0</v>
      </c>
      <c r="F191" s="3547"/>
      <c r="G191" s="3191">
        <f t="shared" si="35"/>
        <v>1</v>
      </c>
      <c r="H191" s="3547"/>
      <c r="I191" s="3191">
        <f t="shared" si="36"/>
        <v>1</v>
      </c>
      <c r="J191" s="3547"/>
      <c r="K191" s="3191">
        <f t="shared" si="37"/>
        <v>1</v>
      </c>
      <c r="L191" s="3547"/>
      <c r="M191" s="3191">
        <f t="shared" si="38"/>
        <v>1</v>
      </c>
      <c r="N191" s="3547"/>
      <c r="O191" s="3191">
        <f t="shared" si="39"/>
        <v>1</v>
      </c>
      <c r="P191" s="3547"/>
      <c r="Q191" s="3191">
        <f t="shared" si="40"/>
        <v>1</v>
      </c>
      <c r="R191" s="2911">
        <f t="shared" si="41"/>
        <v>0</v>
      </c>
      <c r="S191" s="2965">
        <f t="shared" si="42"/>
        <v>0</v>
      </c>
    </row>
    <row r="192" spans="1:19">
      <c r="A192" s="3193"/>
      <c r="B192" s="3545"/>
      <c r="C192" s="3191">
        <f t="shared" si="33"/>
        <v>1</v>
      </c>
      <c r="D192" s="3547"/>
      <c r="E192" s="3191">
        <f t="shared" si="34"/>
        <v>0</v>
      </c>
      <c r="F192" s="3547"/>
      <c r="G192" s="3191">
        <f t="shared" si="35"/>
        <v>1</v>
      </c>
      <c r="H192" s="3547"/>
      <c r="I192" s="3191">
        <f t="shared" si="36"/>
        <v>1</v>
      </c>
      <c r="J192" s="3547"/>
      <c r="K192" s="3191">
        <f t="shared" si="37"/>
        <v>1</v>
      </c>
      <c r="L192" s="3547"/>
      <c r="M192" s="3191">
        <f t="shared" si="38"/>
        <v>1</v>
      </c>
      <c r="N192" s="3547"/>
      <c r="O192" s="3191">
        <f t="shared" si="39"/>
        <v>1</v>
      </c>
      <c r="P192" s="3547"/>
      <c r="Q192" s="3191">
        <f t="shared" si="40"/>
        <v>1</v>
      </c>
      <c r="R192" s="2911">
        <f t="shared" si="41"/>
        <v>0</v>
      </c>
      <c r="S192" s="2965">
        <f t="shared" si="42"/>
        <v>0</v>
      </c>
    </row>
    <row r="193" spans="1:19">
      <c r="A193" s="3193"/>
      <c r="B193" s="3545"/>
      <c r="C193" s="3191">
        <f t="shared" si="33"/>
        <v>1</v>
      </c>
      <c r="D193" s="3547"/>
      <c r="E193" s="3191">
        <f t="shared" si="34"/>
        <v>0</v>
      </c>
      <c r="F193" s="3547"/>
      <c r="G193" s="3191">
        <f t="shared" si="35"/>
        <v>1</v>
      </c>
      <c r="H193" s="3547"/>
      <c r="I193" s="3191">
        <f t="shared" si="36"/>
        <v>1</v>
      </c>
      <c r="J193" s="3547"/>
      <c r="K193" s="3191">
        <f t="shared" si="37"/>
        <v>1</v>
      </c>
      <c r="L193" s="3547"/>
      <c r="M193" s="3191">
        <f t="shared" si="38"/>
        <v>1</v>
      </c>
      <c r="N193" s="3547"/>
      <c r="O193" s="3191">
        <f t="shared" si="39"/>
        <v>1</v>
      </c>
      <c r="P193" s="3547"/>
      <c r="Q193" s="3191">
        <f t="shared" si="40"/>
        <v>1</v>
      </c>
      <c r="R193" s="2911">
        <f t="shared" si="41"/>
        <v>0</v>
      </c>
      <c r="S193" s="2965">
        <f t="shared" si="42"/>
        <v>0</v>
      </c>
    </row>
    <row r="194" spans="1:19">
      <c r="A194" s="3193"/>
      <c r="B194" s="3545"/>
      <c r="C194" s="3191">
        <f t="shared" si="33"/>
        <v>1</v>
      </c>
      <c r="D194" s="3547"/>
      <c r="E194" s="3191">
        <f t="shared" si="34"/>
        <v>0</v>
      </c>
      <c r="F194" s="3547"/>
      <c r="G194" s="3191">
        <f t="shared" si="35"/>
        <v>1</v>
      </c>
      <c r="H194" s="3547"/>
      <c r="I194" s="3191">
        <f t="shared" si="36"/>
        <v>1</v>
      </c>
      <c r="J194" s="3547"/>
      <c r="K194" s="3191">
        <f t="shared" si="37"/>
        <v>1</v>
      </c>
      <c r="L194" s="3547"/>
      <c r="M194" s="3191">
        <f t="shared" si="38"/>
        <v>1</v>
      </c>
      <c r="N194" s="3547"/>
      <c r="O194" s="3191">
        <f t="shared" si="39"/>
        <v>1</v>
      </c>
      <c r="P194" s="3547"/>
      <c r="Q194" s="3191">
        <f t="shared" si="40"/>
        <v>1</v>
      </c>
      <c r="R194" s="2911">
        <f t="shared" si="41"/>
        <v>0</v>
      </c>
      <c r="S194" s="2965">
        <f t="shared" si="42"/>
        <v>0</v>
      </c>
    </row>
    <row r="195" spans="1:19">
      <c r="A195" s="3193"/>
      <c r="B195" s="3545"/>
      <c r="C195" s="3191">
        <f t="shared" si="33"/>
        <v>1</v>
      </c>
      <c r="D195" s="3547"/>
      <c r="E195" s="3191">
        <f t="shared" si="34"/>
        <v>0</v>
      </c>
      <c r="F195" s="3547"/>
      <c r="G195" s="3191">
        <f t="shared" si="35"/>
        <v>1</v>
      </c>
      <c r="H195" s="3547"/>
      <c r="I195" s="3191">
        <f t="shared" si="36"/>
        <v>1</v>
      </c>
      <c r="J195" s="3547"/>
      <c r="K195" s="3191">
        <f t="shared" si="37"/>
        <v>1</v>
      </c>
      <c r="L195" s="3547"/>
      <c r="M195" s="3191">
        <f t="shared" si="38"/>
        <v>1</v>
      </c>
      <c r="N195" s="3547"/>
      <c r="O195" s="3191">
        <f t="shared" si="39"/>
        <v>1</v>
      </c>
      <c r="P195" s="3547"/>
      <c r="Q195" s="3191">
        <f t="shared" si="40"/>
        <v>1</v>
      </c>
      <c r="R195" s="2911">
        <f t="shared" si="41"/>
        <v>0</v>
      </c>
      <c r="S195" s="2965">
        <f t="shared" si="42"/>
        <v>0</v>
      </c>
    </row>
    <row r="196" spans="1:19">
      <c r="A196" s="3193"/>
      <c r="B196" s="3545"/>
      <c r="C196" s="3191">
        <f t="shared" si="33"/>
        <v>1</v>
      </c>
      <c r="D196" s="3547"/>
      <c r="E196" s="3191">
        <f t="shared" si="34"/>
        <v>0</v>
      </c>
      <c r="F196" s="3547"/>
      <c r="G196" s="3191">
        <f t="shared" si="35"/>
        <v>1</v>
      </c>
      <c r="H196" s="3547"/>
      <c r="I196" s="3191">
        <f t="shared" si="36"/>
        <v>1</v>
      </c>
      <c r="J196" s="3547"/>
      <c r="K196" s="3191">
        <f t="shared" si="37"/>
        <v>1</v>
      </c>
      <c r="L196" s="3547"/>
      <c r="M196" s="3191">
        <f t="shared" si="38"/>
        <v>1</v>
      </c>
      <c r="N196" s="3547"/>
      <c r="O196" s="3191">
        <f t="shared" si="39"/>
        <v>1</v>
      </c>
      <c r="P196" s="3547"/>
      <c r="Q196" s="3191">
        <f t="shared" si="40"/>
        <v>1</v>
      </c>
      <c r="R196" s="2911">
        <f t="shared" si="41"/>
        <v>0</v>
      </c>
      <c r="S196" s="2965">
        <f t="shared" si="42"/>
        <v>0</v>
      </c>
    </row>
    <row r="197" spans="1:19">
      <c r="A197" s="3193"/>
      <c r="B197" s="3545"/>
      <c r="C197" s="3191">
        <f t="shared" si="33"/>
        <v>1</v>
      </c>
      <c r="D197" s="3547"/>
      <c r="E197" s="3191">
        <f t="shared" si="34"/>
        <v>0</v>
      </c>
      <c r="F197" s="3547"/>
      <c r="G197" s="3191">
        <f t="shared" si="35"/>
        <v>1</v>
      </c>
      <c r="H197" s="3547"/>
      <c r="I197" s="3191">
        <f t="shared" si="36"/>
        <v>1</v>
      </c>
      <c r="J197" s="3547"/>
      <c r="K197" s="3191">
        <f t="shared" si="37"/>
        <v>1</v>
      </c>
      <c r="L197" s="3547"/>
      <c r="M197" s="3191">
        <f t="shared" si="38"/>
        <v>1</v>
      </c>
      <c r="N197" s="3547"/>
      <c r="O197" s="3191">
        <f t="shared" si="39"/>
        <v>1</v>
      </c>
      <c r="P197" s="3547"/>
      <c r="Q197" s="3191">
        <f t="shared" si="40"/>
        <v>1</v>
      </c>
      <c r="R197" s="2911">
        <f t="shared" si="41"/>
        <v>0</v>
      </c>
      <c r="S197" s="2965">
        <f t="shared" si="42"/>
        <v>0</v>
      </c>
    </row>
    <row r="198" spans="1:19">
      <c r="A198" s="3193"/>
      <c r="B198" s="3545"/>
      <c r="C198" s="3191">
        <f t="shared" si="33"/>
        <v>1</v>
      </c>
      <c r="D198" s="3547"/>
      <c r="E198" s="3191">
        <f t="shared" si="34"/>
        <v>0</v>
      </c>
      <c r="F198" s="3547"/>
      <c r="G198" s="3191">
        <f t="shared" si="35"/>
        <v>1</v>
      </c>
      <c r="H198" s="3547"/>
      <c r="I198" s="3191">
        <f t="shared" si="36"/>
        <v>1</v>
      </c>
      <c r="J198" s="3547"/>
      <c r="K198" s="3191">
        <f t="shared" si="37"/>
        <v>1</v>
      </c>
      <c r="L198" s="3547"/>
      <c r="M198" s="3191">
        <f t="shared" si="38"/>
        <v>1</v>
      </c>
      <c r="N198" s="3547"/>
      <c r="O198" s="3191">
        <f t="shared" si="39"/>
        <v>1</v>
      </c>
      <c r="P198" s="3547"/>
      <c r="Q198" s="3191">
        <f t="shared" si="40"/>
        <v>1</v>
      </c>
      <c r="R198" s="2911">
        <f t="shared" si="41"/>
        <v>0</v>
      </c>
      <c r="S198" s="2965">
        <f t="shared" si="42"/>
        <v>0</v>
      </c>
    </row>
    <row r="199" spans="1:19">
      <c r="A199" s="3193"/>
      <c r="B199" s="3545"/>
      <c r="C199" s="3191">
        <f t="shared" si="33"/>
        <v>1</v>
      </c>
      <c r="D199" s="3547"/>
      <c r="E199" s="3191">
        <f t="shared" si="34"/>
        <v>0</v>
      </c>
      <c r="F199" s="3547"/>
      <c r="G199" s="3191">
        <f t="shared" si="35"/>
        <v>1</v>
      </c>
      <c r="H199" s="3547"/>
      <c r="I199" s="3191">
        <f t="shared" si="36"/>
        <v>1</v>
      </c>
      <c r="J199" s="3547"/>
      <c r="K199" s="3191">
        <f t="shared" si="37"/>
        <v>1</v>
      </c>
      <c r="L199" s="3547"/>
      <c r="M199" s="3191">
        <f t="shared" si="38"/>
        <v>1</v>
      </c>
      <c r="N199" s="3547"/>
      <c r="O199" s="3191">
        <f t="shared" si="39"/>
        <v>1</v>
      </c>
      <c r="P199" s="3547"/>
      <c r="Q199" s="3191">
        <f t="shared" si="40"/>
        <v>1</v>
      </c>
      <c r="R199" s="2911">
        <f t="shared" si="41"/>
        <v>0</v>
      </c>
      <c r="S199" s="2965">
        <f t="shared" si="42"/>
        <v>0</v>
      </c>
    </row>
    <row r="200" spans="1:19">
      <c r="A200" s="3193"/>
      <c r="B200" s="3545"/>
      <c r="C200" s="3191">
        <f t="shared" si="33"/>
        <v>1</v>
      </c>
      <c r="D200" s="3547"/>
      <c r="E200" s="3191">
        <f t="shared" si="34"/>
        <v>0</v>
      </c>
      <c r="F200" s="3547"/>
      <c r="G200" s="3191">
        <f t="shared" si="35"/>
        <v>1</v>
      </c>
      <c r="H200" s="3547"/>
      <c r="I200" s="3191">
        <f t="shared" si="36"/>
        <v>1</v>
      </c>
      <c r="J200" s="3547"/>
      <c r="K200" s="3191">
        <f t="shared" si="37"/>
        <v>1</v>
      </c>
      <c r="L200" s="3547"/>
      <c r="M200" s="3191">
        <f t="shared" si="38"/>
        <v>1</v>
      </c>
      <c r="N200" s="3547"/>
      <c r="O200" s="3191">
        <f t="shared" si="39"/>
        <v>1</v>
      </c>
      <c r="P200" s="3547"/>
      <c r="Q200" s="3191">
        <f t="shared" si="40"/>
        <v>1</v>
      </c>
      <c r="R200" s="2911">
        <f t="shared" si="41"/>
        <v>0</v>
      </c>
      <c r="S200" s="2965">
        <f t="shared" si="42"/>
        <v>0</v>
      </c>
    </row>
    <row r="201" spans="1:19">
      <c r="A201" s="3193"/>
      <c r="B201" s="3545"/>
      <c r="C201" s="3191">
        <f t="shared" si="33"/>
        <v>1</v>
      </c>
      <c r="D201" s="3547"/>
      <c r="E201" s="3191">
        <f t="shared" si="34"/>
        <v>0</v>
      </c>
      <c r="F201" s="3547"/>
      <c r="G201" s="3191">
        <f t="shared" si="35"/>
        <v>1</v>
      </c>
      <c r="H201" s="3547"/>
      <c r="I201" s="3191">
        <f t="shared" si="36"/>
        <v>1</v>
      </c>
      <c r="J201" s="3547"/>
      <c r="K201" s="3191">
        <f t="shared" si="37"/>
        <v>1</v>
      </c>
      <c r="L201" s="3547"/>
      <c r="M201" s="3191">
        <f t="shared" si="38"/>
        <v>1</v>
      </c>
      <c r="N201" s="3547"/>
      <c r="O201" s="3191">
        <f t="shared" si="39"/>
        <v>1</v>
      </c>
      <c r="P201" s="3547"/>
      <c r="Q201" s="3191">
        <f t="shared" si="40"/>
        <v>1</v>
      </c>
      <c r="R201" s="2911">
        <f t="shared" si="41"/>
        <v>0</v>
      </c>
      <c r="S201" s="2965">
        <f t="shared" si="42"/>
        <v>0</v>
      </c>
    </row>
    <row r="202" spans="1:19">
      <c r="A202" s="3193"/>
      <c r="B202" s="3545"/>
      <c r="C202" s="3191">
        <f t="shared" si="33"/>
        <v>1</v>
      </c>
      <c r="D202" s="3547"/>
      <c r="E202" s="3191">
        <f t="shared" si="34"/>
        <v>0</v>
      </c>
      <c r="F202" s="3547"/>
      <c r="G202" s="3191">
        <f t="shared" si="35"/>
        <v>1</v>
      </c>
      <c r="H202" s="3547"/>
      <c r="I202" s="3191">
        <f t="shared" si="36"/>
        <v>1</v>
      </c>
      <c r="J202" s="3547"/>
      <c r="K202" s="3191">
        <f t="shared" si="37"/>
        <v>1</v>
      </c>
      <c r="L202" s="3547"/>
      <c r="M202" s="3191">
        <f t="shared" si="38"/>
        <v>1</v>
      </c>
      <c r="N202" s="3547"/>
      <c r="O202" s="3191">
        <f t="shared" si="39"/>
        <v>1</v>
      </c>
      <c r="P202" s="3547"/>
      <c r="Q202" s="3191">
        <f t="shared" si="40"/>
        <v>1</v>
      </c>
      <c r="R202" s="2911">
        <f t="shared" si="41"/>
        <v>0</v>
      </c>
      <c r="S202" s="2965">
        <f t="shared" si="42"/>
        <v>0</v>
      </c>
    </row>
    <row r="203" spans="1:19">
      <c r="A203" s="3193"/>
      <c r="B203" s="3545"/>
      <c r="C203" s="3191">
        <f t="shared" si="33"/>
        <v>1</v>
      </c>
      <c r="D203" s="3547"/>
      <c r="E203" s="3191">
        <f t="shared" si="34"/>
        <v>0</v>
      </c>
      <c r="F203" s="3547"/>
      <c r="G203" s="3191">
        <f t="shared" si="35"/>
        <v>1</v>
      </c>
      <c r="H203" s="3547"/>
      <c r="I203" s="3191">
        <f t="shared" si="36"/>
        <v>1</v>
      </c>
      <c r="J203" s="3547"/>
      <c r="K203" s="3191">
        <f t="shared" si="37"/>
        <v>1</v>
      </c>
      <c r="L203" s="3547"/>
      <c r="M203" s="3191">
        <f t="shared" si="38"/>
        <v>1</v>
      </c>
      <c r="N203" s="3547"/>
      <c r="O203" s="3191">
        <f t="shared" si="39"/>
        <v>1</v>
      </c>
      <c r="P203" s="3547"/>
      <c r="Q203" s="3191">
        <f t="shared" si="40"/>
        <v>1</v>
      </c>
      <c r="R203" s="2911">
        <f t="shared" si="41"/>
        <v>0</v>
      </c>
      <c r="S203" s="2965">
        <f t="shared" si="42"/>
        <v>0</v>
      </c>
    </row>
    <row r="204" spans="1:19">
      <c r="A204" s="3193"/>
      <c r="B204" s="3545"/>
      <c r="C204" s="3191">
        <f t="shared" si="33"/>
        <v>1</v>
      </c>
      <c r="D204" s="3547"/>
      <c r="E204" s="3191">
        <f t="shared" si="34"/>
        <v>0</v>
      </c>
      <c r="F204" s="3547"/>
      <c r="G204" s="3191">
        <f t="shared" si="35"/>
        <v>1</v>
      </c>
      <c r="H204" s="3547"/>
      <c r="I204" s="3191">
        <f t="shared" si="36"/>
        <v>1</v>
      </c>
      <c r="J204" s="3547"/>
      <c r="K204" s="3191">
        <f t="shared" si="37"/>
        <v>1</v>
      </c>
      <c r="L204" s="3547"/>
      <c r="M204" s="3191">
        <f t="shared" si="38"/>
        <v>1</v>
      </c>
      <c r="N204" s="3547"/>
      <c r="O204" s="3191">
        <f t="shared" si="39"/>
        <v>1</v>
      </c>
      <c r="P204" s="3547"/>
      <c r="Q204" s="3191">
        <f t="shared" si="40"/>
        <v>1</v>
      </c>
      <c r="R204" s="2911">
        <f t="shared" si="41"/>
        <v>0</v>
      </c>
      <c r="S204" s="2965">
        <f t="shared" si="42"/>
        <v>0</v>
      </c>
    </row>
    <row r="205" spans="1:19">
      <c r="A205" s="3193"/>
      <c r="B205" s="3545"/>
      <c r="C205" s="3191">
        <f t="shared" si="33"/>
        <v>1</v>
      </c>
      <c r="D205" s="3547"/>
      <c r="E205" s="3191">
        <f t="shared" si="34"/>
        <v>0</v>
      </c>
      <c r="F205" s="3547"/>
      <c r="G205" s="3191">
        <f t="shared" si="35"/>
        <v>1</v>
      </c>
      <c r="H205" s="3547"/>
      <c r="I205" s="3191">
        <f t="shared" si="36"/>
        <v>1</v>
      </c>
      <c r="J205" s="3547"/>
      <c r="K205" s="3191">
        <f t="shared" si="37"/>
        <v>1</v>
      </c>
      <c r="L205" s="3547"/>
      <c r="M205" s="3191">
        <f t="shared" si="38"/>
        <v>1</v>
      </c>
      <c r="N205" s="3547"/>
      <c r="O205" s="3191">
        <f t="shared" si="39"/>
        <v>1</v>
      </c>
      <c r="P205" s="3547"/>
      <c r="Q205" s="3191">
        <f t="shared" si="40"/>
        <v>1</v>
      </c>
      <c r="R205" s="2911">
        <f t="shared" si="41"/>
        <v>0</v>
      </c>
      <c r="S205" s="2965">
        <f t="shared" si="42"/>
        <v>0</v>
      </c>
    </row>
    <row r="206" spans="1:19">
      <c r="A206" s="3193"/>
      <c r="B206" s="3545"/>
      <c r="C206" s="3191">
        <f t="shared" si="33"/>
        <v>1</v>
      </c>
      <c r="D206" s="3547"/>
      <c r="E206" s="3191">
        <f t="shared" si="34"/>
        <v>0</v>
      </c>
      <c r="F206" s="3547"/>
      <c r="G206" s="3191">
        <f t="shared" si="35"/>
        <v>1</v>
      </c>
      <c r="H206" s="3547"/>
      <c r="I206" s="3191">
        <f t="shared" si="36"/>
        <v>1</v>
      </c>
      <c r="J206" s="3547"/>
      <c r="K206" s="3191">
        <f t="shared" si="37"/>
        <v>1</v>
      </c>
      <c r="L206" s="3547"/>
      <c r="M206" s="3191">
        <f t="shared" si="38"/>
        <v>1</v>
      </c>
      <c r="N206" s="3547"/>
      <c r="O206" s="3191">
        <f t="shared" si="39"/>
        <v>1</v>
      </c>
      <c r="P206" s="3547"/>
      <c r="Q206" s="3191">
        <f t="shared" si="40"/>
        <v>1</v>
      </c>
      <c r="R206" s="2911">
        <f t="shared" si="41"/>
        <v>0</v>
      </c>
      <c r="S206" s="2965">
        <f t="shared" si="42"/>
        <v>0</v>
      </c>
    </row>
    <row r="207" spans="1:19">
      <c r="A207" s="3193"/>
      <c r="B207" s="3545"/>
      <c r="C207" s="3191">
        <f t="shared" si="33"/>
        <v>1</v>
      </c>
      <c r="D207" s="3547"/>
      <c r="E207" s="3191">
        <f t="shared" si="34"/>
        <v>0</v>
      </c>
      <c r="F207" s="3547"/>
      <c r="G207" s="3191">
        <f t="shared" si="35"/>
        <v>1</v>
      </c>
      <c r="H207" s="3547"/>
      <c r="I207" s="3191">
        <f t="shared" si="36"/>
        <v>1</v>
      </c>
      <c r="J207" s="3547"/>
      <c r="K207" s="3191">
        <f t="shared" si="37"/>
        <v>1</v>
      </c>
      <c r="L207" s="3547"/>
      <c r="M207" s="3191">
        <f t="shared" si="38"/>
        <v>1</v>
      </c>
      <c r="N207" s="3547"/>
      <c r="O207" s="3191">
        <f t="shared" si="39"/>
        <v>1</v>
      </c>
      <c r="P207" s="3547"/>
      <c r="Q207" s="3191">
        <f t="shared" si="40"/>
        <v>1</v>
      </c>
      <c r="R207" s="2911">
        <f t="shared" si="41"/>
        <v>0</v>
      </c>
      <c r="S207" s="2965">
        <f t="shared" si="42"/>
        <v>0</v>
      </c>
    </row>
    <row r="208" spans="1:19">
      <c r="A208" s="3193"/>
      <c r="B208" s="3545"/>
      <c r="C208" s="3191">
        <f t="shared" si="33"/>
        <v>1</v>
      </c>
      <c r="D208" s="3547"/>
      <c r="E208" s="3191">
        <f t="shared" si="34"/>
        <v>0</v>
      </c>
      <c r="F208" s="3547"/>
      <c r="G208" s="3191">
        <f t="shared" si="35"/>
        <v>1</v>
      </c>
      <c r="H208" s="3547"/>
      <c r="I208" s="3191">
        <f t="shared" si="36"/>
        <v>1</v>
      </c>
      <c r="J208" s="3547"/>
      <c r="K208" s="3191">
        <f t="shared" si="37"/>
        <v>1</v>
      </c>
      <c r="L208" s="3547"/>
      <c r="M208" s="3191">
        <f t="shared" si="38"/>
        <v>1</v>
      </c>
      <c r="N208" s="3547"/>
      <c r="O208" s="3191">
        <f t="shared" si="39"/>
        <v>1</v>
      </c>
      <c r="P208" s="3547"/>
      <c r="Q208" s="3191">
        <f t="shared" si="40"/>
        <v>1</v>
      </c>
      <c r="R208" s="2911">
        <f t="shared" si="41"/>
        <v>0</v>
      </c>
      <c r="S208" s="2965">
        <f t="shared" si="42"/>
        <v>0</v>
      </c>
    </row>
    <row r="209" spans="1:19">
      <c r="A209" s="3193"/>
      <c r="B209" s="3545"/>
      <c r="C209" s="3191">
        <f t="shared" si="33"/>
        <v>1</v>
      </c>
      <c r="D209" s="3547"/>
      <c r="E209" s="3191">
        <f t="shared" si="34"/>
        <v>0</v>
      </c>
      <c r="F209" s="3547"/>
      <c r="G209" s="3191">
        <f t="shared" si="35"/>
        <v>1</v>
      </c>
      <c r="H209" s="3547"/>
      <c r="I209" s="3191">
        <f t="shared" si="36"/>
        <v>1</v>
      </c>
      <c r="J209" s="3547"/>
      <c r="K209" s="3191">
        <f t="shared" si="37"/>
        <v>1</v>
      </c>
      <c r="L209" s="3547"/>
      <c r="M209" s="3191">
        <f t="shared" si="38"/>
        <v>1</v>
      </c>
      <c r="N209" s="3547"/>
      <c r="O209" s="3191">
        <f t="shared" si="39"/>
        <v>1</v>
      </c>
      <c r="P209" s="3547"/>
      <c r="Q209" s="3191">
        <f t="shared" si="40"/>
        <v>1</v>
      </c>
      <c r="R209" s="2911">
        <f t="shared" si="41"/>
        <v>0</v>
      </c>
      <c r="S209" s="2965">
        <f t="shared" si="42"/>
        <v>0</v>
      </c>
    </row>
    <row r="210" spans="1:19">
      <c r="A210" s="3193"/>
      <c r="B210" s="3545"/>
      <c r="C210" s="3191">
        <f t="shared" si="33"/>
        <v>1</v>
      </c>
      <c r="D210" s="3547"/>
      <c r="E210" s="3191">
        <f t="shared" si="34"/>
        <v>0</v>
      </c>
      <c r="F210" s="3547"/>
      <c r="G210" s="3191">
        <f t="shared" si="35"/>
        <v>1</v>
      </c>
      <c r="H210" s="3547"/>
      <c r="I210" s="3191">
        <f t="shared" si="36"/>
        <v>1</v>
      </c>
      <c r="J210" s="3547"/>
      <c r="K210" s="3191">
        <f t="shared" si="37"/>
        <v>1</v>
      </c>
      <c r="L210" s="3547"/>
      <c r="M210" s="3191">
        <f t="shared" si="38"/>
        <v>1</v>
      </c>
      <c r="N210" s="3547"/>
      <c r="O210" s="3191">
        <f t="shared" si="39"/>
        <v>1</v>
      </c>
      <c r="P210" s="3547"/>
      <c r="Q210" s="3191">
        <f t="shared" si="40"/>
        <v>1</v>
      </c>
      <c r="R210" s="2911">
        <f t="shared" si="41"/>
        <v>0</v>
      </c>
      <c r="S210" s="2965">
        <f t="shared" si="42"/>
        <v>0</v>
      </c>
    </row>
    <row r="211" spans="1:19">
      <c r="A211" s="3193"/>
      <c r="B211" s="3545"/>
      <c r="C211" s="3191">
        <f t="shared" si="33"/>
        <v>1</v>
      </c>
      <c r="D211" s="3547"/>
      <c r="E211" s="3191">
        <f t="shared" si="34"/>
        <v>0</v>
      </c>
      <c r="F211" s="3547"/>
      <c r="G211" s="3191">
        <f t="shared" si="35"/>
        <v>1</v>
      </c>
      <c r="H211" s="3547"/>
      <c r="I211" s="3191">
        <f t="shared" si="36"/>
        <v>1</v>
      </c>
      <c r="J211" s="3547"/>
      <c r="K211" s="3191">
        <f t="shared" si="37"/>
        <v>1</v>
      </c>
      <c r="L211" s="3547"/>
      <c r="M211" s="3191">
        <f t="shared" si="38"/>
        <v>1</v>
      </c>
      <c r="N211" s="3547"/>
      <c r="O211" s="3191">
        <f t="shared" si="39"/>
        <v>1</v>
      </c>
      <c r="P211" s="3547"/>
      <c r="Q211" s="3191">
        <f t="shared" si="40"/>
        <v>1</v>
      </c>
      <c r="R211" s="2911">
        <f t="shared" si="41"/>
        <v>0</v>
      </c>
      <c r="S211" s="2965">
        <f t="shared" si="42"/>
        <v>0</v>
      </c>
    </row>
    <row r="212" spans="1:19">
      <c r="A212" s="3193"/>
      <c r="B212" s="3545"/>
      <c r="C212" s="3191">
        <f t="shared" si="33"/>
        <v>1</v>
      </c>
      <c r="D212" s="3547"/>
      <c r="E212" s="3191">
        <f t="shared" si="34"/>
        <v>0</v>
      </c>
      <c r="F212" s="3547"/>
      <c r="G212" s="3191">
        <f t="shared" si="35"/>
        <v>1</v>
      </c>
      <c r="H212" s="3547"/>
      <c r="I212" s="3191">
        <f t="shared" si="36"/>
        <v>1</v>
      </c>
      <c r="J212" s="3547"/>
      <c r="K212" s="3191">
        <f t="shared" si="37"/>
        <v>1</v>
      </c>
      <c r="L212" s="3547"/>
      <c r="M212" s="3191">
        <f t="shared" si="38"/>
        <v>1</v>
      </c>
      <c r="N212" s="3547"/>
      <c r="O212" s="3191">
        <f t="shared" si="39"/>
        <v>1</v>
      </c>
      <c r="P212" s="3547"/>
      <c r="Q212" s="3191">
        <f t="shared" si="40"/>
        <v>1</v>
      </c>
      <c r="R212" s="2911">
        <f t="shared" si="41"/>
        <v>0</v>
      </c>
      <c r="S212" s="2965">
        <f t="shared" si="42"/>
        <v>0</v>
      </c>
    </row>
    <row r="213" spans="1:19">
      <c r="A213" s="3193"/>
      <c r="B213" s="3545"/>
      <c r="C213" s="3191">
        <f t="shared" si="33"/>
        <v>1</v>
      </c>
      <c r="D213" s="3547"/>
      <c r="E213" s="3191">
        <f t="shared" si="34"/>
        <v>0</v>
      </c>
      <c r="F213" s="3547"/>
      <c r="G213" s="3191">
        <f t="shared" si="35"/>
        <v>1</v>
      </c>
      <c r="H213" s="3547"/>
      <c r="I213" s="3191">
        <f t="shared" si="36"/>
        <v>1</v>
      </c>
      <c r="J213" s="3547"/>
      <c r="K213" s="3191">
        <f t="shared" si="37"/>
        <v>1</v>
      </c>
      <c r="L213" s="3547"/>
      <c r="M213" s="3191">
        <f t="shared" si="38"/>
        <v>1</v>
      </c>
      <c r="N213" s="3547"/>
      <c r="O213" s="3191">
        <f t="shared" si="39"/>
        <v>1</v>
      </c>
      <c r="P213" s="3547"/>
      <c r="Q213" s="3191">
        <f t="shared" si="40"/>
        <v>1</v>
      </c>
      <c r="R213" s="2911">
        <f t="shared" si="41"/>
        <v>0</v>
      </c>
      <c r="S213" s="2965">
        <f t="shared" si="42"/>
        <v>0</v>
      </c>
    </row>
    <row r="214" spans="1:19">
      <c r="A214" s="3193"/>
      <c r="B214" s="3545"/>
      <c r="C214" s="3191">
        <f t="shared" si="33"/>
        <v>1</v>
      </c>
      <c r="D214" s="3547"/>
      <c r="E214" s="3191">
        <f t="shared" si="34"/>
        <v>0</v>
      </c>
      <c r="F214" s="3547"/>
      <c r="G214" s="3191">
        <f t="shared" si="35"/>
        <v>1</v>
      </c>
      <c r="H214" s="3547"/>
      <c r="I214" s="3191">
        <f t="shared" si="36"/>
        <v>1</v>
      </c>
      <c r="J214" s="3547"/>
      <c r="K214" s="3191">
        <f t="shared" si="37"/>
        <v>1</v>
      </c>
      <c r="L214" s="3547"/>
      <c r="M214" s="3191">
        <f t="shared" si="38"/>
        <v>1</v>
      </c>
      <c r="N214" s="3547"/>
      <c r="O214" s="3191">
        <f t="shared" si="39"/>
        <v>1</v>
      </c>
      <c r="P214" s="3547"/>
      <c r="Q214" s="3191">
        <f t="shared" si="40"/>
        <v>1</v>
      </c>
      <c r="R214" s="2911">
        <f t="shared" si="41"/>
        <v>0</v>
      </c>
      <c r="S214" s="2965">
        <f t="shared" si="42"/>
        <v>0</v>
      </c>
    </row>
    <row r="215" spans="1:19">
      <c r="A215" s="3193"/>
      <c r="B215" s="3545"/>
      <c r="C215" s="3191">
        <f t="shared" si="33"/>
        <v>1</v>
      </c>
      <c r="D215" s="3547"/>
      <c r="E215" s="3191">
        <f t="shared" si="34"/>
        <v>0</v>
      </c>
      <c r="F215" s="3547"/>
      <c r="G215" s="3191">
        <f t="shared" si="35"/>
        <v>1</v>
      </c>
      <c r="H215" s="3547"/>
      <c r="I215" s="3191">
        <f t="shared" si="36"/>
        <v>1</v>
      </c>
      <c r="J215" s="3547"/>
      <c r="K215" s="3191">
        <f t="shared" si="37"/>
        <v>1</v>
      </c>
      <c r="L215" s="3547"/>
      <c r="M215" s="3191">
        <f t="shared" si="38"/>
        <v>1</v>
      </c>
      <c r="N215" s="3547"/>
      <c r="O215" s="3191">
        <f t="shared" si="39"/>
        <v>1</v>
      </c>
      <c r="P215" s="3547"/>
      <c r="Q215" s="3191">
        <f t="shared" si="40"/>
        <v>1</v>
      </c>
      <c r="R215" s="2911">
        <f t="shared" si="41"/>
        <v>0</v>
      </c>
      <c r="S215" s="2965">
        <f t="shared" si="42"/>
        <v>0</v>
      </c>
    </row>
    <row r="216" spans="1:19">
      <c r="A216" s="3193"/>
      <c r="B216" s="3545"/>
      <c r="C216" s="3191">
        <f t="shared" si="33"/>
        <v>1</v>
      </c>
      <c r="D216" s="3547"/>
      <c r="E216" s="3191">
        <f t="shared" si="34"/>
        <v>0</v>
      </c>
      <c r="F216" s="3547"/>
      <c r="G216" s="3191">
        <f t="shared" si="35"/>
        <v>1</v>
      </c>
      <c r="H216" s="3547"/>
      <c r="I216" s="3191">
        <f t="shared" si="36"/>
        <v>1</v>
      </c>
      <c r="J216" s="3547"/>
      <c r="K216" s="3191">
        <f t="shared" si="37"/>
        <v>1</v>
      </c>
      <c r="L216" s="3547"/>
      <c r="M216" s="3191">
        <f t="shared" si="38"/>
        <v>1</v>
      </c>
      <c r="N216" s="3547"/>
      <c r="O216" s="3191">
        <f t="shared" si="39"/>
        <v>1</v>
      </c>
      <c r="P216" s="3547"/>
      <c r="Q216" s="3191">
        <f t="shared" si="40"/>
        <v>1</v>
      </c>
      <c r="R216" s="2911">
        <f t="shared" si="41"/>
        <v>0</v>
      </c>
      <c r="S216" s="2965">
        <f t="shared" si="42"/>
        <v>0</v>
      </c>
    </row>
    <row r="217" spans="1:19">
      <c r="A217" s="3193"/>
      <c r="B217" s="3545"/>
      <c r="C217" s="3191">
        <f t="shared" si="33"/>
        <v>1</v>
      </c>
      <c r="D217" s="3547"/>
      <c r="E217" s="3191">
        <f t="shared" si="34"/>
        <v>0</v>
      </c>
      <c r="F217" s="3547"/>
      <c r="G217" s="3191">
        <f t="shared" si="35"/>
        <v>1</v>
      </c>
      <c r="H217" s="3547"/>
      <c r="I217" s="3191">
        <f t="shared" si="36"/>
        <v>1</v>
      </c>
      <c r="J217" s="3547"/>
      <c r="K217" s="3191">
        <f t="shared" si="37"/>
        <v>1</v>
      </c>
      <c r="L217" s="3547"/>
      <c r="M217" s="3191">
        <f t="shared" si="38"/>
        <v>1</v>
      </c>
      <c r="N217" s="3547"/>
      <c r="O217" s="3191">
        <f t="shared" si="39"/>
        <v>1</v>
      </c>
      <c r="P217" s="3547"/>
      <c r="Q217" s="3191">
        <f t="shared" si="40"/>
        <v>1</v>
      </c>
      <c r="R217" s="2911">
        <f t="shared" si="41"/>
        <v>0</v>
      </c>
      <c r="S217" s="2965">
        <f t="shared" si="42"/>
        <v>0</v>
      </c>
    </row>
    <row r="218" spans="1:19">
      <c r="A218" s="3193"/>
      <c r="B218" s="3545"/>
      <c r="C218" s="3191">
        <f t="shared" ref="C218:C281" si="43">IF(B218="",1,(LOOKUP(B218,$3:$3,$4:$4)-LOOKUP($B$24,$3:$3,$4:$4)+100)/100)</f>
        <v>1</v>
      </c>
      <c r="D218" s="3547"/>
      <c r="E218" s="3191">
        <f t="shared" ref="E218:E281" si="44">(SUMIF($5:$5,D218,$6:$6)-SUMIF($5:$5,$D$24,$6:$6)+100)/100</f>
        <v>0</v>
      </c>
      <c r="F218" s="3547"/>
      <c r="G218" s="3191">
        <f t="shared" ref="G218:G281" si="45">(SUMIF($7:$7,F218,$8:$8)-SUMIF($7:$7,$F$24,$8:$8)+100)/100</f>
        <v>1</v>
      </c>
      <c r="H218" s="3547"/>
      <c r="I218" s="3191">
        <f t="shared" ref="I218:I281" si="46">(SUMIF($9:$9,H218,$10:$10)-SUMIF($9:$9,$H$24,$10:$10)+100)/100</f>
        <v>1</v>
      </c>
      <c r="J218" s="3547"/>
      <c r="K218" s="3191">
        <f t="shared" ref="K218:K281" si="47">(SUMIF($11:$11,J218,$12:$12)-SUMIF($11:$11,$J$24,$12:$12)+100)/100</f>
        <v>1</v>
      </c>
      <c r="L218" s="3547"/>
      <c r="M218" s="3191">
        <f t="shared" ref="M218:M281" si="48">(SUMIF($13:$13,L218,$14:$14)-SUMIF($13:$13,$L$24,$14:$14)+100)/100</f>
        <v>1</v>
      </c>
      <c r="N218" s="3547"/>
      <c r="O218" s="3191">
        <f t="shared" ref="O218:O281" si="49">(SUMIF($15:$15,N218,$16:$16)-SUMIF($15:$15,$N$24,$16:$16)+100)/100</f>
        <v>1</v>
      </c>
      <c r="P218" s="3547"/>
      <c r="Q218" s="3191">
        <f t="shared" ref="Q218:Q281" si="50">(SUMIF($17:$17,P218,$18:$18)-SUMIF($17:$17,$P$24,$18:$18)+100)/100</f>
        <v>1</v>
      </c>
      <c r="R218" s="2911">
        <f t="shared" ref="R218:R281" si="51">IF(B218="",0,ROUND($R$24*C218*E218*G218*I218*K218*M218*O218*Q218,0))</f>
        <v>0</v>
      </c>
      <c r="S218" s="2965">
        <f t="shared" si="42"/>
        <v>0</v>
      </c>
    </row>
    <row r="219" spans="1:19">
      <c r="A219" s="3193"/>
      <c r="B219" s="3545"/>
      <c r="C219" s="3191">
        <f t="shared" si="43"/>
        <v>1</v>
      </c>
      <c r="D219" s="3547"/>
      <c r="E219" s="3191">
        <f t="shared" si="44"/>
        <v>0</v>
      </c>
      <c r="F219" s="3547"/>
      <c r="G219" s="3191">
        <f t="shared" si="45"/>
        <v>1</v>
      </c>
      <c r="H219" s="3547"/>
      <c r="I219" s="3191">
        <f t="shared" si="46"/>
        <v>1</v>
      </c>
      <c r="J219" s="3547"/>
      <c r="K219" s="3191">
        <f t="shared" si="47"/>
        <v>1</v>
      </c>
      <c r="L219" s="3547"/>
      <c r="M219" s="3191">
        <f t="shared" si="48"/>
        <v>1</v>
      </c>
      <c r="N219" s="3547"/>
      <c r="O219" s="3191">
        <f t="shared" si="49"/>
        <v>1</v>
      </c>
      <c r="P219" s="3547"/>
      <c r="Q219" s="3191">
        <f t="shared" si="50"/>
        <v>1</v>
      </c>
      <c r="R219" s="2911">
        <f t="shared" si="51"/>
        <v>0</v>
      </c>
      <c r="S219" s="2965">
        <f t="shared" si="42"/>
        <v>0</v>
      </c>
    </row>
    <row r="220" spans="1:19">
      <c r="A220" s="3193"/>
      <c r="B220" s="3545"/>
      <c r="C220" s="3191">
        <f t="shared" si="43"/>
        <v>1</v>
      </c>
      <c r="D220" s="3547"/>
      <c r="E220" s="3191">
        <f t="shared" si="44"/>
        <v>0</v>
      </c>
      <c r="F220" s="3547"/>
      <c r="G220" s="3191">
        <f t="shared" si="45"/>
        <v>1</v>
      </c>
      <c r="H220" s="3547"/>
      <c r="I220" s="3191">
        <f t="shared" si="46"/>
        <v>1</v>
      </c>
      <c r="J220" s="3547"/>
      <c r="K220" s="3191">
        <f t="shared" si="47"/>
        <v>1</v>
      </c>
      <c r="L220" s="3547"/>
      <c r="M220" s="3191">
        <f t="shared" si="48"/>
        <v>1</v>
      </c>
      <c r="N220" s="3547"/>
      <c r="O220" s="3191">
        <f t="shared" si="49"/>
        <v>1</v>
      </c>
      <c r="P220" s="3547"/>
      <c r="Q220" s="3191">
        <f t="shared" si="50"/>
        <v>1</v>
      </c>
      <c r="R220" s="2911">
        <f t="shared" si="51"/>
        <v>0</v>
      </c>
      <c r="S220" s="2965">
        <f t="shared" si="42"/>
        <v>0</v>
      </c>
    </row>
    <row r="221" spans="1:19">
      <c r="A221" s="3193"/>
      <c r="B221" s="3545"/>
      <c r="C221" s="3191">
        <f t="shared" si="43"/>
        <v>1</v>
      </c>
      <c r="D221" s="3547"/>
      <c r="E221" s="3191">
        <f t="shared" si="44"/>
        <v>0</v>
      </c>
      <c r="F221" s="3547"/>
      <c r="G221" s="3191">
        <f t="shared" si="45"/>
        <v>1</v>
      </c>
      <c r="H221" s="3547"/>
      <c r="I221" s="3191">
        <f t="shared" si="46"/>
        <v>1</v>
      </c>
      <c r="J221" s="3547"/>
      <c r="K221" s="3191">
        <f t="shared" si="47"/>
        <v>1</v>
      </c>
      <c r="L221" s="3547"/>
      <c r="M221" s="3191">
        <f t="shared" si="48"/>
        <v>1</v>
      </c>
      <c r="N221" s="3547"/>
      <c r="O221" s="3191">
        <f t="shared" si="49"/>
        <v>1</v>
      </c>
      <c r="P221" s="3547"/>
      <c r="Q221" s="3191">
        <f t="shared" si="50"/>
        <v>1</v>
      </c>
      <c r="R221" s="2911">
        <f t="shared" si="51"/>
        <v>0</v>
      </c>
      <c r="S221" s="2965">
        <f t="shared" si="42"/>
        <v>0</v>
      </c>
    </row>
    <row r="222" spans="1:19">
      <c r="A222" s="3193"/>
      <c r="B222" s="3545"/>
      <c r="C222" s="3191">
        <f t="shared" si="43"/>
        <v>1</v>
      </c>
      <c r="D222" s="3547"/>
      <c r="E222" s="3191">
        <f t="shared" si="44"/>
        <v>0</v>
      </c>
      <c r="F222" s="3547"/>
      <c r="G222" s="3191">
        <f t="shared" si="45"/>
        <v>1</v>
      </c>
      <c r="H222" s="3547"/>
      <c r="I222" s="3191">
        <f t="shared" si="46"/>
        <v>1</v>
      </c>
      <c r="J222" s="3547"/>
      <c r="K222" s="3191">
        <f t="shared" si="47"/>
        <v>1</v>
      </c>
      <c r="L222" s="3547"/>
      <c r="M222" s="3191">
        <f t="shared" si="48"/>
        <v>1</v>
      </c>
      <c r="N222" s="3547"/>
      <c r="O222" s="3191">
        <f t="shared" si="49"/>
        <v>1</v>
      </c>
      <c r="P222" s="3547"/>
      <c r="Q222" s="3191">
        <f t="shared" si="50"/>
        <v>1</v>
      </c>
      <c r="R222" s="2911">
        <f t="shared" si="51"/>
        <v>0</v>
      </c>
      <c r="S222" s="2965">
        <f t="shared" si="42"/>
        <v>0</v>
      </c>
    </row>
    <row r="223" spans="1:19">
      <c r="A223" s="3193"/>
      <c r="B223" s="3545"/>
      <c r="C223" s="3191">
        <f t="shared" si="43"/>
        <v>1</v>
      </c>
      <c r="D223" s="3547"/>
      <c r="E223" s="3191">
        <f t="shared" si="44"/>
        <v>0</v>
      </c>
      <c r="F223" s="3547"/>
      <c r="G223" s="3191">
        <f t="shared" si="45"/>
        <v>1</v>
      </c>
      <c r="H223" s="3547"/>
      <c r="I223" s="3191">
        <f t="shared" si="46"/>
        <v>1</v>
      </c>
      <c r="J223" s="3547"/>
      <c r="K223" s="3191">
        <f t="shared" si="47"/>
        <v>1</v>
      </c>
      <c r="L223" s="3547"/>
      <c r="M223" s="3191">
        <f t="shared" si="48"/>
        <v>1</v>
      </c>
      <c r="N223" s="3547"/>
      <c r="O223" s="3191">
        <f t="shared" si="49"/>
        <v>1</v>
      </c>
      <c r="P223" s="3547"/>
      <c r="Q223" s="3191">
        <f t="shared" si="50"/>
        <v>1</v>
      </c>
      <c r="R223" s="2911">
        <f t="shared" si="51"/>
        <v>0</v>
      </c>
      <c r="S223" s="2965">
        <f t="shared" ref="S223:S286" si="52">ROUND(R223*B223/10000,0)</f>
        <v>0</v>
      </c>
    </row>
    <row r="224" spans="1:19">
      <c r="A224" s="3193"/>
      <c r="B224" s="3545"/>
      <c r="C224" s="3191">
        <f t="shared" si="43"/>
        <v>1</v>
      </c>
      <c r="D224" s="3547"/>
      <c r="E224" s="3191">
        <f t="shared" si="44"/>
        <v>0</v>
      </c>
      <c r="F224" s="3547"/>
      <c r="G224" s="3191">
        <f t="shared" si="45"/>
        <v>1</v>
      </c>
      <c r="H224" s="3547"/>
      <c r="I224" s="3191">
        <f t="shared" si="46"/>
        <v>1</v>
      </c>
      <c r="J224" s="3547"/>
      <c r="K224" s="3191">
        <f t="shared" si="47"/>
        <v>1</v>
      </c>
      <c r="L224" s="3547"/>
      <c r="M224" s="3191">
        <f t="shared" si="48"/>
        <v>1</v>
      </c>
      <c r="N224" s="3547"/>
      <c r="O224" s="3191">
        <f t="shared" si="49"/>
        <v>1</v>
      </c>
      <c r="P224" s="3547"/>
      <c r="Q224" s="3191">
        <f t="shared" si="50"/>
        <v>1</v>
      </c>
      <c r="R224" s="2911">
        <f t="shared" si="51"/>
        <v>0</v>
      </c>
      <c r="S224" s="2965">
        <f t="shared" si="52"/>
        <v>0</v>
      </c>
    </row>
    <row r="225" spans="1:19">
      <c r="A225" s="3193"/>
      <c r="B225" s="3545"/>
      <c r="C225" s="3191">
        <f t="shared" si="43"/>
        <v>1</v>
      </c>
      <c r="D225" s="3547"/>
      <c r="E225" s="3191">
        <f t="shared" si="44"/>
        <v>0</v>
      </c>
      <c r="F225" s="3547"/>
      <c r="G225" s="3191">
        <f t="shared" si="45"/>
        <v>1</v>
      </c>
      <c r="H225" s="3547"/>
      <c r="I225" s="3191">
        <f t="shared" si="46"/>
        <v>1</v>
      </c>
      <c r="J225" s="3547"/>
      <c r="K225" s="3191">
        <f t="shared" si="47"/>
        <v>1</v>
      </c>
      <c r="L225" s="3547"/>
      <c r="M225" s="3191">
        <f t="shared" si="48"/>
        <v>1</v>
      </c>
      <c r="N225" s="3547"/>
      <c r="O225" s="3191">
        <f t="shared" si="49"/>
        <v>1</v>
      </c>
      <c r="P225" s="3547"/>
      <c r="Q225" s="3191">
        <f t="shared" si="50"/>
        <v>1</v>
      </c>
      <c r="R225" s="2911">
        <f t="shared" si="51"/>
        <v>0</v>
      </c>
      <c r="S225" s="2965">
        <f t="shared" si="52"/>
        <v>0</v>
      </c>
    </row>
    <row r="226" spans="1:19">
      <c r="A226" s="3193"/>
      <c r="B226" s="3545"/>
      <c r="C226" s="3191">
        <f t="shared" si="43"/>
        <v>1</v>
      </c>
      <c r="D226" s="3547"/>
      <c r="E226" s="3191">
        <f t="shared" si="44"/>
        <v>0</v>
      </c>
      <c r="F226" s="3547"/>
      <c r="G226" s="3191">
        <f t="shared" si="45"/>
        <v>1</v>
      </c>
      <c r="H226" s="3547"/>
      <c r="I226" s="3191">
        <f t="shared" si="46"/>
        <v>1</v>
      </c>
      <c r="J226" s="3547"/>
      <c r="K226" s="3191">
        <f t="shared" si="47"/>
        <v>1</v>
      </c>
      <c r="L226" s="3547"/>
      <c r="M226" s="3191">
        <f t="shared" si="48"/>
        <v>1</v>
      </c>
      <c r="N226" s="3547"/>
      <c r="O226" s="3191">
        <f t="shared" si="49"/>
        <v>1</v>
      </c>
      <c r="P226" s="3547"/>
      <c r="Q226" s="3191">
        <f t="shared" si="50"/>
        <v>1</v>
      </c>
      <c r="R226" s="2911">
        <f t="shared" si="51"/>
        <v>0</v>
      </c>
      <c r="S226" s="2965">
        <f t="shared" si="52"/>
        <v>0</v>
      </c>
    </row>
    <row r="227" spans="1:19">
      <c r="A227" s="3193"/>
      <c r="B227" s="3545"/>
      <c r="C227" s="3191">
        <f t="shared" si="43"/>
        <v>1</v>
      </c>
      <c r="D227" s="3547"/>
      <c r="E227" s="3191">
        <f t="shared" si="44"/>
        <v>0</v>
      </c>
      <c r="F227" s="3547"/>
      <c r="G227" s="3191">
        <f t="shared" si="45"/>
        <v>1</v>
      </c>
      <c r="H227" s="3547"/>
      <c r="I227" s="3191">
        <f t="shared" si="46"/>
        <v>1</v>
      </c>
      <c r="J227" s="3547"/>
      <c r="K227" s="3191">
        <f t="shared" si="47"/>
        <v>1</v>
      </c>
      <c r="L227" s="3547"/>
      <c r="M227" s="3191">
        <f t="shared" si="48"/>
        <v>1</v>
      </c>
      <c r="N227" s="3547"/>
      <c r="O227" s="3191">
        <f t="shared" si="49"/>
        <v>1</v>
      </c>
      <c r="P227" s="3547"/>
      <c r="Q227" s="3191">
        <f t="shared" si="50"/>
        <v>1</v>
      </c>
      <c r="R227" s="2911">
        <f t="shared" si="51"/>
        <v>0</v>
      </c>
      <c r="S227" s="2965">
        <f t="shared" si="52"/>
        <v>0</v>
      </c>
    </row>
    <row r="228" spans="1:19">
      <c r="A228" s="3193"/>
      <c r="B228" s="3545"/>
      <c r="C228" s="3191">
        <f t="shared" si="43"/>
        <v>1</v>
      </c>
      <c r="D228" s="3547"/>
      <c r="E228" s="3191">
        <f t="shared" si="44"/>
        <v>0</v>
      </c>
      <c r="F228" s="3547"/>
      <c r="G228" s="3191">
        <f t="shared" si="45"/>
        <v>1</v>
      </c>
      <c r="H228" s="3547"/>
      <c r="I228" s="3191">
        <f t="shared" si="46"/>
        <v>1</v>
      </c>
      <c r="J228" s="3547"/>
      <c r="K228" s="3191">
        <f t="shared" si="47"/>
        <v>1</v>
      </c>
      <c r="L228" s="3547"/>
      <c r="M228" s="3191">
        <f t="shared" si="48"/>
        <v>1</v>
      </c>
      <c r="N228" s="3547"/>
      <c r="O228" s="3191">
        <f t="shared" si="49"/>
        <v>1</v>
      </c>
      <c r="P228" s="3547"/>
      <c r="Q228" s="3191">
        <f t="shared" si="50"/>
        <v>1</v>
      </c>
      <c r="R228" s="2911">
        <f t="shared" si="51"/>
        <v>0</v>
      </c>
      <c r="S228" s="2965">
        <f t="shared" si="52"/>
        <v>0</v>
      </c>
    </row>
    <row r="229" spans="1:19">
      <c r="A229" s="3193"/>
      <c r="B229" s="3545"/>
      <c r="C229" s="3191">
        <f t="shared" si="43"/>
        <v>1</v>
      </c>
      <c r="D229" s="3547"/>
      <c r="E229" s="3191">
        <f t="shared" si="44"/>
        <v>0</v>
      </c>
      <c r="F229" s="3547"/>
      <c r="G229" s="3191">
        <f t="shared" si="45"/>
        <v>1</v>
      </c>
      <c r="H229" s="3547"/>
      <c r="I229" s="3191">
        <f t="shared" si="46"/>
        <v>1</v>
      </c>
      <c r="J229" s="3547"/>
      <c r="K229" s="3191">
        <f t="shared" si="47"/>
        <v>1</v>
      </c>
      <c r="L229" s="3547"/>
      <c r="M229" s="3191">
        <f t="shared" si="48"/>
        <v>1</v>
      </c>
      <c r="N229" s="3547"/>
      <c r="O229" s="3191">
        <f t="shared" si="49"/>
        <v>1</v>
      </c>
      <c r="P229" s="3547"/>
      <c r="Q229" s="3191">
        <f t="shared" si="50"/>
        <v>1</v>
      </c>
      <c r="R229" s="2911">
        <f t="shared" si="51"/>
        <v>0</v>
      </c>
      <c r="S229" s="2965">
        <f t="shared" si="52"/>
        <v>0</v>
      </c>
    </row>
    <row r="230" spans="1:19">
      <c r="A230" s="3193"/>
      <c r="B230" s="3545"/>
      <c r="C230" s="3191">
        <f t="shared" si="43"/>
        <v>1</v>
      </c>
      <c r="D230" s="3547"/>
      <c r="E230" s="3191">
        <f t="shared" si="44"/>
        <v>0</v>
      </c>
      <c r="F230" s="3547"/>
      <c r="G230" s="3191">
        <f t="shared" si="45"/>
        <v>1</v>
      </c>
      <c r="H230" s="3547"/>
      <c r="I230" s="3191">
        <f t="shared" si="46"/>
        <v>1</v>
      </c>
      <c r="J230" s="3547"/>
      <c r="K230" s="3191">
        <f t="shared" si="47"/>
        <v>1</v>
      </c>
      <c r="L230" s="3547"/>
      <c r="M230" s="3191">
        <f t="shared" si="48"/>
        <v>1</v>
      </c>
      <c r="N230" s="3547"/>
      <c r="O230" s="3191">
        <f t="shared" si="49"/>
        <v>1</v>
      </c>
      <c r="P230" s="3547"/>
      <c r="Q230" s="3191">
        <f t="shared" si="50"/>
        <v>1</v>
      </c>
      <c r="R230" s="2911">
        <f t="shared" si="51"/>
        <v>0</v>
      </c>
      <c r="S230" s="2965">
        <f t="shared" si="52"/>
        <v>0</v>
      </c>
    </row>
    <row r="231" spans="1:19">
      <c r="A231" s="3193"/>
      <c r="B231" s="3545"/>
      <c r="C231" s="3191">
        <f t="shared" si="43"/>
        <v>1</v>
      </c>
      <c r="D231" s="3547"/>
      <c r="E231" s="3191">
        <f t="shared" si="44"/>
        <v>0</v>
      </c>
      <c r="F231" s="3547"/>
      <c r="G231" s="3191">
        <f t="shared" si="45"/>
        <v>1</v>
      </c>
      <c r="H231" s="3547"/>
      <c r="I231" s="3191">
        <f t="shared" si="46"/>
        <v>1</v>
      </c>
      <c r="J231" s="3547"/>
      <c r="K231" s="3191">
        <f t="shared" si="47"/>
        <v>1</v>
      </c>
      <c r="L231" s="3547"/>
      <c r="M231" s="3191">
        <f t="shared" si="48"/>
        <v>1</v>
      </c>
      <c r="N231" s="3547"/>
      <c r="O231" s="3191">
        <f t="shared" si="49"/>
        <v>1</v>
      </c>
      <c r="P231" s="3547"/>
      <c r="Q231" s="3191">
        <f t="shared" si="50"/>
        <v>1</v>
      </c>
      <c r="R231" s="2911">
        <f t="shared" si="51"/>
        <v>0</v>
      </c>
      <c r="S231" s="2965">
        <f t="shared" si="52"/>
        <v>0</v>
      </c>
    </row>
    <row r="232" spans="1:19">
      <c r="A232" s="3193"/>
      <c r="B232" s="3545"/>
      <c r="C232" s="3191">
        <f t="shared" si="43"/>
        <v>1</v>
      </c>
      <c r="D232" s="3547"/>
      <c r="E232" s="3191">
        <f t="shared" si="44"/>
        <v>0</v>
      </c>
      <c r="F232" s="3547"/>
      <c r="G232" s="3191">
        <f t="shared" si="45"/>
        <v>1</v>
      </c>
      <c r="H232" s="3547"/>
      <c r="I232" s="3191">
        <f t="shared" si="46"/>
        <v>1</v>
      </c>
      <c r="J232" s="3547"/>
      <c r="K232" s="3191">
        <f t="shared" si="47"/>
        <v>1</v>
      </c>
      <c r="L232" s="3547"/>
      <c r="M232" s="3191">
        <f t="shared" si="48"/>
        <v>1</v>
      </c>
      <c r="N232" s="3547"/>
      <c r="O232" s="3191">
        <f t="shared" si="49"/>
        <v>1</v>
      </c>
      <c r="P232" s="3547"/>
      <c r="Q232" s="3191">
        <f t="shared" si="50"/>
        <v>1</v>
      </c>
      <c r="R232" s="2911">
        <f t="shared" si="51"/>
        <v>0</v>
      </c>
      <c r="S232" s="2965">
        <f t="shared" si="52"/>
        <v>0</v>
      </c>
    </row>
    <row r="233" spans="1:19">
      <c r="A233" s="3193"/>
      <c r="B233" s="3545"/>
      <c r="C233" s="3191">
        <f t="shared" si="43"/>
        <v>1</v>
      </c>
      <c r="D233" s="3547"/>
      <c r="E233" s="3191">
        <f t="shared" si="44"/>
        <v>0</v>
      </c>
      <c r="F233" s="3547"/>
      <c r="G233" s="3191">
        <f t="shared" si="45"/>
        <v>1</v>
      </c>
      <c r="H233" s="3547"/>
      <c r="I233" s="3191">
        <f t="shared" si="46"/>
        <v>1</v>
      </c>
      <c r="J233" s="3547"/>
      <c r="K233" s="3191">
        <f t="shared" si="47"/>
        <v>1</v>
      </c>
      <c r="L233" s="3547"/>
      <c r="M233" s="3191">
        <f t="shared" si="48"/>
        <v>1</v>
      </c>
      <c r="N233" s="3547"/>
      <c r="O233" s="3191">
        <f t="shared" si="49"/>
        <v>1</v>
      </c>
      <c r="P233" s="3547"/>
      <c r="Q233" s="3191">
        <f t="shared" si="50"/>
        <v>1</v>
      </c>
      <c r="R233" s="2911">
        <f t="shared" si="51"/>
        <v>0</v>
      </c>
      <c r="S233" s="2965">
        <f t="shared" si="52"/>
        <v>0</v>
      </c>
    </row>
    <row r="234" spans="1:19">
      <c r="A234" s="3193"/>
      <c r="B234" s="3545"/>
      <c r="C234" s="3191">
        <f t="shared" si="43"/>
        <v>1</v>
      </c>
      <c r="D234" s="3547"/>
      <c r="E234" s="3191">
        <f t="shared" si="44"/>
        <v>0</v>
      </c>
      <c r="F234" s="3547"/>
      <c r="G234" s="3191">
        <f t="shared" si="45"/>
        <v>1</v>
      </c>
      <c r="H234" s="3547"/>
      <c r="I234" s="3191">
        <f t="shared" si="46"/>
        <v>1</v>
      </c>
      <c r="J234" s="3547"/>
      <c r="K234" s="3191">
        <f t="shared" si="47"/>
        <v>1</v>
      </c>
      <c r="L234" s="3547"/>
      <c r="M234" s="3191">
        <f t="shared" si="48"/>
        <v>1</v>
      </c>
      <c r="N234" s="3547"/>
      <c r="O234" s="3191">
        <f t="shared" si="49"/>
        <v>1</v>
      </c>
      <c r="P234" s="3547"/>
      <c r="Q234" s="3191">
        <f t="shared" si="50"/>
        <v>1</v>
      </c>
      <c r="R234" s="2911">
        <f t="shared" si="51"/>
        <v>0</v>
      </c>
      <c r="S234" s="2965">
        <f t="shared" si="52"/>
        <v>0</v>
      </c>
    </row>
    <row r="235" spans="1:19">
      <c r="A235" s="3193"/>
      <c r="B235" s="3545"/>
      <c r="C235" s="3191">
        <f t="shared" si="43"/>
        <v>1</v>
      </c>
      <c r="D235" s="3547"/>
      <c r="E235" s="3191">
        <f t="shared" si="44"/>
        <v>0</v>
      </c>
      <c r="F235" s="3547"/>
      <c r="G235" s="3191">
        <f t="shared" si="45"/>
        <v>1</v>
      </c>
      <c r="H235" s="3547"/>
      <c r="I235" s="3191">
        <f t="shared" si="46"/>
        <v>1</v>
      </c>
      <c r="J235" s="3547"/>
      <c r="K235" s="3191">
        <f t="shared" si="47"/>
        <v>1</v>
      </c>
      <c r="L235" s="3547"/>
      <c r="M235" s="3191">
        <f t="shared" si="48"/>
        <v>1</v>
      </c>
      <c r="N235" s="3547"/>
      <c r="O235" s="3191">
        <f t="shared" si="49"/>
        <v>1</v>
      </c>
      <c r="P235" s="3547"/>
      <c r="Q235" s="3191">
        <f t="shared" si="50"/>
        <v>1</v>
      </c>
      <c r="R235" s="2911">
        <f t="shared" si="51"/>
        <v>0</v>
      </c>
      <c r="S235" s="2965">
        <f t="shared" si="52"/>
        <v>0</v>
      </c>
    </row>
    <row r="236" spans="1:19">
      <c r="A236" s="3193"/>
      <c r="B236" s="3545"/>
      <c r="C236" s="3191">
        <f t="shared" si="43"/>
        <v>1</v>
      </c>
      <c r="D236" s="3547"/>
      <c r="E236" s="3191">
        <f t="shared" si="44"/>
        <v>0</v>
      </c>
      <c r="F236" s="3547"/>
      <c r="G236" s="3191">
        <f t="shared" si="45"/>
        <v>1</v>
      </c>
      <c r="H236" s="3547"/>
      <c r="I236" s="3191">
        <f t="shared" si="46"/>
        <v>1</v>
      </c>
      <c r="J236" s="3547"/>
      <c r="K236" s="3191">
        <f t="shared" si="47"/>
        <v>1</v>
      </c>
      <c r="L236" s="3547"/>
      <c r="M236" s="3191">
        <f t="shared" si="48"/>
        <v>1</v>
      </c>
      <c r="N236" s="3547"/>
      <c r="O236" s="3191">
        <f t="shared" si="49"/>
        <v>1</v>
      </c>
      <c r="P236" s="3547"/>
      <c r="Q236" s="3191">
        <f t="shared" si="50"/>
        <v>1</v>
      </c>
      <c r="R236" s="2911">
        <f t="shared" si="51"/>
        <v>0</v>
      </c>
      <c r="S236" s="2965">
        <f t="shared" si="52"/>
        <v>0</v>
      </c>
    </row>
    <row r="237" spans="1:19">
      <c r="A237" s="3193"/>
      <c r="B237" s="3545"/>
      <c r="C237" s="3191">
        <f t="shared" si="43"/>
        <v>1</v>
      </c>
      <c r="D237" s="3547"/>
      <c r="E237" s="3191">
        <f t="shared" si="44"/>
        <v>0</v>
      </c>
      <c r="F237" s="3547"/>
      <c r="G237" s="3191">
        <f t="shared" si="45"/>
        <v>1</v>
      </c>
      <c r="H237" s="3547"/>
      <c r="I237" s="3191">
        <f t="shared" si="46"/>
        <v>1</v>
      </c>
      <c r="J237" s="3547"/>
      <c r="K237" s="3191">
        <f t="shared" si="47"/>
        <v>1</v>
      </c>
      <c r="L237" s="3547"/>
      <c r="M237" s="3191">
        <f t="shared" si="48"/>
        <v>1</v>
      </c>
      <c r="N237" s="3547"/>
      <c r="O237" s="3191">
        <f t="shared" si="49"/>
        <v>1</v>
      </c>
      <c r="P237" s="3547"/>
      <c r="Q237" s="3191">
        <f t="shared" si="50"/>
        <v>1</v>
      </c>
      <c r="R237" s="2911">
        <f t="shared" si="51"/>
        <v>0</v>
      </c>
      <c r="S237" s="2965">
        <f t="shared" si="52"/>
        <v>0</v>
      </c>
    </row>
    <row r="238" spans="1:19">
      <c r="A238" s="3193"/>
      <c r="B238" s="3545"/>
      <c r="C238" s="3191">
        <f t="shared" si="43"/>
        <v>1</v>
      </c>
      <c r="D238" s="3547"/>
      <c r="E238" s="3191">
        <f t="shared" si="44"/>
        <v>0</v>
      </c>
      <c r="F238" s="3547"/>
      <c r="G238" s="3191">
        <f t="shared" si="45"/>
        <v>1</v>
      </c>
      <c r="H238" s="3547"/>
      <c r="I238" s="3191">
        <f t="shared" si="46"/>
        <v>1</v>
      </c>
      <c r="J238" s="3547"/>
      <c r="K238" s="3191">
        <f t="shared" si="47"/>
        <v>1</v>
      </c>
      <c r="L238" s="3547"/>
      <c r="M238" s="3191">
        <f t="shared" si="48"/>
        <v>1</v>
      </c>
      <c r="N238" s="3547"/>
      <c r="O238" s="3191">
        <f t="shared" si="49"/>
        <v>1</v>
      </c>
      <c r="P238" s="3547"/>
      <c r="Q238" s="3191">
        <f t="shared" si="50"/>
        <v>1</v>
      </c>
      <c r="R238" s="2911">
        <f t="shared" si="51"/>
        <v>0</v>
      </c>
      <c r="S238" s="2965">
        <f t="shared" si="52"/>
        <v>0</v>
      </c>
    </row>
    <row r="239" spans="1:19">
      <c r="A239" s="3193"/>
      <c r="B239" s="3545"/>
      <c r="C239" s="3191">
        <f t="shared" si="43"/>
        <v>1</v>
      </c>
      <c r="D239" s="3547"/>
      <c r="E239" s="3191">
        <f t="shared" si="44"/>
        <v>0</v>
      </c>
      <c r="F239" s="3547"/>
      <c r="G239" s="3191">
        <f t="shared" si="45"/>
        <v>1</v>
      </c>
      <c r="H239" s="3547"/>
      <c r="I239" s="3191">
        <f t="shared" si="46"/>
        <v>1</v>
      </c>
      <c r="J239" s="3547"/>
      <c r="K239" s="3191">
        <f t="shared" si="47"/>
        <v>1</v>
      </c>
      <c r="L239" s="3547"/>
      <c r="M239" s="3191">
        <f t="shared" si="48"/>
        <v>1</v>
      </c>
      <c r="N239" s="3547"/>
      <c r="O239" s="3191">
        <f t="shared" si="49"/>
        <v>1</v>
      </c>
      <c r="P239" s="3547"/>
      <c r="Q239" s="3191">
        <f t="shared" si="50"/>
        <v>1</v>
      </c>
      <c r="R239" s="2911">
        <f t="shared" si="51"/>
        <v>0</v>
      </c>
      <c r="S239" s="2965">
        <f t="shared" si="52"/>
        <v>0</v>
      </c>
    </row>
    <row r="240" spans="1:19">
      <c r="A240" s="3193"/>
      <c r="B240" s="3545"/>
      <c r="C240" s="3191">
        <f t="shared" si="43"/>
        <v>1</v>
      </c>
      <c r="D240" s="3547"/>
      <c r="E240" s="3191">
        <f t="shared" si="44"/>
        <v>0</v>
      </c>
      <c r="F240" s="3547"/>
      <c r="G240" s="3191">
        <f t="shared" si="45"/>
        <v>1</v>
      </c>
      <c r="H240" s="3547"/>
      <c r="I240" s="3191">
        <f t="shared" si="46"/>
        <v>1</v>
      </c>
      <c r="J240" s="3547"/>
      <c r="K240" s="3191">
        <f t="shared" si="47"/>
        <v>1</v>
      </c>
      <c r="L240" s="3547"/>
      <c r="M240" s="3191">
        <f t="shared" si="48"/>
        <v>1</v>
      </c>
      <c r="N240" s="3547"/>
      <c r="O240" s="3191">
        <f t="shared" si="49"/>
        <v>1</v>
      </c>
      <c r="P240" s="3547"/>
      <c r="Q240" s="3191">
        <f t="shared" si="50"/>
        <v>1</v>
      </c>
      <c r="R240" s="2911">
        <f t="shared" si="51"/>
        <v>0</v>
      </c>
      <c r="S240" s="2965">
        <f t="shared" si="52"/>
        <v>0</v>
      </c>
    </row>
    <row r="241" spans="1:19">
      <c r="A241" s="3193"/>
      <c r="B241" s="3545"/>
      <c r="C241" s="3191">
        <f t="shared" si="43"/>
        <v>1</v>
      </c>
      <c r="D241" s="3547"/>
      <c r="E241" s="3191">
        <f t="shared" si="44"/>
        <v>0</v>
      </c>
      <c r="F241" s="3547"/>
      <c r="G241" s="3191">
        <f t="shared" si="45"/>
        <v>1</v>
      </c>
      <c r="H241" s="3547"/>
      <c r="I241" s="3191">
        <f t="shared" si="46"/>
        <v>1</v>
      </c>
      <c r="J241" s="3547"/>
      <c r="K241" s="3191">
        <f t="shared" si="47"/>
        <v>1</v>
      </c>
      <c r="L241" s="3547"/>
      <c r="M241" s="3191">
        <f t="shared" si="48"/>
        <v>1</v>
      </c>
      <c r="N241" s="3547"/>
      <c r="O241" s="3191">
        <f t="shared" si="49"/>
        <v>1</v>
      </c>
      <c r="P241" s="3547"/>
      <c r="Q241" s="3191">
        <f t="shared" si="50"/>
        <v>1</v>
      </c>
      <c r="R241" s="2911">
        <f t="shared" si="51"/>
        <v>0</v>
      </c>
      <c r="S241" s="2965">
        <f t="shared" si="52"/>
        <v>0</v>
      </c>
    </row>
    <row r="242" spans="1:19">
      <c r="A242" s="3193"/>
      <c r="B242" s="3545"/>
      <c r="C242" s="3191">
        <f t="shared" si="43"/>
        <v>1</v>
      </c>
      <c r="D242" s="3547"/>
      <c r="E242" s="3191">
        <f t="shared" si="44"/>
        <v>0</v>
      </c>
      <c r="F242" s="3547"/>
      <c r="G242" s="3191">
        <f t="shared" si="45"/>
        <v>1</v>
      </c>
      <c r="H242" s="3547"/>
      <c r="I242" s="3191">
        <f t="shared" si="46"/>
        <v>1</v>
      </c>
      <c r="J242" s="3547"/>
      <c r="K242" s="3191">
        <f t="shared" si="47"/>
        <v>1</v>
      </c>
      <c r="L242" s="3547"/>
      <c r="M242" s="3191">
        <f t="shared" si="48"/>
        <v>1</v>
      </c>
      <c r="N242" s="3547"/>
      <c r="O242" s="3191">
        <f t="shared" si="49"/>
        <v>1</v>
      </c>
      <c r="P242" s="3547"/>
      <c r="Q242" s="3191">
        <f t="shared" si="50"/>
        <v>1</v>
      </c>
      <c r="R242" s="2911">
        <f t="shared" si="51"/>
        <v>0</v>
      </c>
      <c r="S242" s="2965">
        <f t="shared" si="52"/>
        <v>0</v>
      </c>
    </row>
    <row r="243" spans="1:19">
      <c r="A243" s="3193"/>
      <c r="B243" s="3545"/>
      <c r="C243" s="3191">
        <f t="shared" si="43"/>
        <v>1</v>
      </c>
      <c r="D243" s="3547"/>
      <c r="E243" s="3191">
        <f t="shared" si="44"/>
        <v>0</v>
      </c>
      <c r="F243" s="3547"/>
      <c r="G243" s="3191">
        <f t="shared" si="45"/>
        <v>1</v>
      </c>
      <c r="H243" s="3547"/>
      <c r="I243" s="3191">
        <f t="shared" si="46"/>
        <v>1</v>
      </c>
      <c r="J243" s="3547"/>
      <c r="K243" s="3191">
        <f t="shared" si="47"/>
        <v>1</v>
      </c>
      <c r="L243" s="3547"/>
      <c r="M243" s="3191">
        <f t="shared" si="48"/>
        <v>1</v>
      </c>
      <c r="N243" s="3547"/>
      <c r="O243" s="3191">
        <f t="shared" si="49"/>
        <v>1</v>
      </c>
      <c r="P243" s="3547"/>
      <c r="Q243" s="3191">
        <f t="shared" si="50"/>
        <v>1</v>
      </c>
      <c r="R243" s="2911">
        <f t="shared" si="51"/>
        <v>0</v>
      </c>
      <c r="S243" s="2965">
        <f t="shared" si="52"/>
        <v>0</v>
      </c>
    </row>
    <row r="244" spans="1:19">
      <c r="A244" s="3193"/>
      <c r="B244" s="3545"/>
      <c r="C244" s="3191">
        <f t="shared" si="43"/>
        <v>1</v>
      </c>
      <c r="D244" s="3547"/>
      <c r="E244" s="3191">
        <f t="shared" si="44"/>
        <v>0</v>
      </c>
      <c r="F244" s="3547"/>
      <c r="G244" s="3191">
        <f t="shared" si="45"/>
        <v>1</v>
      </c>
      <c r="H244" s="3547"/>
      <c r="I244" s="3191">
        <f t="shared" si="46"/>
        <v>1</v>
      </c>
      <c r="J244" s="3547"/>
      <c r="K244" s="3191">
        <f t="shared" si="47"/>
        <v>1</v>
      </c>
      <c r="L244" s="3547"/>
      <c r="M244" s="3191">
        <f t="shared" si="48"/>
        <v>1</v>
      </c>
      <c r="N244" s="3547"/>
      <c r="O244" s="3191">
        <f t="shared" si="49"/>
        <v>1</v>
      </c>
      <c r="P244" s="3547"/>
      <c r="Q244" s="3191">
        <f t="shared" si="50"/>
        <v>1</v>
      </c>
      <c r="R244" s="2911">
        <f t="shared" si="51"/>
        <v>0</v>
      </c>
      <c r="S244" s="2965">
        <f t="shared" si="52"/>
        <v>0</v>
      </c>
    </row>
    <row r="245" spans="1:19">
      <c r="A245" s="3193"/>
      <c r="B245" s="3545"/>
      <c r="C245" s="3191">
        <f t="shared" si="43"/>
        <v>1</v>
      </c>
      <c r="D245" s="3547"/>
      <c r="E245" s="3191">
        <f t="shared" si="44"/>
        <v>0</v>
      </c>
      <c r="F245" s="3547"/>
      <c r="G245" s="3191">
        <f t="shared" si="45"/>
        <v>1</v>
      </c>
      <c r="H245" s="3547"/>
      <c r="I245" s="3191">
        <f t="shared" si="46"/>
        <v>1</v>
      </c>
      <c r="J245" s="3547"/>
      <c r="K245" s="3191">
        <f t="shared" si="47"/>
        <v>1</v>
      </c>
      <c r="L245" s="3547"/>
      <c r="M245" s="3191">
        <f t="shared" si="48"/>
        <v>1</v>
      </c>
      <c r="N245" s="3547"/>
      <c r="O245" s="3191">
        <f t="shared" si="49"/>
        <v>1</v>
      </c>
      <c r="P245" s="3547"/>
      <c r="Q245" s="3191">
        <f t="shared" si="50"/>
        <v>1</v>
      </c>
      <c r="R245" s="2911">
        <f t="shared" si="51"/>
        <v>0</v>
      </c>
      <c r="S245" s="2965">
        <f t="shared" si="52"/>
        <v>0</v>
      </c>
    </row>
    <row r="246" spans="1:19">
      <c r="A246" s="3193"/>
      <c r="B246" s="3545"/>
      <c r="C246" s="3191">
        <f t="shared" si="43"/>
        <v>1</v>
      </c>
      <c r="D246" s="3547"/>
      <c r="E246" s="3191">
        <f t="shared" si="44"/>
        <v>0</v>
      </c>
      <c r="F246" s="3547"/>
      <c r="G246" s="3191">
        <f t="shared" si="45"/>
        <v>1</v>
      </c>
      <c r="H246" s="3547"/>
      <c r="I246" s="3191">
        <f t="shared" si="46"/>
        <v>1</v>
      </c>
      <c r="J246" s="3547"/>
      <c r="K246" s="3191">
        <f t="shared" si="47"/>
        <v>1</v>
      </c>
      <c r="L246" s="3547"/>
      <c r="M246" s="3191">
        <f t="shared" si="48"/>
        <v>1</v>
      </c>
      <c r="N246" s="3547"/>
      <c r="O246" s="3191">
        <f t="shared" si="49"/>
        <v>1</v>
      </c>
      <c r="P246" s="3547"/>
      <c r="Q246" s="3191">
        <f t="shared" si="50"/>
        <v>1</v>
      </c>
      <c r="R246" s="2911">
        <f t="shared" si="51"/>
        <v>0</v>
      </c>
      <c r="S246" s="2965">
        <f t="shared" si="52"/>
        <v>0</v>
      </c>
    </row>
    <row r="247" spans="1:19">
      <c r="A247" s="3193"/>
      <c r="B247" s="3545"/>
      <c r="C247" s="3191">
        <f t="shared" si="43"/>
        <v>1</v>
      </c>
      <c r="D247" s="3547"/>
      <c r="E247" s="3191">
        <f t="shared" si="44"/>
        <v>0</v>
      </c>
      <c r="F247" s="3547"/>
      <c r="G247" s="3191">
        <f t="shared" si="45"/>
        <v>1</v>
      </c>
      <c r="H247" s="3547"/>
      <c r="I247" s="3191">
        <f t="shared" si="46"/>
        <v>1</v>
      </c>
      <c r="J247" s="3547"/>
      <c r="K247" s="3191">
        <f t="shared" si="47"/>
        <v>1</v>
      </c>
      <c r="L247" s="3547"/>
      <c r="M247" s="3191">
        <f t="shared" si="48"/>
        <v>1</v>
      </c>
      <c r="N247" s="3547"/>
      <c r="O247" s="3191">
        <f t="shared" si="49"/>
        <v>1</v>
      </c>
      <c r="P247" s="3547"/>
      <c r="Q247" s="3191">
        <f t="shared" si="50"/>
        <v>1</v>
      </c>
      <c r="R247" s="2911">
        <f t="shared" si="51"/>
        <v>0</v>
      </c>
      <c r="S247" s="2965">
        <f t="shared" si="52"/>
        <v>0</v>
      </c>
    </row>
    <row r="248" spans="1:19">
      <c r="A248" s="3193"/>
      <c r="B248" s="3545"/>
      <c r="C248" s="3191">
        <f t="shared" si="43"/>
        <v>1</v>
      </c>
      <c r="D248" s="3547"/>
      <c r="E248" s="3191">
        <f t="shared" si="44"/>
        <v>0</v>
      </c>
      <c r="F248" s="3547"/>
      <c r="G248" s="3191">
        <f t="shared" si="45"/>
        <v>1</v>
      </c>
      <c r="H248" s="3547"/>
      <c r="I248" s="3191">
        <f t="shared" si="46"/>
        <v>1</v>
      </c>
      <c r="J248" s="3547"/>
      <c r="K248" s="3191">
        <f t="shared" si="47"/>
        <v>1</v>
      </c>
      <c r="L248" s="3547"/>
      <c r="M248" s="3191">
        <f t="shared" si="48"/>
        <v>1</v>
      </c>
      <c r="N248" s="3547"/>
      <c r="O248" s="3191">
        <f t="shared" si="49"/>
        <v>1</v>
      </c>
      <c r="P248" s="3547"/>
      <c r="Q248" s="3191">
        <f t="shared" si="50"/>
        <v>1</v>
      </c>
      <c r="R248" s="2911">
        <f t="shared" si="51"/>
        <v>0</v>
      </c>
      <c r="S248" s="2965">
        <f t="shared" si="52"/>
        <v>0</v>
      </c>
    </row>
    <row r="249" spans="1:19">
      <c r="A249" s="3193"/>
      <c r="B249" s="3545"/>
      <c r="C249" s="3191">
        <f t="shared" si="43"/>
        <v>1</v>
      </c>
      <c r="D249" s="3547"/>
      <c r="E249" s="3191">
        <f t="shared" si="44"/>
        <v>0</v>
      </c>
      <c r="F249" s="3547"/>
      <c r="G249" s="3191">
        <f t="shared" si="45"/>
        <v>1</v>
      </c>
      <c r="H249" s="3547"/>
      <c r="I249" s="3191">
        <f t="shared" si="46"/>
        <v>1</v>
      </c>
      <c r="J249" s="3547"/>
      <c r="K249" s="3191">
        <f t="shared" si="47"/>
        <v>1</v>
      </c>
      <c r="L249" s="3547"/>
      <c r="M249" s="3191">
        <f t="shared" si="48"/>
        <v>1</v>
      </c>
      <c r="N249" s="3547"/>
      <c r="O249" s="3191">
        <f t="shared" si="49"/>
        <v>1</v>
      </c>
      <c r="P249" s="3547"/>
      <c r="Q249" s="3191">
        <f t="shared" si="50"/>
        <v>1</v>
      </c>
      <c r="R249" s="2911">
        <f t="shared" si="51"/>
        <v>0</v>
      </c>
      <c r="S249" s="2965">
        <f t="shared" si="52"/>
        <v>0</v>
      </c>
    </row>
    <row r="250" spans="1:19">
      <c r="A250" s="3193"/>
      <c r="B250" s="3545"/>
      <c r="C250" s="3191">
        <f t="shared" si="43"/>
        <v>1</v>
      </c>
      <c r="D250" s="3547"/>
      <c r="E250" s="3191">
        <f t="shared" si="44"/>
        <v>0</v>
      </c>
      <c r="F250" s="3547"/>
      <c r="G250" s="3191">
        <f t="shared" si="45"/>
        <v>1</v>
      </c>
      <c r="H250" s="3547"/>
      <c r="I250" s="3191">
        <f t="shared" si="46"/>
        <v>1</v>
      </c>
      <c r="J250" s="3547"/>
      <c r="K250" s="3191">
        <f t="shared" si="47"/>
        <v>1</v>
      </c>
      <c r="L250" s="3547"/>
      <c r="M250" s="3191">
        <f t="shared" si="48"/>
        <v>1</v>
      </c>
      <c r="N250" s="3547"/>
      <c r="O250" s="3191">
        <f t="shared" si="49"/>
        <v>1</v>
      </c>
      <c r="P250" s="3547"/>
      <c r="Q250" s="3191">
        <f t="shared" si="50"/>
        <v>1</v>
      </c>
      <c r="R250" s="2911">
        <f t="shared" si="51"/>
        <v>0</v>
      </c>
      <c r="S250" s="2965">
        <f t="shared" si="52"/>
        <v>0</v>
      </c>
    </row>
    <row r="251" spans="1:19">
      <c r="A251" s="3193"/>
      <c r="B251" s="3545"/>
      <c r="C251" s="3191">
        <f t="shared" si="43"/>
        <v>1</v>
      </c>
      <c r="D251" s="3547"/>
      <c r="E251" s="3191">
        <f t="shared" si="44"/>
        <v>0</v>
      </c>
      <c r="F251" s="3547"/>
      <c r="G251" s="3191">
        <f t="shared" si="45"/>
        <v>1</v>
      </c>
      <c r="H251" s="3547"/>
      <c r="I251" s="3191">
        <f t="shared" si="46"/>
        <v>1</v>
      </c>
      <c r="J251" s="3547"/>
      <c r="K251" s="3191">
        <f t="shared" si="47"/>
        <v>1</v>
      </c>
      <c r="L251" s="3547"/>
      <c r="M251" s="3191">
        <f t="shared" si="48"/>
        <v>1</v>
      </c>
      <c r="N251" s="3547"/>
      <c r="O251" s="3191">
        <f t="shared" si="49"/>
        <v>1</v>
      </c>
      <c r="P251" s="3547"/>
      <c r="Q251" s="3191">
        <f t="shared" si="50"/>
        <v>1</v>
      </c>
      <c r="R251" s="2911">
        <f t="shared" si="51"/>
        <v>0</v>
      </c>
      <c r="S251" s="2965">
        <f t="shared" si="52"/>
        <v>0</v>
      </c>
    </row>
    <row r="252" spans="1:19">
      <c r="A252" s="3193"/>
      <c r="B252" s="3545"/>
      <c r="C252" s="3191">
        <f t="shared" si="43"/>
        <v>1</v>
      </c>
      <c r="D252" s="3547"/>
      <c r="E252" s="3191">
        <f t="shared" si="44"/>
        <v>0</v>
      </c>
      <c r="F252" s="3547"/>
      <c r="G252" s="3191">
        <f t="shared" si="45"/>
        <v>1</v>
      </c>
      <c r="H252" s="3547"/>
      <c r="I252" s="3191">
        <f t="shared" si="46"/>
        <v>1</v>
      </c>
      <c r="J252" s="3547"/>
      <c r="K252" s="3191">
        <f t="shared" si="47"/>
        <v>1</v>
      </c>
      <c r="L252" s="3547"/>
      <c r="M252" s="3191">
        <f t="shared" si="48"/>
        <v>1</v>
      </c>
      <c r="N252" s="3547"/>
      <c r="O252" s="3191">
        <f t="shared" si="49"/>
        <v>1</v>
      </c>
      <c r="P252" s="3547"/>
      <c r="Q252" s="3191">
        <f t="shared" si="50"/>
        <v>1</v>
      </c>
      <c r="R252" s="2911">
        <f t="shared" si="51"/>
        <v>0</v>
      </c>
      <c r="S252" s="2965">
        <f t="shared" si="52"/>
        <v>0</v>
      </c>
    </row>
    <row r="253" spans="1:19">
      <c r="A253" s="3193"/>
      <c r="B253" s="3545"/>
      <c r="C253" s="3191">
        <f t="shared" si="43"/>
        <v>1</v>
      </c>
      <c r="D253" s="3547"/>
      <c r="E253" s="3191">
        <f t="shared" si="44"/>
        <v>0</v>
      </c>
      <c r="F253" s="3547"/>
      <c r="G253" s="3191">
        <f t="shared" si="45"/>
        <v>1</v>
      </c>
      <c r="H253" s="3547"/>
      <c r="I253" s="3191">
        <f t="shared" si="46"/>
        <v>1</v>
      </c>
      <c r="J253" s="3547"/>
      <c r="K253" s="3191">
        <f t="shared" si="47"/>
        <v>1</v>
      </c>
      <c r="L253" s="3547"/>
      <c r="M253" s="3191">
        <f t="shared" si="48"/>
        <v>1</v>
      </c>
      <c r="N253" s="3547"/>
      <c r="O253" s="3191">
        <f t="shared" si="49"/>
        <v>1</v>
      </c>
      <c r="P253" s="3547"/>
      <c r="Q253" s="3191">
        <f t="shared" si="50"/>
        <v>1</v>
      </c>
      <c r="R253" s="2911">
        <f t="shared" si="51"/>
        <v>0</v>
      </c>
      <c r="S253" s="2965">
        <f t="shared" si="52"/>
        <v>0</v>
      </c>
    </row>
    <row r="254" spans="1:19">
      <c r="A254" s="3193"/>
      <c r="B254" s="3545"/>
      <c r="C254" s="3191">
        <f t="shared" si="43"/>
        <v>1</v>
      </c>
      <c r="D254" s="3547"/>
      <c r="E254" s="3191">
        <f t="shared" si="44"/>
        <v>0</v>
      </c>
      <c r="F254" s="3547"/>
      <c r="G254" s="3191">
        <f t="shared" si="45"/>
        <v>1</v>
      </c>
      <c r="H254" s="3547"/>
      <c r="I254" s="3191">
        <f t="shared" si="46"/>
        <v>1</v>
      </c>
      <c r="J254" s="3547"/>
      <c r="K254" s="3191">
        <f t="shared" si="47"/>
        <v>1</v>
      </c>
      <c r="L254" s="3547"/>
      <c r="M254" s="3191">
        <f t="shared" si="48"/>
        <v>1</v>
      </c>
      <c r="N254" s="3547"/>
      <c r="O254" s="3191">
        <f t="shared" si="49"/>
        <v>1</v>
      </c>
      <c r="P254" s="3547"/>
      <c r="Q254" s="3191">
        <f t="shared" si="50"/>
        <v>1</v>
      </c>
      <c r="R254" s="2911">
        <f t="shared" si="51"/>
        <v>0</v>
      </c>
      <c r="S254" s="2965">
        <f t="shared" si="52"/>
        <v>0</v>
      </c>
    </row>
    <row r="255" spans="1:19">
      <c r="A255" s="3193"/>
      <c r="B255" s="3545"/>
      <c r="C255" s="3191">
        <f t="shared" si="43"/>
        <v>1</v>
      </c>
      <c r="D255" s="3547"/>
      <c r="E255" s="3191">
        <f t="shared" si="44"/>
        <v>0</v>
      </c>
      <c r="F255" s="3547"/>
      <c r="G255" s="3191">
        <f t="shared" si="45"/>
        <v>1</v>
      </c>
      <c r="H255" s="3547"/>
      <c r="I255" s="3191">
        <f t="shared" si="46"/>
        <v>1</v>
      </c>
      <c r="J255" s="3547"/>
      <c r="K255" s="3191">
        <f t="shared" si="47"/>
        <v>1</v>
      </c>
      <c r="L255" s="3547"/>
      <c r="M255" s="3191">
        <f t="shared" si="48"/>
        <v>1</v>
      </c>
      <c r="N255" s="3547"/>
      <c r="O255" s="3191">
        <f t="shared" si="49"/>
        <v>1</v>
      </c>
      <c r="P255" s="3547"/>
      <c r="Q255" s="3191">
        <f t="shared" si="50"/>
        <v>1</v>
      </c>
      <c r="R255" s="2911">
        <f t="shared" si="51"/>
        <v>0</v>
      </c>
      <c r="S255" s="2965">
        <f t="shared" si="52"/>
        <v>0</v>
      </c>
    </row>
    <row r="256" spans="1:19">
      <c r="A256" s="3193"/>
      <c r="B256" s="3545"/>
      <c r="C256" s="3191">
        <f t="shared" si="43"/>
        <v>1</v>
      </c>
      <c r="D256" s="3547"/>
      <c r="E256" s="3191">
        <f t="shared" si="44"/>
        <v>0</v>
      </c>
      <c r="F256" s="3547"/>
      <c r="G256" s="3191">
        <f t="shared" si="45"/>
        <v>1</v>
      </c>
      <c r="H256" s="3547"/>
      <c r="I256" s="3191">
        <f t="shared" si="46"/>
        <v>1</v>
      </c>
      <c r="J256" s="3547"/>
      <c r="K256" s="3191">
        <f t="shared" si="47"/>
        <v>1</v>
      </c>
      <c r="L256" s="3547"/>
      <c r="M256" s="3191">
        <f t="shared" si="48"/>
        <v>1</v>
      </c>
      <c r="N256" s="3547"/>
      <c r="O256" s="3191">
        <f t="shared" si="49"/>
        <v>1</v>
      </c>
      <c r="P256" s="3547"/>
      <c r="Q256" s="3191">
        <f t="shared" si="50"/>
        <v>1</v>
      </c>
      <c r="R256" s="2911">
        <f t="shared" si="51"/>
        <v>0</v>
      </c>
      <c r="S256" s="2965">
        <f t="shared" si="52"/>
        <v>0</v>
      </c>
    </row>
    <row r="257" spans="1:19">
      <c r="A257" s="3193"/>
      <c r="B257" s="3545"/>
      <c r="C257" s="3191">
        <f t="shared" si="43"/>
        <v>1</v>
      </c>
      <c r="D257" s="3547"/>
      <c r="E257" s="3191">
        <f t="shared" si="44"/>
        <v>0</v>
      </c>
      <c r="F257" s="3547"/>
      <c r="G257" s="3191">
        <f t="shared" si="45"/>
        <v>1</v>
      </c>
      <c r="H257" s="3547"/>
      <c r="I257" s="3191">
        <f t="shared" si="46"/>
        <v>1</v>
      </c>
      <c r="J257" s="3547"/>
      <c r="K257" s="3191">
        <f t="shared" si="47"/>
        <v>1</v>
      </c>
      <c r="L257" s="3547"/>
      <c r="M257" s="3191">
        <f t="shared" si="48"/>
        <v>1</v>
      </c>
      <c r="N257" s="3547"/>
      <c r="O257" s="3191">
        <f t="shared" si="49"/>
        <v>1</v>
      </c>
      <c r="P257" s="3547"/>
      <c r="Q257" s="3191">
        <f t="shared" si="50"/>
        <v>1</v>
      </c>
      <c r="R257" s="2911">
        <f t="shared" si="51"/>
        <v>0</v>
      </c>
      <c r="S257" s="2965">
        <f t="shared" si="52"/>
        <v>0</v>
      </c>
    </row>
    <row r="258" spans="1:19">
      <c r="A258" s="3193"/>
      <c r="B258" s="3545"/>
      <c r="C258" s="3191">
        <f t="shared" si="43"/>
        <v>1</v>
      </c>
      <c r="D258" s="3547"/>
      <c r="E258" s="3191">
        <f t="shared" si="44"/>
        <v>0</v>
      </c>
      <c r="F258" s="3547"/>
      <c r="G258" s="3191">
        <f t="shared" si="45"/>
        <v>1</v>
      </c>
      <c r="H258" s="3547"/>
      <c r="I258" s="3191">
        <f t="shared" si="46"/>
        <v>1</v>
      </c>
      <c r="J258" s="3547"/>
      <c r="K258" s="3191">
        <f t="shared" si="47"/>
        <v>1</v>
      </c>
      <c r="L258" s="3547"/>
      <c r="M258" s="3191">
        <f t="shared" si="48"/>
        <v>1</v>
      </c>
      <c r="N258" s="3547"/>
      <c r="O258" s="3191">
        <f t="shared" si="49"/>
        <v>1</v>
      </c>
      <c r="P258" s="3547"/>
      <c r="Q258" s="3191">
        <f t="shared" si="50"/>
        <v>1</v>
      </c>
      <c r="R258" s="2911">
        <f t="shared" si="51"/>
        <v>0</v>
      </c>
      <c r="S258" s="2965">
        <f t="shared" si="52"/>
        <v>0</v>
      </c>
    </row>
    <row r="259" spans="1:19">
      <c r="A259" s="3193"/>
      <c r="B259" s="3545"/>
      <c r="C259" s="3191">
        <f t="shared" si="43"/>
        <v>1</v>
      </c>
      <c r="D259" s="3547"/>
      <c r="E259" s="3191">
        <f t="shared" si="44"/>
        <v>0</v>
      </c>
      <c r="F259" s="3547"/>
      <c r="G259" s="3191">
        <f t="shared" si="45"/>
        <v>1</v>
      </c>
      <c r="H259" s="3547"/>
      <c r="I259" s="3191">
        <f t="shared" si="46"/>
        <v>1</v>
      </c>
      <c r="J259" s="3547"/>
      <c r="K259" s="3191">
        <f t="shared" si="47"/>
        <v>1</v>
      </c>
      <c r="L259" s="3547"/>
      <c r="M259" s="3191">
        <f t="shared" si="48"/>
        <v>1</v>
      </c>
      <c r="N259" s="3547"/>
      <c r="O259" s="3191">
        <f t="shared" si="49"/>
        <v>1</v>
      </c>
      <c r="P259" s="3547"/>
      <c r="Q259" s="3191">
        <f t="shared" si="50"/>
        <v>1</v>
      </c>
      <c r="R259" s="2911">
        <f t="shared" si="51"/>
        <v>0</v>
      </c>
      <c r="S259" s="2965">
        <f t="shared" si="52"/>
        <v>0</v>
      </c>
    </row>
    <row r="260" spans="1:19">
      <c r="A260" s="3193"/>
      <c r="B260" s="3545"/>
      <c r="C260" s="3191">
        <f t="shared" si="43"/>
        <v>1</v>
      </c>
      <c r="D260" s="3547"/>
      <c r="E260" s="3191">
        <f t="shared" si="44"/>
        <v>0</v>
      </c>
      <c r="F260" s="3547"/>
      <c r="G260" s="3191">
        <f t="shared" si="45"/>
        <v>1</v>
      </c>
      <c r="H260" s="3547"/>
      <c r="I260" s="3191">
        <f t="shared" si="46"/>
        <v>1</v>
      </c>
      <c r="J260" s="3547"/>
      <c r="K260" s="3191">
        <f t="shared" si="47"/>
        <v>1</v>
      </c>
      <c r="L260" s="3547"/>
      <c r="M260" s="3191">
        <f t="shared" si="48"/>
        <v>1</v>
      </c>
      <c r="N260" s="3547"/>
      <c r="O260" s="3191">
        <f t="shared" si="49"/>
        <v>1</v>
      </c>
      <c r="P260" s="3547"/>
      <c r="Q260" s="3191">
        <f t="shared" si="50"/>
        <v>1</v>
      </c>
      <c r="R260" s="2911">
        <f t="shared" si="51"/>
        <v>0</v>
      </c>
      <c r="S260" s="2965">
        <f t="shared" si="52"/>
        <v>0</v>
      </c>
    </row>
    <row r="261" spans="1:19">
      <c r="A261" s="3193"/>
      <c r="B261" s="3545"/>
      <c r="C261" s="3191">
        <f t="shared" si="43"/>
        <v>1</v>
      </c>
      <c r="D261" s="3547"/>
      <c r="E261" s="3191">
        <f t="shared" si="44"/>
        <v>0</v>
      </c>
      <c r="F261" s="3547"/>
      <c r="G261" s="3191">
        <f t="shared" si="45"/>
        <v>1</v>
      </c>
      <c r="H261" s="3547"/>
      <c r="I261" s="3191">
        <f t="shared" si="46"/>
        <v>1</v>
      </c>
      <c r="J261" s="3547"/>
      <c r="K261" s="3191">
        <f t="shared" si="47"/>
        <v>1</v>
      </c>
      <c r="L261" s="3547"/>
      <c r="M261" s="3191">
        <f t="shared" si="48"/>
        <v>1</v>
      </c>
      <c r="N261" s="3547"/>
      <c r="O261" s="3191">
        <f t="shared" si="49"/>
        <v>1</v>
      </c>
      <c r="P261" s="3547"/>
      <c r="Q261" s="3191">
        <f t="shared" si="50"/>
        <v>1</v>
      </c>
      <c r="R261" s="2911">
        <f t="shared" si="51"/>
        <v>0</v>
      </c>
      <c r="S261" s="2965">
        <f t="shared" si="52"/>
        <v>0</v>
      </c>
    </row>
    <row r="262" spans="1:19">
      <c r="A262" s="3193"/>
      <c r="B262" s="3545"/>
      <c r="C262" s="3191">
        <f t="shared" si="43"/>
        <v>1</v>
      </c>
      <c r="D262" s="3547"/>
      <c r="E262" s="3191">
        <f t="shared" si="44"/>
        <v>0</v>
      </c>
      <c r="F262" s="3547"/>
      <c r="G262" s="3191">
        <f t="shared" si="45"/>
        <v>1</v>
      </c>
      <c r="H262" s="3547"/>
      <c r="I262" s="3191">
        <f t="shared" si="46"/>
        <v>1</v>
      </c>
      <c r="J262" s="3547"/>
      <c r="K262" s="3191">
        <f t="shared" si="47"/>
        <v>1</v>
      </c>
      <c r="L262" s="3547"/>
      <c r="M262" s="3191">
        <f t="shared" si="48"/>
        <v>1</v>
      </c>
      <c r="N262" s="3547"/>
      <c r="O262" s="3191">
        <f t="shared" si="49"/>
        <v>1</v>
      </c>
      <c r="P262" s="3547"/>
      <c r="Q262" s="3191">
        <f t="shared" si="50"/>
        <v>1</v>
      </c>
      <c r="R262" s="2911">
        <f t="shared" si="51"/>
        <v>0</v>
      </c>
      <c r="S262" s="2965">
        <f t="shared" si="52"/>
        <v>0</v>
      </c>
    </row>
    <row r="263" spans="1:19">
      <c r="A263" s="3193"/>
      <c r="B263" s="3545"/>
      <c r="C263" s="3191">
        <f t="shared" si="43"/>
        <v>1</v>
      </c>
      <c r="D263" s="3547"/>
      <c r="E263" s="3191">
        <f t="shared" si="44"/>
        <v>0</v>
      </c>
      <c r="F263" s="3547"/>
      <c r="G263" s="3191">
        <f t="shared" si="45"/>
        <v>1</v>
      </c>
      <c r="H263" s="3547"/>
      <c r="I263" s="3191">
        <f t="shared" si="46"/>
        <v>1</v>
      </c>
      <c r="J263" s="3547"/>
      <c r="K263" s="3191">
        <f t="shared" si="47"/>
        <v>1</v>
      </c>
      <c r="L263" s="3547"/>
      <c r="M263" s="3191">
        <f t="shared" si="48"/>
        <v>1</v>
      </c>
      <c r="N263" s="3547"/>
      <c r="O263" s="3191">
        <f t="shared" si="49"/>
        <v>1</v>
      </c>
      <c r="P263" s="3547"/>
      <c r="Q263" s="3191">
        <f t="shared" si="50"/>
        <v>1</v>
      </c>
      <c r="R263" s="2911">
        <f t="shared" si="51"/>
        <v>0</v>
      </c>
      <c r="S263" s="2965">
        <f t="shared" si="52"/>
        <v>0</v>
      </c>
    </row>
    <row r="264" spans="1:19">
      <c r="A264" s="3193"/>
      <c r="B264" s="3545"/>
      <c r="C264" s="3191">
        <f t="shared" si="43"/>
        <v>1</v>
      </c>
      <c r="D264" s="3547"/>
      <c r="E264" s="3191">
        <f t="shared" si="44"/>
        <v>0</v>
      </c>
      <c r="F264" s="3547"/>
      <c r="G264" s="3191">
        <f t="shared" si="45"/>
        <v>1</v>
      </c>
      <c r="H264" s="3547"/>
      <c r="I264" s="3191">
        <f t="shared" si="46"/>
        <v>1</v>
      </c>
      <c r="J264" s="3547"/>
      <c r="K264" s="3191">
        <f t="shared" si="47"/>
        <v>1</v>
      </c>
      <c r="L264" s="3547"/>
      <c r="M264" s="3191">
        <f t="shared" si="48"/>
        <v>1</v>
      </c>
      <c r="N264" s="3547"/>
      <c r="O264" s="3191">
        <f t="shared" si="49"/>
        <v>1</v>
      </c>
      <c r="P264" s="3547"/>
      <c r="Q264" s="3191">
        <f t="shared" si="50"/>
        <v>1</v>
      </c>
      <c r="R264" s="2911">
        <f t="shared" si="51"/>
        <v>0</v>
      </c>
      <c r="S264" s="2965">
        <f t="shared" si="52"/>
        <v>0</v>
      </c>
    </row>
    <row r="265" spans="1:19">
      <c r="A265" s="3193"/>
      <c r="B265" s="3545"/>
      <c r="C265" s="3191">
        <f t="shared" si="43"/>
        <v>1</v>
      </c>
      <c r="D265" s="3547"/>
      <c r="E265" s="3191">
        <f t="shared" si="44"/>
        <v>0</v>
      </c>
      <c r="F265" s="3547"/>
      <c r="G265" s="3191">
        <f t="shared" si="45"/>
        <v>1</v>
      </c>
      <c r="H265" s="3547"/>
      <c r="I265" s="3191">
        <f t="shared" si="46"/>
        <v>1</v>
      </c>
      <c r="J265" s="3547"/>
      <c r="K265" s="3191">
        <f t="shared" si="47"/>
        <v>1</v>
      </c>
      <c r="L265" s="3547"/>
      <c r="M265" s="3191">
        <f t="shared" si="48"/>
        <v>1</v>
      </c>
      <c r="N265" s="3547"/>
      <c r="O265" s="3191">
        <f t="shared" si="49"/>
        <v>1</v>
      </c>
      <c r="P265" s="3547"/>
      <c r="Q265" s="3191">
        <f t="shared" si="50"/>
        <v>1</v>
      </c>
      <c r="R265" s="2911">
        <f t="shared" si="51"/>
        <v>0</v>
      </c>
      <c r="S265" s="2965">
        <f t="shared" si="52"/>
        <v>0</v>
      </c>
    </row>
    <row r="266" spans="1:19">
      <c r="A266" s="3193"/>
      <c r="B266" s="3545"/>
      <c r="C266" s="3191">
        <f t="shared" si="43"/>
        <v>1</v>
      </c>
      <c r="D266" s="3547"/>
      <c r="E266" s="3191">
        <f t="shared" si="44"/>
        <v>0</v>
      </c>
      <c r="F266" s="3547"/>
      <c r="G266" s="3191">
        <f t="shared" si="45"/>
        <v>1</v>
      </c>
      <c r="H266" s="3547"/>
      <c r="I266" s="3191">
        <f t="shared" si="46"/>
        <v>1</v>
      </c>
      <c r="J266" s="3547"/>
      <c r="K266" s="3191">
        <f t="shared" si="47"/>
        <v>1</v>
      </c>
      <c r="L266" s="3547"/>
      <c r="M266" s="3191">
        <f t="shared" si="48"/>
        <v>1</v>
      </c>
      <c r="N266" s="3547"/>
      <c r="O266" s="3191">
        <f t="shared" si="49"/>
        <v>1</v>
      </c>
      <c r="P266" s="3547"/>
      <c r="Q266" s="3191">
        <f t="shared" si="50"/>
        <v>1</v>
      </c>
      <c r="R266" s="2911">
        <f t="shared" si="51"/>
        <v>0</v>
      </c>
      <c r="S266" s="2965">
        <f t="shared" si="52"/>
        <v>0</v>
      </c>
    </row>
    <row r="267" spans="1:19">
      <c r="A267" s="3193"/>
      <c r="B267" s="3545"/>
      <c r="C267" s="3191">
        <f t="shared" si="43"/>
        <v>1</v>
      </c>
      <c r="D267" s="3547"/>
      <c r="E267" s="3191">
        <f t="shared" si="44"/>
        <v>0</v>
      </c>
      <c r="F267" s="3547"/>
      <c r="G267" s="3191">
        <f t="shared" si="45"/>
        <v>1</v>
      </c>
      <c r="H267" s="3547"/>
      <c r="I267" s="3191">
        <f t="shared" si="46"/>
        <v>1</v>
      </c>
      <c r="J267" s="3547"/>
      <c r="K267" s="3191">
        <f t="shared" si="47"/>
        <v>1</v>
      </c>
      <c r="L267" s="3547"/>
      <c r="M267" s="3191">
        <f t="shared" si="48"/>
        <v>1</v>
      </c>
      <c r="N267" s="3547"/>
      <c r="O267" s="3191">
        <f t="shared" si="49"/>
        <v>1</v>
      </c>
      <c r="P267" s="3547"/>
      <c r="Q267" s="3191">
        <f t="shared" si="50"/>
        <v>1</v>
      </c>
      <c r="R267" s="2911">
        <f t="shared" si="51"/>
        <v>0</v>
      </c>
      <c r="S267" s="2965">
        <f t="shared" si="52"/>
        <v>0</v>
      </c>
    </row>
    <row r="268" spans="1:19">
      <c r="A268" s="3193"/>
      <c r="B268" s="3545"/>
      <c r="C268" s="3191">
        <f t="shared" si="43"/>
        <v>1</v>
      </c>
      <c r="D268" s="3547"/>
      <c r="E268" s="3191">
        <f t="shared" si="44"/>
        <v>0</v>
      </c>
      <c r="F268" s="3547"/>
      <c r="G268" s="3191">
        <f t="shared" si="45"/>
        <v>1</v>
      </c>
      <c r="H268" s="3547"/>
      <c r="I268" s="3191">
        <f t="shared" si="46"/>
        <v>1</v>
      </c>
      <c r="J268" s="3547"/>
      <c r="K268" s="3191">
        <f t="shared" si="47"/>
        <v>1</v>
      </c>
      <c r="L268" s="3547"/>
      <c r="M268" s="3191">
        <f t="shared" si="48"/>
        <v>1</v>
      </c>
      <c r="N268" s="3547"/>
      <c r="O268" s="3191">
        <f t="shared" si="49"/>
        <v>1</v>
      </c>
      <c r="P268" s="3547"/>
      <c r="Q268" s="3191">
        <f t="shared" si="50"/>
        <v>1</v>
      </c>
      <c r="R268" s="2911">
        <f t="shared" si="51"/>
        <v>0</v>
      </c>
      <c r="S268" s="2965">
        <f t="shared" si="52"/>
        <v>0</v>
      </c>
    </row>
    <row r="269" spans="1:19">
      <c r="A269" s="3193"/>
      <c r="B269" s="3545"/>
      <c r="C269" s="3191">
        <f t="shared" si="43"/>
        <v>1</v>
      </c>
      <c r="D269" s="3547"/>
      <c r="E269" s="3191">
        <f t="shared" si="44"/>
        <v>0</v>
      </c>
      <c r="F269" s="3547"/>
      <c r="G269" s="3191">
        <f t="shared" si="45"/>
        <v>1</v>
      </c>
      <c r="H269" s="3547"/>
      <c r="I269" s="3191">
        <f t="shared" si="46"/>
        <v>1</v>
      </c>
      <c r="J269" s="3547"/>
      <c r="K269" s="3191">
        <f t="shared" si="47"/>
        <v>1</v>
      </c>
      <c r="L269" s="3547"/>
      <c r="M269" s="3191">
        <f t="shared" si="48"/>
        <v>1</v>
      </c>
      <c r="N269" s="3547"/>
      <c r="O269" s="3191">
        <f t="shared" si="49"/>
        <v>1</v>
      </c>
      <c r="P269" s="3547"/>
      <c r="Q269" s="3191">
        <f t="shared" si="50"/>
        <v>1</v>
      </c>
      <c r="R269" s="2911">
        <f t="shared" si="51"/>
        <v>0</v>
      </c>
      <c r="S269" s="2965">
        <f t="shared" si="52"/>
        <v>0</v>
      </c>
    </row>
    <row r="270" spans="1:19">
      <c r="A270" s="3193"/>
      <c r="B270" s="3545"/>
      <c r="C270" s="3191">
        <f t="shared" si="43"/>
        <v>1</v>
      </c>
      <c r="D270" s="3547"/>
      <c r="E270" s="3191">
        <f t="shared" si="44"/>
        <v>0</v>
      </c>
      <c r="F270" s="3547"/>
      <c r="G270" s="3191">
        <f t="shared" si="45"/>
        <v>1</v>
      </c>
      <c r="H270" s="3547"/>
      <c r="I270" s="3191">
        <f t="shared" si="46"/>
        <v>1</v>
      </c>
      <c r="J270" s="3547"/>
      <c r="K270" s="3191">
        <f t="shared" si="47"/>
        <v>1</v>
      </c>
      <c r="L270" s="3547"/>
      <c r="M270" s="3191">
        <f t="shared" si="48"/>
        <v>1</v>
      </c>
      <c r="N270" s="3547"/>
      <c r="O270" s="3191">
        <f t="shared" si="49"/>
        <v>1</v>
      </c>
      <c r="P270" s="3547"/>
      <c r="Q270" s="3191">
        <f t="shared" si="50"/>
        <v>1</v>
      </c>
      <c r="R270" s="2911">
        <f t="shared" si="51"/>
        <v>0</v>
      </c>
      <c r="S270" s="2965">
        <f t="shared" si="52"/>
        <v>0</v>
      </c>
    </row>
    <row r="271" spans="1:19">
      <c r="A271" s="3193"/>
      <c r="B271" s="3545"/>
      <c r="C271" s="3191">
        <f t="shared" si="43"/>
        <v>1</v>
      </c>
      <c r="D271" s="3547"/>
      <c r="E271" s="3191">
        <f t="shared" si="44"/>
        <v>0</v>
      </c>
      <c r="F271" s="3547"/>
      <c r="G271" s="3191">
        <f t="shared" si="45"/>
        <v>1</v>
      </c>
      <c r="H271" s="3547"/>
      <c r="I271" s="3191">
        <f t="shared" si="46"/>
        <v>1</v>
      </c>
      <c r="J271" s="3547"/>
      <c r="K271" s="3191">
        <f t="shared" si="47"/>
        <v>1</v>
      </c>
      <c r="L271" s="3547"/>
      <c r="M271" s="3191">
        <f t="shared" si="48"/>
        <v>1</v>
      </c>
      <c r="N271" s="3547"/>
      <c r="O271" s="3191">
        <f t="shared" si="49"/>
        <v>1</v>
      </c>
      <c r="P271" s="3547"/>
      <c r="Q271" s="3191">
        <f t="shared" si="50"/>
        <v>1</v>
      </c>
      <c r="R271" s="2911">
        <f t="shared" si="51"/>
        <v>0</v>
      </c>
      <c r="S271" s="2965">
        <f t="shared" si="52"/>
        <v>0</v>
      </c>
    </row>
    <row r="272" spans="1:19">
      <c r="A272" s="3193"/>
      <c r="B272" s="3545"/>
      <c r="C272" s="3191">
        <f t="shared" si="43"/>
        <v>1</v>
      </c>
      <c r="D272" s="3547"/>
      <c r="E272" s="3191">
        <f t="shared" si="44"/>
        <v>0</v>
      </c>
      <c r="F272" s="3547"/>
      <c r="G272" s="3191">
        <f t="shared" si="45"/>
        <v>1</v>
      </c>
      <c r="H272" s="3547"/>
      <c r="I272" s="3191">
        <f t="shared" si="46"/>
        <v>1</v>
      </c>
      <c r="J272" s="3547"/>
      <c r="K272" s="3191">
        <f t="shared" si="47"/>
        <v>1</v>
      </c>
      <c r="L272" s="3547"/>
      <c r="M272" s="3191">
        <f t="shared" si="48"/>
        <v>1</v>
      </c>
      <c r="N272" s="3547"/>
      <c r="O272" s="3191">
        <f t="shared" si="49"/>
        <v>1</v>
      </c>
      <c r="P272" s="3547"/>
      <c r="Q272" s="3191">
        <f t="shared" si="50"/>
        <v>1</v>
      </c>
      <c r="R272" s="2911">
        <f t="shared" si="51"/>
        <v>0</v>
      </c>
      <c r="S272" s="2965">
        <f t="shared" si="52"/>
        <v>0</v>
      </c>
    </row>
    <row r="273" spans="1:19">
      <c r="A273" s="3193"/>
      <c r="B273" s="3545"/>
      <c r="C273" s="3191">
        <f t="shared" si="43"/>
        <v>1</v>
      </c>
      <c r="D273" s="3547"/>
      <c r="E273" s="3191">
        <f t="shared" si="44"/>
        <v>0</v>
      </c>
      <c r="F273" s="3547"/>
      <c r="G273" s="3191">
        <f t="shared" si="45"/>
        <v>1</v>
      </c>
      <c r="H273" s="3547"/>
      <c r="I273" s="3191">
        <f t="shared" si="46"/>
        <v>1</v>
      </c>
      <c r="J273" s="3547"/>
      <c r="K273" s="3191">
        <f t="shared" si="47"/>
        <v>1</v>
      </c>
      <c r="L273" s="3547"/>
      <c r="M273" s="3191">
        <f t="shared" si="48"/>
        <v>1</v>
      </c>
      <c r="N273" s="3547"/>
      <c r="O273" s="3191">
        <f t="shared" si="49"/>
        <v>1</v>
      </c>
      <c r="P273" s="3547"/>
      <c r="Q273" s="3191">
        <f t="shared" si="50"/>
        <v>1</v>
      </c>
      <c r="R273" s="2911">
        <f t="shared" si="51"/>
        <v>0</v>
      </c>
      <c r="S273" s="2965">
        <f t="shared" si="52"/>
        <v>0</v>
      </c>
    </row>
    <row r="274" spans="1:19">
      <c r="A274" s="3193"/>
      <c r="B274" s="3545"/>
      <c r="C274" s="3191">
        <f t="shared" si="43"/>
        <v>1</v>
      </c>
      <c r="D274" s="3547"/>
      <c r="E274" s="3191">
        <f t="shared" si="44"/>
        <v>0</v>
      </c>
      <c r="F274" s="3547"/>
      <c r="G274" s="3191">
        <f t="shared" si="45"/>
        <v>1</v>
      </c>
      <c r="H274" s="3547"/>
      <c r="I274" s="3191">
        <f t="shared" si="46"/>
        <v>1</v>
      </c>
      <c r="J274" s="3547"/>
      <c r="K274" s="3191">
        <f t="shared" si="47"/>
        <v>1</v>
      </c>
      <c r="L274" s="3547"/>
      <c r="M274" s="3191">
        <f t="shared" si="48"/>
        <v>1</v>
      </c>
      <c r="N274" s="3547"/>
      <c r="O274" s="3191">
        <f t="shared" si="49"/>
        <v>1</v>
      </c>
      <c r="P274" s="3547"/>
      <c r="Q274" s="3191">
        <f t="shared" si="50"/>
        <v>1</v>
      </c>
      <c r="R274" s="2911">
        <f t="shared" si="51"/>
        <v>0</v>
      </c>
      <c r="S274" s="2965">
        <f t="shared" si="52"/>
        <v>0</v>
      </c>
    </row>
    <row r="275" spans="1:19">
      <c r="A275" s="3193"/>
      <c r="B275" s="3545"/>
      <c r="C275" s="3191">
        <f t="shared" si="43"/>
        <v>1</v>
      </c>
      <c r="D275" s="3547"/>
      <c r="E275" s="3191">
        <f t="shared" si="44"/>
        <v>0</v>
      </c>
      <c r="F275" s="3547"/>
      <c r="G275" s="3191">
        <f t="shared" si="45"/>
        <v>1</v>
      </c>
      <c r="H275" s="3547"/>
      <c r="I275" s="3191">
        <f t="shared" si="46"/>
        <v>1</v>
      </c>
      <c r="J275" s="3547"/>
      <c r="K275" s="3191">
        <f t="shared" si="47"/>
        <v>1</v>
      </c>
      <c r="L275" s="3547"/>
      <c r="M275" s="3191">
        <f t="shared" si="48"/>
        <v>1</v>
      </c>
      <c r="N275" s="3547"/>
      <c r="O275" s="3191">
        <f t="shared" si="49"/>
        <v>1</v>
      </c>
      <c r="P275" s="3547"/>
      <c r="Q275" s="3191">
        <f t="shared" si="50"/>
        <v>1</v>
      </c>
      <c r="R275" s="2911">
        <f t="shared" si="51"/>
        <v>0</v>
      </c>
      <c r="S275" s="2965">
        <f t="shared" si="52"/>
        <v>0</v>
      </c>
    </row>
    <row r="276" spans="1:19">
      <c r="A276" s="3193"/>
      <c r="B276" s="3545"/>
      <c r="C276" s="3191">
        <f t="shared" si="43"/>
        <v>1</v>
      </c>
      <c r="D276" s="3547"/>
      <c r="E276" s="3191">
        <f t="shared" si="44"/>
        <v>0</v>
      </c>
      <c r="F276" s="3547"/>
      <c r="G276" s="3191">
        <f t="shared" si="45"/>
        <v>1</v>
      </c>
      <c r="H276" s="3547"/>
      <c r="I276" s="3191">
        <f t="shared" si="46"/>
        <v>1</v>
      </c>
      <c r="J276" s="3547"/>
      <c r="K276" s="3191">
        <f t="shared" si="47"/>
        <v>1</v>
      </c>
      <c r="L276" s="3547"/>
      <c r="M276" s="3191">
        <f t="shared" si="48"/>
        <v>1</v>
      </c>
      <c r="N276" s="3547"/>
      <c r="O276" s="3191">
        <f t="shared" si="49"/>
        <v>1</v>
      </c>
      <c r="P276" s="3547"/>
      <c r="Q276" s="3191">
        <f t="shared" si="50"/>
        <v>1</v>
      </c>
      <c r="R276" s="2911">
        <f t="shared" si="51"/>
        <v>0</v>
      </c>
      <c r="S276" s="2965">
        <f t="shared" si="52"/>
        <v>0</v>
      </c>
    </row>
    <row r="277" spans="1:19">
      <c r="A277" s="3193"/>
      <c r="B277" s="3545"/>
      <c r="C277" s="3191">
        <f t="shared" si="43"/>
        <v>1</v>
      </c>
      <c r="D277" s="3547"/>
      <c r="E277" s="3191">
        <f t="shared" si="44"/>
        <v>0</v>
      </c>
      <c r="F277" s="3547"/>
      <c r="G277" s="3191">
        <f t="shared" si="45"/>
        <v>1</v>
      </c>
      <c r="H277" s="3547"/>
      <c r="I277" s="3191">
        <f t="shared" si="46"/>
        <v>1</v>
      </c>
      <c r="J277" s="3547"/>
      <c r="K277" s="3191">
        <f t="shared" si="47"/>
        <v>1</v>
      </c>
      <c r="L277" s="3547"/>
      <c r="M277" s="3191">
        <f t="shared" si="48"/>
        <v>1</v>
      </c>
      <c r="N277" s="3547"/>
      <c r="O277" s="3191">
        <f t="shared" si="49"/>
        <v>1</v>
      </c>
      <c r="P277" s="3547"/>
      <c r="Q277" s="3191">
        <f t="shared" si="50"/>
        <v>1</v>
      </c>
      <c r="R277" s="2911">
        <f t="shared" si="51"/>
        <v>0</v>
      </c>
      <c r="S277" s="2965">
        <f t="shared" si="52"/>
        <v>0</v>
      </c>
    </row>
    <row r="278" spans="1:19">
      <c r="A278" s="3193"/>
      <c r="B278" s="3545"/>
      <c r="C278" s="3191">
        <f t="shared" si="43"/>
        <v>1</v>
      </c>
      <c r="D278" s="3547"/>
      <c r="E278" s="3191">
        <f t="shared" si="44"/>
        <v>0</v>
      </c>
      <c r="F278" s="3547"/>
      <c r="G278" s="3191">
        <f t="shared" si="45"/>
        <v>1</v>
      </c>
      <c r="H278" s="3547"/>
      <c r="I278" s="3191">
        <f t="shared" si="46"/>
        <v>1</v>
      </c>
      <c r="J278" s="3547"/>
      <c r="K278" s="3191">
        <f t="shared" si="47"/>
        <v>1</v>
      </c>
      <c r="L278" s="3547"/>
      <c r="M278" s="3191">
        <f t="shared" si="48"/>
        <v>1</v>
      </c>
      <c r="N278" s="3547"/>
      <c r="O278" s="3191">
        <f t="shared" si="49"/>
        <v>1</v>
      </c>
      <c r="P278" s="3547"/>
      <c r="Q278" s="3191">
        <f t="shared" si="50"/>
        <v>1</v>
      </c>
      <c r="R278" s="2911">
        <f t="shared" si="51"/>
        <v>0</v>
      </c>
      <c r="S278" s="2965">
        <f t="shared" si="52"/>
        <v>0</v>
      </c>
    </row>
    <row r="279" spans="1:19">
      <c r="A279" s="3193"/>
      <c r="B279" s="3545"/>
      <c r="C279" s="3191">
        <f t="shared" si="43"/>
        <v>1</v>
      </c>
      <c r="D279" s="3547"/>
      <c r="E279" s="3191">
        <f t="shared" si="44"/>
        <v>0</v>
      </c>
      <c r="F279" s="3547"/>
      <c r="G279" s="3191">
        <f t="shared" si="45"/>
        <v>1</v>
      </c>
      <c r="H279" s="3547"/>
      <c r="I279" s="3191">
        <f t="shared" si="46"/>
        <v>1</v>
      </c>
      <c r="J279" s="3547"/>
      <c r="K279" s="3191">
        <f t="shared" si="47"/>
        <v>1</v>
      </c>
      <c r="L279" s="3547"/>
      <c r="M279" s="3191">
        <f t="shared" si="48"/>
        <v>1</v>
      </c>
      <c r="N279" s="3547"/>
      <c r="O279" s="3191">
        <f t="shared" si="49"/>
        <v>1</v>
      </c>
      <c r="P279" s="3547"/>
      <c r="Q279" s="3191">
        <f t="shared" si="50"/>
        <v>1</v>
      </c>
      <c r="R279" s="2911">
        <f t="shared" si="51"/>
        <v>0</v>
      </c>
      <c r="S279" s="2965">
        <f t="shared" si="52"/>
        <v>0</v>
      </c>
    </row>
    <row r="280" spans="1:19">
      <c r="A280" s="3193"/>
      <c r="B280" s="3545"/>
      <c r="C280" s="3191">
        <f t="shared" si="43"/>
        <v>1</v>
      </c>
      <c r="D280" s="3547"/>
      <c r="E280" s="3191">
        <f t="shared" si="44"/>
        <v>0</v>
      </c>
      <c r="F280" s="3547"/>
      <c r="G280" s="3191">
        <f t="shared" si="45"/>
        <v>1</v>
      </c>
      <c r="H280" s="3547"/>
      <c r="I280" s="3191">
        <f t="shared" si="46"/>
        <v>1</v>
      </c>
      <c r="J280" s="3547"/>
      <c r="K280" s="3191">
        <f t="shared" si="47"/>
        <v>1</v>
      </c>
      <c r="L280" s="3547"/>
      <c r="M280" s="3191">
        <f t="shared" si="48"/>
        <v>1</v>
      </c>
      <c r="N280" s="3547"/>
      <c r="O280" s="3191">
        <f t="shared" si="49"/>
        <v>1</v>
      </c>
      <c r="P280" s="3547"/>
      <c r="Q280" s="3191">
        <f t="shared" si="50"/>
        <v>1</v>
      </c>
      <c r="R280" s="2911">
        <f t="shared" si="51"/>
        <v>0</v>
      </c>
      <c r="S280" s="2965">
        <f t="shared" si="52"/>
        <v>0</v>
      </c>
    </row>
    <row r="281" spans="1:19">
      <c r="A281" s="3193"/>
      <c r="B281" s="3545"/>
      <c r="C281" s="3191">
        <f t="shared" si="43"/>
        <v>1</v>
      </c>
      <c r="D281" s="3547"/>
      <c r="E281" s="3191">
        <f t="shared" si="44"/>
        <v>0</v>
      </c>
      <c r="F281" s="3547"/>
      <c r="G281" s="3191">
        <f t="shared" si="45"/>
        <v>1</v>
      </c>
      <c r="H281" s="3547"/>
      <c r="I281" s="3191">
        <f t="shared" si="46"/>
        <v>1</v>
      </c>
      <c r="J281" s="3547"/>
      <c r="K281" s="3191">
        <f t="shared" si="47"/>
        <v>1</v>
      </c>
      <c r="L281" s="3547"/>
      <c r="M281" s="3191">
        <f t="shared" si="48"/>
        <v>1</v>
      </c>
      <c r="N281" s="3547"/>
      <c r="O281" s="3191">
        <f t="shared" si="49"/>
        <v>1</v>
      </c>
      <c r="P281" s="3547"/>
      <c r="Q281" s="3191">
        <f t="shared" si="50"/>
        <v>1</v>
      </c>
      <c r="R281" s="2911">
        <f t="shared" si="51"/>
        <v>0</v>
      </c>
      <c r="S281" s="2965">
        <f t="shared" si="52"/>
        <v>0</v>
      </c>
    </row>
    <row r="282" spans="1:19">
      <c r="A282" s="3193"/>
      <c r="B282" s="3545"/>
      <c r="C282" s="3191">
        <f t="shared" ref="C282:C345" si="53">IF(B282="",1,(LOOKUP(B282,$3:$3,$4:$4)-LOOKUP($B$24,$3:$3,$4:$4)+100)/100)</f>
        <v>1</v>
      </c>
      <c r="D282" s="3547"/>
      <c r="E282" s="3191">
        <f t="shared" ref="E282:E345" si="54">(SUMIF($5:$5,D282,$6:$6)-SUMIF($5:$5,$D$24,$6:$6)+100)/100</f>
        <v>0</v>
      </c>
      <c r="F282" s="3547"/>
      <c r="G282" s="3191">
        <f t="shared" ref="G282:G345" si="55">(SUMIF($7:$7,F282,$8:$8)-SUMIF($7:$7,$F$24,$8:$8)+100)/100</f>
        <v>1</v>
      </c>
      <c r="H282" s="3547"/>
      <c r="I282" s="3191">
        <f t="shared" ref="I282:I345" si="56">(SUMIF($9:$9,H282,$10:$10)-SUMIF($9:$9,$H$24,$10:$10)+100)/100</f>
        <v>1</v>
      </c>
      <c r="J282" s="3547"/>
      <c r="K282" s="3191">
        <f t="shared" ref="K282:K345" si="57">(SUMIF($11:$11,J282,$12:$12)-SUMIF($11:$11,$J$24,$12:$12)+100)/100</f>
        <v>1</v>
      </c>
      <c r="L282" s="3547"/>
      <c r="M282" s="3191">
        <f t="shared" ref="M282:M345" si="58">(SUMIF($13:$13,L282,$14:$14)-SUMIF($13:$13,$L$24,$14:$14)+100)/100</f>
        <v>1</v>
      </c>
      <c r="N282" s="3547"/>
      <c r="O282" s="3191">
        <f t="shared" ref="O282:O345" si="59">(SUMIF($15:$15,N282,$16:$16)-SUMIF($15:$15,$N$24,$16:$16)+100)/100</f>
        <v>1</v>
      </c>
      <c r="P282" s="3547"/>
      <c r="Q282" s="3191">
        <f t="shared" ref="Q282:Q345" si="60">(SUMIF($17:$17,P282,$18:$18)-SUMIF($17:$17,$P$24,$18:$18)+100)/100</f>
        <v>1</v>
      </c>
      <c r="R282" s="2911">
        <f t="shared" ref="R282:R345" si="61">IF(B282="",0,ROUND($R$24*C282*E282*G282*I282*K282*M282*O282*Q282,0))</f>
        <v>0</v>
      </c>
      <c r="S282" s="2965">
        <f t="shared" si="52"/>
        <v>0</v>
      </c>
    </row>
    <row r="283" spans="1:19">
      <c r="A283" s="3193"/>
      <c r="B283" s="3545"/>
      <c r="C283" s="3191">
        <f t="shared" si="53"/>
        <v>1</v>
      </c>
      <c r="D283" s="3547"/>
      <c r="E283" s="3191">
        <f t="shared" si="54"/>
        <v>0</v>
      </c>
      <c r="F283" s="3547"/>
      <c r="G283" s="3191">
        <f t="shared" si="55"/>
        <v>1</v>
      </c>
      <c r="H283" s="3547"/>
      <c r="I283" s="3191">
        <f t="shared" si="56"/>
        <v>1</v>
      </c>
      <c r="J283" s="3547"/>
      <c r="K283" s="3191">
        <f t="shared" si="57"/>
        <v>1</v>
      </c>
      <c r="L283" s="3547"/>
      <c r="M283" s="3191">
        <f t="shared" si="58"/>
        <v>1</v>
      </c>
      <c r="N283" s="3547"/>
      <c r="O283" s="3191">
        <f t="shared" si="59"/>
        <v>1</v>
      </c>
      <c r="P283" s="3547"/>
      <c r="Q283" s="3191">
        <f t="shared" si="60"/>
        <v>1</v>
      </c>
      <c r="R283" s="2911">
        <f t="shared" si="61"/>
        <v>0</v>
      </c>
      <c r="S283" s="2965">
        <f t="shared" si="52"/>
        <v>0</v>
      </c>
    </row>
    <row r="284" spans="1:19">
      <c r="A284" s="3193"/>
      <c r="B284" s="3545"/>
      <c r="C284" s="3191">
        <f t="shared" si="53"/>
        <v>1</v>
      </c>
      <c r="D284" s="3547"/>
      <c r="E284" s="3191">
        <f t="shared" si="54"/>
        <v>0</v>
      </c>
      <c r="F284" s="3547"/>
      <c r="G284" s="3191">
        <f t="shared" si="55"/>
        <v>1</v>
      </c>
      <c r="H284" s="3547"/>
      <c r="I284" s="3191">
        <f t="shared" si="56"/>
        <v>1</v>
      </c>
      <c r="J284" s="3547"/>
      <c r="K284" s="3191">
        <f t="shared" si="57"/>
        <v>1</v>
      </c>
      <c r="L284" s="3547"/>
      <c r="M284" s="3191">
        <f t="shared" si="58"/>
        <v>1</v>
      </c>
      <c r="N284" s="3547"/>
      <c r="O284" s="3191">
        <f t="shared" si="59"/>
        <v>1</v>
      </c>
      <c r="P284" s="3547"/>
      <c r="Q284" s="3191">
        <f t="shared" si="60"/>
        <v>1</v>
      </c>
      <c r="R284" s="2911">
        <f t="shared" si="61"/>
        <v>0</v>
      </c>
      <c r="S284" s="2965">
        <f t="shared" si="52"/>
        <v>0</v>
      </c>
    </row>
    <row r="285" spans="1:19">
      <c r="A285" s="3193"/>
      <c r="B285" s="3545"/>
      <c r="C285" s="3191">
        <f t="shared" si="53"/>
        <v>1</v>
      </c>
      <c r="D285" s="3547"/>
      <c r="E285" s="3191">
        <f t="shared" si="54"/>
        <v>0</v>
      </c>
      <c r="F285" s="3547"/>
      <c r="G285" s="3191">
        <f t="shared" si="55"/>
        <v>1</v>
      </c>
      <c r="H285" s="3547"/>
      <c r="I285" s="3191">
        <f t="shared" si="56"/>
        <v>1</v>
      </c>
      <c r="J285" s="3547"/>
      <c r="K285" s="3191">
        <f t="shared" si="57"/>
        <v>1</v>
      </c>
      <c r="L285" s="3547"/>
      <c r="M285" s="3191">
        <f t="shared" si="58"/>
        <v>1</v>
      </c>
      <c r="N285" s="3547"/>
      <c r="O285" s="3191">
        <f t="shared" si="59"/>
        <v>1</v>
      </c>
      <c r="P285" s="3547"/>
      <c r="Q285" s="3191">
        <f t="shared" si="60"/>
        <v>1</v>
      </c>
      <c r="R285" s="2911">
        <f t="shared" si="61"/>
        <v>0</v>
      </c>
      <c r="S285" s="2965">
        <f t="shared" si="52"/>
        <v>0</v>
      </c>
    </row>
    <row r="286" spans="1:19">
      <c r="A286" s="3193"/>
      <c r="B286" s="3545"/>
      <c r="C286" s="3191">
        <f t="shared" si="53"/>
        <v>1</v>
      </c>
      <c r="D286" s="3547"/>
      <c r="E286" s="3191">
        <f t="shared" si="54"/>
        <v>0</v>
      </c>
      <c r="F286" s="3547"/>
      <c r="G286" s="3191">
        <f t="shared" si="55"/>
        <v>1</v>
      </c>
      <c r="H286" s="3547"/>
      <c r="I286" s="3191">
        <f t="shared" si="56"/>
        <v>1</v>
      </c>
      <c r="J286" s="3547"/>
      <c r="K286" s="3191">
        <f t="shared" si="57"/>
        <v>1</v>
      </c>
      <c r="L286" s="3547"/>
      <c r="M286" s="3191">
        <f t="shared" si="58"/>
        <v>1</v>
      </c>
      <c r="N286" s="3547"/>
      <c r="O286" s="3191">
        <f t="shared" si="59"/>
        <v>1</v>
      </c>
      <c r="P286" s="3547"/>
      <c r="Q286" s="3191">
        <f t="shared" si="60"/>
        <v>1</v>
      </c>
      <c r="R286" s="2911">
        <f t="shared" si="61"/>
        <v>0</v>
      </c>
      <c r="S286" s="2965">
        <f t="shared" si="52"/>
        <v>0</v>
      </c>
    </row>
    <row r="287" spans="1:19">
      <c r="A287" s="3193"/>
      <c r="B287" s="3545"/>
      <c r="C287" s="3191">
        <f t="shared" si="53"/>
        <v>1</v>
      </c>
      <c r="D287" s="3547"/>
      <c r="E287" s="3191">
        <f t="shared" si="54"/>
        <v>0</v>
      </c>
      <c r="F287" s="3547"/>
      <c r="G287" s="3191">
        <f t="shared" si="55"/>
        <v>1</v>
      </c>
      <c r="H287" s="3547"/>
      <c r="I287" s="3191">
        <f t="shared" si="56"/>
        <v>1</v>
      </c>
      <c r="J287" s="3547"/>
      <c r="K287" s="3191">
        <f t="shared" si="57"/>
        <v>1</v>
      </c>
      <c r="L287" s="3547"/>
      <c r="M287" s="3191">
        <f t="shared" si="58"/>
        <v>1</v>
      </c>
      <c r="N287" s="3547"/>
      <c r="O287" s="3191">
        <f t="shared" si="59"/>
        <v>1</v>
      </c>
      <c r="P287" s="3547"/>
      <c r="Q287" s="3191">
        <f t="shared" si="60"/>
        <v>1</v>
      </c>
      <c r="R287" s="2911">
        <f t="shared" si="61"/>
        <v>0</v>
      </c>
      <c r="S287" s="2965">
        <f t="shared" ref="S287:S320" si="62">ROUND(R287*B287/10000,0)</f>
        <v>0</v>
      </c>
    </row>
    <row r="288" spans="1:19">
      <c r="A288" s="3193"/>
      <c r="B288" s="3545"/>
      <c r="C288" s="3191">
        <f t="shared" si="53"/>
        <v>1</v>
      </c>
      <c r="D288" s="3547"/>
      <c r="E288" s="3191">
        <f t="shared" si="54"/>
        <v>0</v>
      </c>
      <c r="F288" s="3547"/>
      <c r="G288" s="3191">
        <f t="shared" si="55"/>
        <v>1</v>
      </c>
      <c r="H288" s="3547"/>
      <c r="I288" s="3191">
        <f t="shared" si="56"/>
        <v>1</v>
      </c>
      <c r="J288" s="3547"/>
      <c r="K288" s="3191">
        <f t="shared" si="57"/>
        <v>1</v>
      </c>
      <c r="L288" s="3547"/>
      <c r="M288" s="3191">
        <f t="shared" si="58"/>
        <v>1</v>
      </c>
      <c r="N288" s="3547"/>
      <c r="O288" s="3191">
        <f t="shared" si="59"/>
        <v>1</v>
      </c>
      <c r="P288" s="3547"/>
      <c r="Q288" s="3191">
        <f t="shared" si="60"/>
        <v>1</v>
      </c>
      <c r="R288" s="2911">
        <f t="shared" si="61"/>
        <v>0</v>
      </c>
      <c r="S288" s="2965">
        <f t="shared" si="62"/>
        <v>0</v>
      </c>
    </row>
    <row r="289" spans="1:19">
      <c r="A289" s="3193"/>
      <c r="B289" s="3545"/>
      <c r="C289" s="3191">
        <f t="shared" si="53"/>
        <v>1</v>
      </c>
      <c r="D289" s="3547"/>
      <c r="E289" s="3191">
        <f t="shared" si="54"/>
        <v>0</v>
      </c>
      <c r="F289" s="3547"/>
      <c r="G289" s="3191">
        <f t="shared" si="55"/>
        <v>1</v>
      </c>
      <c r="H289" s="3547"/>
      <c r="I289" s="3191">
        <f t="shared" si="56"/>
        <v>1</v>
      </c>
      <c r="J289" s="3547"/>
      <c r="K289" s="3191">
        <f t="shared" si="57"/>
        <v>1</v>
      </c>
      <c r="L289" s="3547"/>
      <c r="M289" s="3191">
        <f t="shared" si="58"/>
        <v>1</v>
      </c>
      <c r="N289" s="3547"/>
      <c r="O289" s="3191">
        <f t="shared" si="59"/>
        <v>1</v>
      </c>
      <c r="P289" s="3547"/>
      <c r="Q289" s="3191">
        <f t="shared" si="60"/>
        <v>1</v>
      </c>
      <c r="R289" s="2911">
        <f t="shared" si="61"/>
        <v>0</v>
      </c>
      <c r="S289" s="2965">
        <f t="shared" si="62"/>
        <v>0</v>
      </c>
    </row>
    <row r="290" spans="1:19">
      <c r="A290" s="3193"/>
      <c r="B290" s="3545"/>
      <c r="C290" s="3191">
        <f t="shared" si="53"/>
        <v>1</v>
      </c>
      <c r="D290" s="3547"/>
      <c r="E290" s="3191">
        <f t="shared" si="54"/>
        <v>0</v>
      </c>
      <c r="F290" s="3547"/>
      <c r="G290" s="3191">
        <f t="shared" si="55"/>
        <v>1</v>
      </c>
      <c r="H290" s="3547"/>
      <c r="I290" s="3191">
        <f t="shared" si="56"/>
        <v>1</v>
      </c>
      <c r="J290" s="3547"/>
      <c r="K290" s="3191">
        <f t="shared" si="57"/>
        <v>1</v>
      </c>
      <c r="L290" s="3547"/>
      <c r="M290" s="3191">
        <f t="shared" si="58"/>
        <v>1</v>
      </c>
      <c r="N290" s="3547"/>
      <c r="O290" s="3191">
        <f t="shared" si="59"/>
        <v>1</v>
      </c>
      <c r="P290" s="3547"/>
      <c r="Q290" s="3191">
        <f t="shared" si="60"/>
        <v>1</v>
      </c>
      <c r="R290" s="2911">
        <f t="shared" si="61"/>
        <v>0</v>
      </c>
      <c r="S290" s="2965">
        <f t="shared" si="62"/>
        <v>0</v>
      </c>
    </row>
    <row r="291" spans="1:19">
      <c r="A291" s="3193"/>
      <c r="B291" s="3545"/>
      <c r="C291" s="3191">
        <f t="shared" si="53"/>
        <v>1</v>
      </c>
      <c r="D291" s="3547"/>
      <c r="E291" s="3191">
        <f t="shared" si="54"/>
        <v>0</v>
      </c>
      <c r="F291" s="3547"/>
      <c r="G291" s="3191">
        <f t="shared" si="55"/>
        <v>1</v>
      </c>
      <c r="H291" s="3547"/>
      <c r="I291" s="3191">
        <f t="shared" si="56"/>
        <v>1</v>
      </c>
      <c r="J291" s="3547"/>
      <c r="K291" s="3191">
        <f t="shared" si="57"/>
        <v>1</v>
      </c>
      <c r="L291" s="3547"/>
      <c r="M291" s="3191">
        <f t="shared" si="58"/>
        <v>1</v>
      </c>
      <c r="N291" s="3547"/>
      <c r="O291" s="3191">
        <f t="shared" si="59"/>
        <v>1</v>
      </c>
      <c r="P291" s="3547"/>
      <c r="Q291" s="3191">
        <f t="shared" si="60"/>
        <v>1</v>
      </c>
      <c r="R291" s="2911">
        <f t="shared" si="61"/>
        <v>0</v>
      </c>
      <c r="S291" s="2965">
        <f t="shared" si="62"/>
        <v>0</v>
      </c>
    </row>
    <row r="292" spans="1:19">
      <c r="A292" s="3193"/>
      <c r="B292" s="3545"/>
      <c r="C292" s="3191">
        <f t="shared" si="53"/>
        <v>1</v>
      </c>
      <c r="D292" s="3547"/>
      <c r="E292" s="3191">
        <f t="shared" si="54"/>
        <v>0</v>
      </c>
      <c r="F292" s="3547"/>
      <c r="G292" s="3191">
        <f t="shared" si="55"/>
        <v>1</v>
      </c>
      <c r="H292" s="3547"/>
      <c r="I292" s="3191">
        <f t="shared" si="56"/>
        <v>1</v>
      </c>
      <c r="J292" s="3547"/>
      <c r="K292" s="3191">
        <f t="shared" si="57"/>
        <v>1</v>
      </c>
      <c r="L292" s="3547"/>
      <c r="M292" s="3191">
        <f t="shared" si="58"/>
        <v>1</v>
      </c>
      <c r="N292" s="3547"/>
      <c r="O292" s="3191">
        <f t="shared" si="59"/>
        <v>1</v>
      </c>
      <c r="P292" s="3547"/>
      <c r="Q292" s="3191">
        <f t="shared" si="60"/>
        <v>1</v>
      </c>
      <c r="R292" s="2911">
        <f t="shared" si="61"/>
        <v>0</v>
      </c>
      <c r="S292" s="2965">
        <f t="shared" si="62"/>
        <v>0</v>
      </c>
    </row>
    <row r="293" spans="1:19">
      <c r="A293" s="3193"/>
      <c r="B293" s="3545"/>
      <c r="C293" s="3191">
        <f t="shared" si="53"/>
        <v>1</v>
      </c>
      <c r="D293" s="3547"/>
      <c r="E293" s="3191">
        <f t="shared" si="54"/>
        <v>0</v>
      </c>
      <c r="F293" s="3547"/>
      <c r="G293" s="3191">
        <f t="shared" si="55"/>
        <v>1</v>
      </c>
      <c r="H293" s="3547"/>
      <c r="I293" s="3191">
        <f t="shared" si="56"/>
        <v>1</v>
      </c>
      <c r="J293" s="3547"/>
      <c r="K293" s="3191">
        <f t="shared" si="57"/>
        <v>1</v>
      </c>
      <c r="L293" s="3547"/>
      <c r="M293" s="3191">
        <f t="shared" si="58"/>
        <v>1</v>
      </c>
      <c r="N293" s="3547"/>
      <c r="O293" s="3191">
        <f t="shared" si="59"/>
        <v>1</v>
      </c>
      <c r="P293" s="3547"/>
      <c r="Q293" s="3191">
        <f t="shared" si="60"/>
        <v>1</v>
      </c>
      <c r="R293" s="2911">
        <f t="shared" si="61"/>
        <v>0</v>
      </c>
      <c r="S293" s="2965">
        <f t="shared" si="62"/>
        <v>0</v>
      </c>
    </row>
    <row r="294" spans="1:19">
      <c r="A294" s="3193"/>
      <c r="B294" s="3545"/>
      <c r="C294" s="3191">
        <f t="shared" si="53"/>
        <v>1</v>
      </c>
      <c r="D294" s="3547"/>
      <c r="E294" s="3191">
        <f t="shared" si="54"/>
        <v>0</v>
      </c>
      <c r="F294" s="3547"/>
      <c r="G294" s="3191">
        <f t="shared" si="55"/>
        <v>1</v>
      </c>
      <c r="H294" s="3547"/>
      <c r="I294" s="3191">
        <f t="shared" si="56"/>
        <v>1</v>
      </c>
      <c r="J294" s="3547"/>
      <c r="K294" s="3191">
        <f t="shared" si="57"/>
        <v>1</v>
      </c>
      <c r="L294" s="3547"/>
      <c r="M294" s="3191">
        <f t="shared" si="58"/>
        <v>1</v>
      </c>
      <c r="N294" s="3547"/>
      <c r="O294" s="3191">
        <f t="shared" si="59"/>
        <v>1</v>
      </c>
      <c r="P294" s="3547"/>
      <c r="Q294" s="3191">
        <f t="shared" si="60"/>
        <v>1</v>
      </c>
      <c r="R294" s="2911">
        <f t="shared" si="61"/>
        <v>0</v>
      </c>
      <c r="S294" s="2965">
        <f t="shared" si="62"/>
        <v>0</v>
      </c>
    </row>
    <row r="295" spans="1:19">
      <c r="A295" s="3193"/>
      <c r="B295" s="3545"/>
      <c r="C295" s="3191">
        <f t="shared" si="53"/>
        <v>1</v>
      </c>
      <c r="D295" s="3547"/>
      <c r="E295" s="3191">
        <f t="shared" si="54"/>
        <v>0</v>
      </c>
      <c r="F295" s="3547"/>
      <c r="G295" s="3191">
        <f t="shared" si="55"/>
        <v>1</v>
      </c>
      <c r="H295" s="3547"/>
      <c r="I295" s="3191">
        <f t="shared" si="56"/>
        <v>1</v>
      </c>
      <c r="J295" s="3547"/>
      <c r="K295" s="3191">
        <f t="shared" si="57"/>
        <v>1</v>
      </c>
      <c r="L295" s="3547"/>
      <c r="M295" s="3191">
        <f t="shared" si="58"/>
        <v>1</v>
      </c>
      <c r="N295" s="3547"/>
      <c r="O295" s="3191">
        <f t="shared" si="59"/>
        <v>1</v>
      </c>
      <c r="P295" s="3547"/>
      <c r="Q295" s="3191">
        <f t="shared" si="60"/>
        <v>1</v>
      </c>
      <c r="R295" s="2911">
        <f t="shared" si="61"/>
        <v>0</v>
      </c>
      <c r="S295" s="2965">
        <f t="shared" si="62"/>
        <v>0</v>
      </c>
    </row>
    <row r="296" spans="1:19">
      <c r="A296" s="3193"/>
      <c r="B296" s="3545"/>
      <c r="C296" s="3191">
        <f t="shared" si="53"/>
        <v>1</v>
      </c>
      <c r="D296" s="3547"/>
      <c r="E296" s="3191">
        <f t="shared" si="54"/>
        <v>0</v>
      </c>
      <c r="F296" s="3547"/>
      <c r="G296" s="3191">
        <f t="shared" si="55"/>
        <v>1</v>
      </c>
      <c r="H296" s="3547"/>
      <c r="I296" s="3191">
        <f t="shared" si="56"/>
        <v>1</v>
      </c>
      <c r="J296" s="3547"/>
      <c r="K296" s="3191">
        <f t="shared" si="57"/>
        <v>1</v>
      </c>
      <c r="L296" s="3547"/>
      <c r="M296" s="3191">
        <f t="shared" si="58"/>
        <v>1</v>
      </c>
      <c r="N296" s="3547"/>
      <c r="O296" s="3191">
        <f t="shared" si="59"/>
        <v>1</v>
      </c>
      <c r="P296" s="3547"/>
      <c r="Q296" s="3191">
        <f t="shared" si="60"/>
        <v>1</v>
      </c>
      <c r="R296" s="2911">
        <f t="shared" si="61"/>
        <v>0</v>
      </c>
      <c r="S296" s="2965">
        <f t="shared" si="62"/>
        <v>0</v>
      </c>
    </row>
    <row r="297" spans="1:19">
      <c r="A297" s="3193"/>
      <c r="B297" s="3545"/>
      <c r="C297" s="3191">
        <f t="shared" si="53"/>
        <v>1</v>
      </c>
      <c r="D297" s="3547"/>
      <c r="E297" s="3191">
        <f t="shared" si="54"/>
        <v>0</v>
      </c>
      <c r="F297" s="3547"/>
      <c r="G297" s="3191">
        <f t="shared" si="55"/>
        <v>1</v>
      </c>
      <c r="H297" s="3547"/>
      <c r="I297" s="3191">
        <f t="shared" si="56"/>
        <v>1</v>
      </c>
      <c r="J297" s="3547"/>
      <c r="K297" s="3191">
        <f t="shared" si="57"/>
        <v>1</v>
      </c>
      <c r="L297" s="3547"/>
      <c r="M297" s="3191">
        <f t="shared" si="58"/>
        <v>1</v>
      </c>
      <c r="N297" s="3547"/>
      <c r="O297" s="3191">
        <f t="shared" si="59"/>
        <v>1</v>
      </c>
      <c r="P297" s="3547"/>
      <c r="Q297" s="3191">
        <f t="shared" si="60"/>
        <v>1</v>
      </c>
      <c r="R297" s="2911">
        <f t="shared" si="61"/>
        <v>0</v>
      </c>
      <c r="S297" s="2965">
        <f t="shared" si="62"/>
        <v>0</v>
      </c>
    </row>
    <row r="298" spans="1:19">
      <c r="A298" s="3193"/>
      <c r="B298" s="3545"/>
      <c r="C298" s="3191">
        <f t="shared" si="53"/>
        <v>1</v>
      </c>
      <c r="D298" s="3547"/>
      <c r="E298" s="3191">
        <f t="shared" si="54"/>
        <v>0</v>
      </c>
      <c r="F298" s="3547"/>
      <c r="G298" s="3191">
        <f t="shared" si="55"/>
        <v>1</v>
      </c>
      <c r="H298" s="3547"/>
      <c r="I298" s="3191">
        <f t="shared" si="56"/>
        <v>1</v>
      </c>
      <c r="J298" s="3547"/>
      <c r="K298" s="3191">
        <f t="shared" si="57"/>
        <v>1</v>
      </c>
      <c r="L298" s="3547"/>
      <c r="M298" s="3191">
        <f t="shared" si="58"/>
        <v>1</v>
      </c>
      <c r="N298" s="3547"/>
      <c r="O298" s="3191">
        <f t="shared" si="59"/>
        <v>1</v>
      </c>
      <c r="P298" s="3547"/>
      <c r="Q298" s="3191">
        <f t="shared" si="60"/>
        <v>1</v>
      </c>
      <c r="R298" s="2911">
        <f t="shared" si="61"/>
        <v>0</v>
      </c>
      <c r="S298" s="2965">
        <f t="shared" si="62"/>
        <v>0</v>
      </c>
    </row>
    <row r="299" spans="1:19">
      <c r="A299" s="3193"/>
      <c r="B299" s="3545"/>
      <c r="C299" s="3191">
        <f t="shared" si="53"/>
        <v>1</v>
      </c>
      <c r="D299" s="3547"/>
      <c r="E299" s="3191">
        <f t="shared" si="54"/>
        <v>0</v>
      </c>
      <c r="F299" s="3547"/>
      <c r="G299" s="3191">
        <f t="shared" si="55"/>
        <v>1</v>
      </c>
      <c r="H299" s="3547"/>
      <c r="I299" s="3191">
        <f t="shared" si="56"/>
        <v>1</v>
      </c>
      <c r="J299" s="3547"/>
      <c r="K299" s="3191">
        <f t="shared" si="57"/>
        <v>1</v>
      </c>
      <c r="L299" s="3547"/>
      <c r="M299" s="3191">
        <f t="shared" si="58"/>
        <v>1</v>
      </c>
      <c r="N299" s="3547"/>
      <c r="O299" s="3191">
        <f t="shared" si="59"/>
        <v>1</v>
      </c>
      <c r="P299" s="3547"/>
      <c r="Q299" s="3191">
        <f t="shared" si="60"/>
        <v>1</v>
      </c>
      <c r="R299" s="2911">
        <f t="shared" si="61"/>
        <v>0</v>
      </c>
      <c r="S299" s="2965">
        <f t="shared" si="62"/>
        <v>0</v>
      </c>
    </row>
    <row r="300" spans="1:19">
      <c r="A300" s="3193"/>
      <c r="B300" s="3545"/>
      <c r="C300" s="3191">
        <f t="shared" si="53"/>
        <v>1</v>
      </c>
      <c r="D300" s="3547"/>
      <c r="E300" s="3191">
        <f t="shared" si="54"/>
        <v>0</v>
      </c>
      <c r="F300" s="3547"/>
      <c r="G300" s="3191">
        <f t="shared" si="55"/>
        <v>1</v>
      </c>
      <c r="H300" s="3547"/>
      <c r="I300" s="3191">
        <f t="shared" si="56"/>
        <v>1</v>
      </c>
      <c r="J300" s="3547"/>
      <c r="K300" s="3191">
        <f t="shared" si="57"/>
        <v>1</v>
      </c>
      <c r="L300" s="3547"/>
      <c r="M300" s="3191">
        <f t="shared" si="58"/>
        <v>1</v>
      </c>
      <c r="N300" s="3547"/>
      <c r="O300" s="3191">
        <f t="shared" si="59"/>
        <v>1</v>
      </c>
      <c r="P300" s="3547"/>
      <c r="Q300" s="3191">
        <f t="shared" si="60"/>
        <v>1</v>
      </c>
      <c r="R300" s="2911">
        <f t="shared" si="61"/>
        <v>0</v>
      </c>
      <c r="S300" s="2965">
        <f t="shared" si="62"/>
        <v>0</v>
      </c>
    </row>
    <row r="301" spans="1:19">
      <c r="A301" s="3193"/>
      <c r="B301" s="3545"/>
      <c r="C301" s="3191">
        <f t="shared" si="53"/>
        <v>1</v>
      </c>
      <c r="D301" s="3547"/>
      <c r="E301" s="3191">
        <f t="shared" si="54"/>
        <v>0</v>
      </c>
      <c r="F301" s="3547"/>
      <c r="G301" s="3191">
        <f t="shared" si="55"/>
        <v>1</v>
      </c>
      <c r="H301" s="3547"/>
      <c r="I301" s="3191">
        <f t="shared" si="56"/>
        <v>1</v>
      </c>
      <c r="J301" s="3547"/>
      <c r="K301" s="3191">
        <f t="shared" si="57"/>
        <v>1</v>
      </c>
      <c r="L301" s="3547"/>
      <c r="M301" s="3191">
        <f t="shared" si="58"/>
        <v>1</v>
      </c>
      <c r="N301" s="3547"/>
      <c r="O301" s="3191">
        <f t="shared" si="59"/>
        <v>1</v>
      </c>
      <c r="P301" s="3547"/>
      <c r="Q301" s="3191">
        <f t="shared" si="60"/>
        <v>1</v>
      </c>
      <c r="R301" s="2911">
        <f t="shared" si="61"/>
        <v>0</v>
      </c>
      <c r="S301" s="2965">
        <f t="shared" si="62"/>
        <v>0</v>
      </c>
    </row>
    <row r="302" spans="1:19">
      <c r="A302" s="3193"/>
      <c r="B302" s="3545"/>
      <c r="C302" s="3191">
        <f t="shared" si="53"/>
        <v>1</v>
      </c>
      <c r="D302" s="3547"/>
      <c r="E302" s="3191">
        <f t="shared" si="54"/>
        <v>0</v>
      </c>
      <c r="F302" s="3547"/>
      <c r="G302" s="3191">
        <f t="shared" si="55"/>
        <v>1</v>
      </c>
      <c r="H302" s="3547"/>
      <c r="I302" s="3191">
        <f t="shared" si="56"/>
        <v>1</v>
      </c>
      <c r="J302" s="3547"/>
      <c r="K302" s="3191">
        <f t="shared" si="57"/>
        <v>1</v>
      </c>
      <c r="L302" s="3547"/>
      <c r="M302" s="3191">
        <f t="shared" si="58"/>
        <v>1</v>
      </c>
      <c r="N302" s="3547"/>
      <c r="O302" s="3191">
        <f t="shared" si="59"/>
        <v>1</v>
      </c>
      <c r="P302" s="3547"/>
      <c r="Q302" s="3191">
        <f t="shared" si="60"/>
        <v>1</v>
      </c>
      <c r="R302" s="2911">
        <f t="shared" si="61"/>
        <v>0</v>
      </c>
      <c r="S302" s="2965">
        <f t="shared" si="62"/>
        <v>0</v>
      </c>
    </row>
    <row r="303" spans="1:19">
      <c r="A303" s="3193"/>
      <c r="B303" s="3545"/>
      <c r="C303" s="3191">
        <f t="shared" si="53"/>
        <v>1</v>
      </c>
      <c r="D303" s="3547"/>
      <c r="E303" s="3191">
        <f t="shared" si="54"/>
        <v>0</v>
      </c>
      <c r="F303" s="3547"/>
      <c r="G303" s="3191">
        <f t="shared" si="55"/>
        <v>1</v>
      </c>
      <c r="H303" s="3547"/>
      <c r="I303" s="3191">
        <f t="shared" si="56"/>
        <v>1</v>
      </c>
      <c r="J303" s="3547"/>
      <c r="K303" s="3191">
        <f t="shared" si="57"/>
        <v>1</v>
      </c>
      <c r="L303" s="3547"/>
      <c r="M303" s="3191">
        <f t="shared" si="58"/>
        <v>1</v>
      </c>
      <c r="N303" s="3547"/>
      <c r="O303" s="3191">
        <f t="shared" si="59"/>
        <v>1</v>
      </c>
      <c r="P303" s="3547"/>
      <c r="Q303" s="3191">
        <f t="shared" si="60"/>
        <v>1</v>
      </c>
      <c r="R303" s="2911">
        <f t="shared" si="61"/>
        <v>0</v>
      </c>
      <c r="S303" s="2965">
        <f t="shared" si="62"/>
        <v>0</v>
      </c>
    </row>
    <row r="304" spans="1:19">
      <c r="A304" s="3193"/>
      <c r="B304" s="3545"/>
      <c r="C304" s="3191">
        <f t="shared" si="53"/>
        <v>1</v>
      </c>
      <c r="D304" s="3547"/>
      <c r="E304" s="3191">
        <f t="shared" si="54"/>
        <v>0</v>
      </c>
      <c r="F304" s="3547"/>
      <c r="G304" s="3191">
        <f t="shared" si="55"/>
        <v>1</v>
      </c>
      <c r="H304" s="3547"/>
      <c r="I304" s="3191">
        <f t="shared" si="56"/>
        <v>1</v>
      </c>
      <c r="J304" s="3547"/>
      <c r="K304" s="3191">
        <f t="shared" si="57"/>
        <v>1</v>
      </c>
      <c r="L304" s="3547"/>
      <c r="M304" s="3191">
        <f t="shared" si="58"/>
        <v>1</v>
      </c>
      <c r="N304" s="3547"/>
      <c r="O304" s="3191">
        <f t="shared" si="59"/>
        <v>1</v>
      </c>
      <c r="P304" s="3547"/>
      <c r="Q304" s="3191">
        <f t="shared" si="60"/>
        <v>1</v>
      </c>
      <c r="R304" s="2911">
        <f t="shared" si="61"/>
        <v>0</v>
      </c>
      <c r="S304" s="2965">
        <f t="shared" si="62"/>
        <v>0</v>
      </c>
    </row>
    <row r="305" spans="1:19">
      <c r="A305" s="3193"/>
      <c r="B305" s="3545"/>
      <c r="C305" s="3191">
        <f t="shared" si="53"/>
        <v>1</v>
      </c>
      <c r="D305" s="3547"/>
      <c r="E305" s="3191">
        <f t="shared" si="54"/>
        <v>0</v>
      </c>
      <c r="F305" s="3547"/>
      <c r="G305" s="3191">
        <f t="shared" si="55"/>
        <v>1</v>
      </c>
      <c r="H305" s="3547"/>
      <c r="I305" s="3191">
        <f t="shared" si="56"/>
        <v>1</v>
      </c>
      <c r="J305" s="3547"/>
      <c r="K305" s="3191">
        <f t="shared" si="57"/>
        <v>1</v>
      </c>
      <c r="L305" s="3547"/>
      <c r="M305" s="3191">
        <f t="shared" si="58"/>
        <v>1</v>
      </c>
      <c r="N305" s="3547"/>
      <c r="O305" s="3191">
        <f t="shared" si="59"/>
        <v>1</v>
      </c>
      <c r="P305" s="3547"/>
      <c r="Q305" s="3191">
        <f t="shared" si="60"/>
        <v>1</v>
      </c>
      <c r="R305" s="2911">
        <f t="shared" si="61"/>
        <v>0</v>
      </c>
      <c r="S305" s="2965">
        <f t="shared" si="62"/>
        <v>0</v>
      </c>
    </row>
    <row r="306" spans="1:19">
      <c r="A306" s="3193"/>
      <c r="B306" s="3545"/>
      <c r="C306" s="3191">
        <f t="shared" si="53"/>
        <v>1</v>
      </c>
      <c r="D306" s="3547"/>
      <c r="E306" s="3191">
        <f t="shared" si="54"/>
        <v>0</v>
      </c>
      <c r="F306" s="3547"/>
      <c r="G306" s="3191">
        <f t="shared" si="55"/>
        <v>1</v>
      </c>
      <c r="H306" s="3547"/>
      <c r="I306" s="3191">
        <f t="shared" si="56"/>
        <v>1</v>
      </c>
      <c r="J306" s="3547"/>
      <c r="K306" s="3191">
        <f t="shared" si="57"/>
        <v>1</v>
      </c>
      <c r="L306" s="3547"/>
      <c r="M306" s="3191">
        <f t="shared" si="58"/>
        <v>1</v>
      </c>
      <c r="N306" s="3547"/>
      <c r="O306" s="3191">
        <f t="shared" si="59"/>
        <v>1</v>
      </c>
      <c r="P306" s="3547"/>
      <c r="Q306" s="3191">
        <f t="shared" si="60"/>
        <v>1</v>
      </c>
      <c r="R306" s="2911">
        <f t="shared" si="61"/>
        <v>0</v>
      </c>
      <c r="S306" s="2965">
        <f t="shared" si="62"/>
        <v>0</v>
      </c>
    </row>
    <row r="307" spans="1:19">
      <c r="A307" s="3193"/>
      <c r="B307" s="3545"/>
      <c r="C307" s="3191">
        <f t="shared" si="53"/>
        <v>1</v>
      </c>
      <c r="D307" s="3547"/>
      <c r="E307" s="3191">
        <f t="shared" si="54"/>
        <v>0</v>
      </c>
      <c r="F307" s="3547"/>
      <c r="G307" s="3191">
        <f t="shared" si="55"/>
        <v>1</v>
      </c>
      <c r="H307" s="3547"/>
      <c r="I307" s="3191">
        <f t="shared" si="56"/>
        <v>1</v>
      </c>
      <c r="J307" s="3547"/>
      <c r="K307" s="3191">
        <f t="shared" si="57"/>
        <v>1</v>
      </c>
      <c r="L307" s="3547"/>
      <c r="M307" s="3191">
        <f t="shared" si="58"/>
        <v>1</v>
      </c>
      <c r="N307" s="3547"/>
      <c r="O307" s="3191">
        <f t="shared" si="59"/>
        <v>1</v>
      </c>
      <c r="P307" s="3547"/>
      <c r="Q307" s="3191">
        <f t="shared" si="60"/>
        <v>1</v>
      </c>
      <c r="R307" s="2911">
        <f t="shared" si="61"/>
        <v>0</v>
      </c>
      <c r="S307" s="2965">
        <f t="shared" si="62"/>
        <v>0</v>
      </c>
    </row>
    <row r="308" spans="1:19">
      <c r="A308" s="3193"/>
      <c r="B308" s="3545"/>
      <c r="C308" s="3191">
        <f t="shared" si="53"/>
        <v>1</v>
      </c>
      <c r="D308" s="3547"/>
      <c r="E308" s="3191">
        <f t="shared" si="54"/>
        <v>0</v>
      </c>
      <c r="F308" s="3547"/>
      <c r="G308" s="3191">
        <f t="shared" si="55"/>
        <v>1</v>
      </c>
      <c r="H308" s="3547"/>
      <c r="I308" s="3191">
        <f t="shared" si="56"/>
        <v>1</v>
      </c>
      <c r="J308" s="3547"/>
      <c r="K308" s="3191">
        <f t="shared" si="57"/>
        <v>1</v>
      </c>
      <c r="L308" s="3547"/>
      <c r="M308" s="3191">
        <f t="shared" si="58"/>
        <v>1</v>
      </c>
      <c r="N308" s="3547"/>
      <c r="O308" s="3191">
        <f t="shared" si="59"/>
        <v>1</v>
      </c>
      <c r="P308" s="3547"/>
      <c r="Q308" s="3191">
        <f t="shared" si="60"/>
        <v>1</v>
      </c>
      <c r="R308" s="2911">
        <f t="shared" si="61"/>
        <v>0</v>
      </c>
      <c r="S308" s="2965">
        <f t="shared" si="62"/>
        <v>0</v>
      </c>
    </row>
    <row r="309" spans="1:19">
      <c r="A309" s="3193"/>
      <c r="B309" s="3545"/>
      <c r="C309" s="3191">
        <f t="shared" si="53"/>
        <v>1</v>
      </c>
      <c r="D309" s="3547"/>
      <c r="E309" s="3191">
        <f t="shared" si="54"/>
        <v>0</v>
      </c>
      <c r="F309" s="3547"/>
      <c r="G309" s="3191">
        <f t="shared" si="55"/>
        <v>1</v>
      </c>
      <c r="H309" s="3547"/>
      <c r="I309" s="3191">
        <f t="shared" si="56"/>
        <v>1</v>
      </c>
      <c r="J309" s="3547"/>
      <c r="K309" s="3191">
        <f t="shared" si="57"/>
        <v>1</v>
      </c>
      <c r="L309" s="3547"/>
      <c r="M309" s="3191">
        <f t="shared" si="58"/>
        <v>1</v>
      </c>
      <c r="N309" s="3547"/>
      <c r="O309" s="3191">
        <f t="shared" si="59"/>
        <v>1</v>
      </c>
      <c r="P309" s="3547"/>
      <c r="Q309" s="3191">
        <f t="shared" si="60"/>
        <v>1</v>
      </c>
      <c r="R309" s="2911">
        <f t="shared" si="61"/>
        <v>0</v>
      </c>
      <c r="S309" s="2965">
        <f t="shared" si="62"/>
        <v>0</v>
      </c>
    </row>
    <row r="310" spans="1:19">
      <c r="A310" s="3193"/>
      <c r="B310" s="3545"/>
      <c r="C310" s="3191">
        <f t="shared" si="53"/>
        <v>1</v>
      </c>
      <c r="D310" s="3547"/>
      <c r="E310" s="3191">
        <f t="shared" si="54"/>
        <v>0</v>
      </c>
      <c r="F310" s="3547"/>
      <c r="G310" s="3191">
        <f t="shared" si="55"/>
        <v>1</v>
      </c>
      <c r="H310" s="3547"/>
      <c r="I310" s="3191">
        <f t="shared" si="56"/>
        <v>1</v>
      </c>
      <c r="J310" s="3547"/>
      <c r="K310" s="3191">
        <f t="shared" si="57"/>
        <v>1</v>
      </c>
      <c r="L310" s="3547"/>
      <c r="M310" s="3191">
        <f t="shared" si="58"/>
        <v>1</v>
      </c>
      <c r="N310" s="3547"/>
      <c r="O310" s="3191">
        <f t="shared" si="59"/>
        <v>1</v>
      </c>
      <c r="P310" s="3547"/>
      <c r="Q310" s="3191">
        <f t="shared" si="60"/>
        <v>1</v>
      </c>
      <c r="R310" s="2911">
        <f t="shared" si="61"/>
        <v>0</v>
      </c>
      <c r="S310" s="2965">
        <f t="shared" si="62"/>
        <v>0</v>
      </c>
    </row>
    <row r="311" spans="1:19">
      <c r="A311" s="3193"/>
      <c r="B311" s="3545"/>
      <c r="C311" s="3191">
        <f t="shared" si="53"/>
        <v>1</v>
      </c>
      <c r="D311" s="3547"/>
      <c r="E311" s="3191">
        <f t="shared" si="54"/>
        <v>0</v>
      </c>
      <c r="F311" s="3547"/>
      <c r="G311" s="3191">
        <f t="shared" si="55"/>
        <v>1</v>
      </c>
      <c r="H311" s="3547"/>
      <c r="I311" s="3191">
        <f t="shared" si="56"/>
        <v>1</v>
      </c>
      <c r="J311" s="3547"/>
      <c r="K311" s="3191">
        <f t="shared" si="57"/>
        <v>1</v>
      </c>
      <c r="L311" s="3547"/>
      <c r="M311" s="3191">
        <f t="shared" si="58"/>
        <v>1</v>
      </c>
      <c r="N311" s="3547"/>
      <c r="O311" s="3191">
        <f t="shared" si="59"/>
        <v>1</v>
      </c>
      <c r="P311" s="3547"/>
      <c r="Q311" s="3191">
        <f t="shared" si="60"/>
        <v>1</v>
      </c>
      <c r="R311" s="2911">
        <f t="shared" si="61"/>
        <v>0</v>
      </c>
      <c r="S311" s="2965">
        <f t="shared" si="62"/>
        <v>0</v>
      </c>
    </row>
    <row r="312" spans="1:19">
      <c r="A312" s="3193"/>
      <c r="B312" s="3545"/>
      <c r="C312" s="3191">
        <f t="shared" si="53"/>
        <v>1</v>
      </c>
      <c r="D312" s="3547"/>
      <c r="E312" s="3191">
        <f t="shared" si="54"/>
        <v>0</v>
      </c>
      <c r="F312" s="3547"/>
      <c r="G312" s="3191">
        <f t="shared" si="55"/>
        <v>1</v>
      </c>
      <c r="H312" s="3547"/>
      <c r="I312" s="3191">
        <f t="shared" si="56"/>
        <v>1</v>
      </c>
      <c r="J312" s="3547"/>
      <c r="K312" s="3191">
        <f t="shared" si="57"/>
        <v>1</v>
      </c>
      <c r="L312" s="3547"/>
      <c r="M312" s="3191">
        <f t="shared" si="58"/>
        <v>1</v>
      </c>
      <c r="N312" s="3547"/>
      <c r="O312" s="3191">
        <f t="shared" si="59"/>
        <v>1</v>
      </c>
      <c r="P312" s="3547"/>
      <c r="Q312" s="3191">
        <f t="shared" si="60"/>
        <v>1</v>
      </c>
      <c r="R312" s="2911">
        <f t="shared" si="61"/>
        <v>0</v>
      </c>
      <c r="S312" s="2965">
        <f t="shared" si="62"/>
        <v>0</v>
      </c>
    </row>
    <row r="313" spans="1:19">
      <c r="A313" s="3193"/>
      <c r="B313" s="3545"/>
      <c r="C313" s="3191">
        <f t="shared" si="53"/>
        <v>1</v>
      </c>
      <c r="D313" s="3547"/>
      <c r="E313" s="3191">
        <f t="shared" si="54"/>
        <v>0</v>
      </c>
      <c r="F313" s="3547"/>
      <c r="G313" s="3191">
        <f t="shared" si="55"/>
        <v>1</v>
      </c>
      <c r="H313" s="3547"/>
      <c r="I313" s="3191">
        <f t="shared" si="56"/>
        <v>1</v>
      </c>
      <c r="J313" s="3547"/>
      <c r="K313" s="3191">
        <f t="shared" si="57"/>
        <v>1</v>
      </c>
      <c r="L313" s="3547"/>
      <c r="M313" s="3191">
        <f t="shared" si="58"/>
        <v>1</v>
      </c>
      <c r="N313" s="3547"/>
      <c r="O313" s="3191">
        <f t="shared" si="59"/>
        <v>1</v>
      </c>
      <c r="P313" s="3547"/>
      <c r="Q313" s="3191">
        <f t="shared" si="60"/>
        <v>1</v>
      </c>
      <c r="R313" s="2911">
        <f t="shared" si="61"/>
        <v>0</v>
      </c>
      <c r="S313" s="2965">
        <f t="shared" si="62"/>
        <v>0</v>
      </c>
    </row>
    <row r="314" spans="1:19">
      <c r="A314" s="3193"/>
      <c r="B314" s="3545"/>
      <c r="C314" s="3191">
        <f t="shared" si="53"/>
        <v>1</v>
      </c>
      <c r="D314" s="3547"/>
      <c r="E314" s="3191">
        <f t="shared" si="54"/>
        <v>0</v>
      </c>
      <c r="F314" s="3547"/>
      <c r="G314" s="3191">
        <f t="shared" si="55"/>
        <v>1</v>
      </c>
      <c r="H314" s="3547"/>
      <c r="I314" s="3191">
        <f t="shared" si="56"/>
        <v>1</v>
      </c>
      <c r="J314" s="3547"/>
      <c r="K314" s="3191">
        <f t="shared" si="57"/>
        <v>1</v>
      </c>
      <c r="L314" s="3547"/>
      <c r="M314" s="3191">
        <f t="shared" si="58"/>
        <v>1</v>
      </c>
      <c r="N314" s="3547"/>
      <c r="O314" s="3191">
        <f t="shared" si="59"/>
        <v>1</v>
      </c>
      <c r="P314" s="3547"/>
      <c r="Q314" s="3191">
        <f t="shared" si="60"/>
        <v>1</v>
      </c>
      <c r="R314" s="2911">
        <f t="shared" si="61"/>
        <v>0</v>
      </c>
      <c r="S314" s="2965">
        <f t="shared" si="62"/>
        <v>0</v>
      </c>
    </row>
    <row r="315" spans="1:19">
      <c r="A315" s="3193"/>
      <c r="B315" s="3545"/>
      <c r="C315" s="3191">
        <f t="shared" si="53"/>
        <v>1</v>
      </c>
      <c r="D315" s="3547"/>
      <c r="E315" s="3191">
        <f t="shared" si="54"/>
        <v>0</v>
      </c>
      <c r="F315" s="3547"/>
      <c r="G315" s="3191">
        <f t="shared" si="55"/>
        <v>1</v>
      </c>
      <c r="H315" s="3547"/>
      <c r="I315" s="3191">
        <f t="shared" si="56"/>
        <v>1</v>
      </c>
      <c r="J315" s="3547"/>
      <c r="K315" s="3191">
        <f t="shared" si="57"/>
        <v>1</v>
      </c>
      <c r="L315" s="3547"/>
      <c r="M315" s="3191">
        <f t="shared" si="58"/>
        <v>1</v>
      </c>
      <c r="N315" s="3547"/>
      <c r="O315" s="3191">
        <f t="shared" si="59"/>
        <v>1</v>
      </c>
      <c r="P315" s="3547"/>
      <c r="Q315" s="3191">
        <f t="shared" si="60"/>
        <v>1</v>
      </c>
      <c r="R315" s="2911">
        <f t="shared" si="61"/>
        <v>0</v>
      </c>
      <c r="S315" s="2965">
        <f t="shared" si="62"/>
        <v>0</v>
      </c>
    </row>
    <row r="316" spans="1:19">
      <c r="A316" s="3193"/>
      <c r="B316" s="3545"/>
      <c r="C316" s="3191">
        <f t="shared" si="53"/>
        <v>1</v>
      </c>
      <c r="D316" s="3547"/>
      <c r="E316" s="3191">
        <f t="shared" si="54"/>
        <v>0</v>
      </c>
      <c r="F316" s="3547"/>
      <c r="G316" s="3191">
        <f t="shared" si="55"/>
        <v>1</v>
      </c>
      <c r="H316" s="3547"/>
      <c r="I316" s="3191">
        <f t="shared" si="56"/>
        <v>1</v>
      </c>
      <c r="J316" s="3547"/>
      <c r="K316" s="3191">
        <f t="shared" si="57"/>
        <v>1</v>
      </c>
      <c r="L316" s="3547"/>
      <c r="M316" s="3191">
        <f t="shared" si="58"/>
        <v>1</v>
      </c>
      <c r="N316" s="3547"/>
      <c r="O316" s="3191">
        <f t="shared" si="59"/>
        <v>1</v>
      </c>
      <c r="P316" s="3547"/>
      <c r="Q316" s="3191">
        <f t="shared" si="60"/>
        <v>1</v>
      </c>
      <c r="R316" s="2911">
        <f t="shared" si="61"/>
        <v>0</v>
      </c>
      <c r="S316" s="2965">
        <f t="shared" si="62"/>
        <v>0</v>
      </c>
    </row>
    <row r="317" spans="1:19">
      <c r="A317" s="3193"/>
      <c r="B317" s="3545"/>
      <c r="C317" s="3191">
        <f t="shared" si="53"/>
        <v>1</v>
      </c>
      <c r="D317" s="3547"/>
      <c r="E317" s="3191">
        <f t="shared" si="54"/>
        <v>0</v>
      </c>
      <c r="F317" s="3547"/>
      <c r="G317" s="3191">
        <f t="shared" si="55"/>
        <v>1</v>
      </c>
      <c r="H317" s="3547"/>
      <c r="I317" s="3191">
        <f t="shared" si="56"/>
        <v>1</v>
      </c>
      <c r="J317" s="3547"/>
      <c r="K317" s="3191">
        <f t="shared" si="57"/>
        <v>1</v>
      </c>
      <c r="L317" s="3547"/>
      <c r="M317" s="3191">
        <f t="shared" si="58"/>
        <v>1</v>
      </c>
      <c r="N317" s="3547"/>
      <c r="O317" s="3191">
        <f t="shared" si="59"/>
        <v>1</v>
      </c>
      <c r="P317" s="3547"/>
      <c r="Q317" s="3191">
        <f t="shared" si="60"/>
        <v>1</v>
      </c>
      <c r="R317" s="2911">
        <f t="shared" si="61"/>
        <v>0</v>
      </c>
      <c r="S317" s="2965">
        <f t="shared" si="62"/>
        <v>0</v>
      </c>
    </row>
    <row r="318" spans="1:19">
      <c r="A318" s="3193"/>
      <c r="B318" s="3545"/>
      <c r="C318" s="3191">
        <f t="shared" si="53"/>
        <v>1</v>
      </c>
      <c r="D318" s="3547"/>
      <c r="E318" s="3191">
        <f t="shared" si="54"/>
        <v>0</v>
      </c>
      <c r="F318" s="3547"/>
      <c r="G318" s="3191">
        <f t="shared" si="55"/>
        <v>1</v>
      </c>
      <c r="H318" s="3547"/>
      <c r="I318" s="3191">
        <f t="shared" si="56"/>
        <v>1</v>
      </c>
      <c r="J318" s="3547"/>
      <c r="K318" s="3191">
        <f t="shared" si="57"/>
        <v>1</v>
      </c>
      <c r="L318" s="3547"/>
      <c r="M318" s="3191">
        <f t="shared" si="58"/>
        <v>1</v>
      </c>
      <c r="N318" s="3547"/>
      <c r="O318" s="3191">
        <f t="shared" si="59"/>
        <v>1</v>
      </c>
      <c r="P318" s="3547"/>
      <c r="Q318" s="3191">
        <f t="shared" si="60"/>
        <v>1</v>
      </c>
      <c r="R318" s="2911">
        <f t="shared" si="61"/>
        <v>0</v>
      </c>
      <c r="S318" s="2965">
        <f t="shared" si="62"/>
        <v>0</v>
      </c>
    </row>
    <row r="319" spans="1:19">
      <c r="A319" s="3193"/>
      <c r="B319" s="3545"/>
      <c r="C319" s="3191">
        <f t="shared" si="53"/>
        <v>1</v>
      </c>
      <c r="D319" s="3547"/>
      <c r="E319" s="3191">
        <f t="shared" si="54"/>
        <v>0</v>
      </c>
      <c r="F319" s="3547"/>
      <c r="G319" s="3191">
        <f t="shared" si="55"/>
        <v>1</v>
      </c>
      <c r="H319" s="3547"/>
      <c r="I319" s="3191">
        <f t="shared" si="56"/>
        <v>1</v>
      </c>
      <c r="J319" s="3547"/>
      <c r="K319" s="3191">
        <f t="shared" si="57"/>
        <v>1</v>
      </c>
      <c r="L319" s="3547"/>
      <c r="M319" s="3191">
        <f t="shared" si="58"/>
        <v>1</v>
      </c>
      <c r="N319" s="3547"/>
      <c r="O319" s="3191">
        <f t="shared" si="59"/>
        <v>1</v>
      </c>
      <c r="P319" s="3547"/>
      <c r="Q319" s="3191">
        <f t="shared" si="60"/>
        <v>1</v>
      </c>
      <c r="R319" s="2911">
        <f t="shared" si="61"/>
        <v>0</v>
      </c>
      <c r="S319" s="2965">
        <f t="shared" si="62"/>
        <v>0</v>
      </c>
    </row>
    <row r="320" spans="1:19">
      <c r="A320" s="3193"/>
      <c r="B320" s="3545"/>
      <c r="C320" s="3191">
        <f t="shared" si="53"/>
        <v>1</v>
      </c>
      <c r="D320" s="3547"/>
      <c r="E320" s="3191">
        <f t="shared" si="54"/>
        <v>0</v>
      </c>
      <c r="F320" s="3547"/>
      <c r="G320" s="3191">
        <f t="shared" si="55"/>
        <v>1</v>
      </c>
      <c r="H320" s="3547"/>
      <c r="I320" s="3191">
        <f t="shared" si="56"/>
        <v>1</v>
      </c>
      <c r="J320" s="3547"/>
      <c r="K320" s="3191">
        <f t="shared" si="57"/>
        <v>1</v>
      </c>
      <c r="L320" s="3547"/>
      <c r="M320" s="3191">
        <f t="shared" si="58"/>
        <v>1</v>
      </c>
      <c r="N320" s="3547"/>
      <c r="O320" s="3191">
        <f t="shared" si="59"/>
        <v>1</v>
      </c>
      <c r="P320" s="3547"/>
      <c r="Q320" s="3191">
        <f t="shared" si="60"/>
        <v>1</v>
      </c>
      <c r="R320" s="2911">
        <f t="shared" si="61"/>
        <v>0</v>
      </c>
      <c r="S320" s="2965">
        <f t="shared" si="62"/>
        <v>0</v>
      </c>
    </row>
    <row r="321" spans="1:19">
      <c r="A321" s="3193"/>
      <c r="B321" s="3545"/>
      <c r="C321" s="3191">
        <f t="shared" si="53"/>
        <v>1</v>
      </c>
      <c r="D321" s="3547"/>
      <c r="E321" s="3191">
        <f t="shared" si="54"/>
        <v>0</v>
      </c>
      <c r="F321" s="3547"/>
      <c r="G321" s="3191">
        <f t="shared" si="55"/>
        <v>1</v>
      </c>
      <c r="H321" s="3547"/>
      <c r="I321" s="3191">
        <f t="shared" si="56"/>
        <v>1</v>
      </c>
      <c r="J321" s="3547"/>
      <c r="K321" s="3191">
        <f t="shared" si="57"/>
        <v>1</v>
      </c>
      <c r="L321" s="3547"/>
      <c r="M321" s="3191">
        <f t="shared" si="58"/>
        <v>1</v>
      </c>
      <c r="N321" s="3547"/>
      <c r="O321" s="3191">
        <f t="shared" si="59"/>
        <v>1</v>
      </c>
      <c r="P321" s="3547"/>
      <c r="Q321" s="3191">
        <f t="shared" si="60"/>
        <v>1</v>
      </c>
      <c r="R321" s="2911">
        <f t="shared" si="61"/>
        <v>0</v>
      </c>
      <c r="S321" s="2965">
        <f t="shared" ref="S321:S384" si="63">ROUND(R321*B321/10000,0)</f>
        <v>0</v>
      </c>
    </row>
    <row r="322" spans="1:19">
      <c r="A322" s="3193"/>
      <c r="B322" s="3545"/>
      <c r="C322" s="3191">
        <f t="shared" si="53"/>
        <v>1</v>
      </c>
      <c r="D322" s="3547"/>
      <c r="E322" s="3191">
        <f t="shared" si="54"/>
        <v>0</v>
      </c>
      <c r="F322" s="3547"/>
      <c r="G322" s="3191">
        <f t="shared" si="55"/>
        <v>1</v>
      </c>
      <c r="H322" s="3547"/>
      <c r="I322" s="3191">
        <f t="shared" si="56"/>
        <v>1</v>
      </c>
      <c r="J322" s="3547"/>
      <c r="K322" s="3191">
        <f t="shared" si="57"/>
        <v>1</v>
      </c>
      <c r="L322" s="3547"/>
      <c r="M322" s="3191">
        <f t="shared" si="58"/>
        <v>1</v>
      </c>
      <c r="N322" s="3547"/>
      <c r="O322" s="3191">
        <f t="shared" si="59"/>
        <v>1</v>
      </c>
      <c r="P322" s="3547"/>
      <c r="Q322" s="3191">
        <f t="shared" si="60"/>
        <v>1</v>
      </c>
      <c r="R322" s="2911">
        <f t="shared" si="61"/>
        <v>0</v>
      </c>
      <c r="S322" s="2965">
        <f t="shared" si="63"/>
        <v>0</v>
      </c>
    </row>
    <row r="323" spans="1:19">
      <c r="A323" s="3193"/>
      <c r="B323" s="3545"/>
      <c r="C323" s="3191">
        <f t="shared" si="53"/>
        <v>1</v>
      </c>
      <c r="D323" s="3547"/>
      <c r="E323" s="3191">
        <f t="shared" si="54"/>
        <v>0</v>
      </c>
      <c r="F323" s="3547"/>
      <c r="G323" s="3191">
        <f t="shared" si="55"/>
        <v>1</v>
      </c>
      <c r="H323" s="3547"/>
      <c r="I323" s="3191">
        <f t="shared" si="56"/>
        <v>1</v>
      </c>
      <c r="J323" s="3547"/>
      <c r="K323" s="3191">
        <f t="shared" si="57"/>
        <v>1</v>
      </c>
      <c r="L323" s="3547"/>
      <c r="M323" s="3191">
        <f t="shared" si="58"/>
        <v>1</v>
      </c>
      <c r="N323" s="3547"/>
      <c r="O323" s="3191">
        <f t="shared" si="59"/>
        <v>1</v>
      </c>
      <c r="P323" s="3547"/>
      <c r="Q323" s="3191">
        <f t="shared" si="60"/>
        <v>1</v>
      </c>
      <c r="R323" s="2911">
        <f t="shared" si="61"/>
        <v>0</v>
      </c>
      <c r="S323" s="2965">
        <f t="shared" si="63"/>
        <v>0</v>
      </c>
    </row>
    <row r="324" spans="1:19">
      <c r="A324" s="3193"/>
      <c r="B324" s="3545"/>
      <c r="C324" s="3191">
        <f t="shared" si="53"/>
        <v>1</v>
      </c>
      <c r="D324" s="3547"/>
      <c r="E324" s="3191">
        <f t="shared" si="54"/>
        <v>0</v>
      </c>
      <c r="F324" s="3547"/>
      <c r="G324" s="3191">
        <f t="shared" si="55"/>
        <v>1</v>
      </c>
      <c r="H324" s="3547"/>
      <c r="I324" s="3191">
        <f t="shared" si="56"/>
        <v>1</v>
      </c>
      <c r="J324" s="3547"/>
      <c r="K324" s="3191">
        <f t="shared" si="57"/>
        <v>1</v>
      </c>
      <c r="L324" s="3547"/>
      <c r="M324" s="3191">
        <f t="shared" si="58"/>
        <v>1</v>
      </c>
      <c r="N324" s="3547"/>
      <c r="O324" s="3191">
        <f t="shared" si="59"/>
        <v>1</v>
      </c>
      <c r="P324" s="3547"/>
      <c r="Q324" s="3191">
        <f t="shared" si="60"/>
        <v>1</v>
      </c>
      <c r="R324" s="2911">
        <f t="shared" si="61"/>
        <v>0</v>
      </c>
      <c r="S324" s="2965">
        <f t="shared" si="63"/>
        <v>0</v>
      </c>
    </row>
    <row r="325" spans="1:19">
      <c r="A325" s="3193"/>
      <c r="B325" s="3545"/>
      <c r="C325" s="3191">
        <f t="shared" si="53"/>
        <v>1</v>
      </c>
      <c r="D325" s="3547"/>
      <c r="E325" s="3191">
        <f t="shared" si="54"/>
        <v>0</v>
      </c>
      <c r="F325" s="3547"/>
      <c r="G325" s="3191">
        <f t="shared" si="55"/>
        <v>1</v>
      </c>
      <c r="H325" s="3547"/>
      <c r="I325" s="3191">
        <f t="shared" si="56"/>
        <v>1</v>
      </c>
      <c r="J325" s="3547"/>
      <c r="K325" s="3191">
        <f t="shared" si="57"/>
        <v>1</v>
      </c>
      <c r="L325" s="3547"/>
      <c r="M325" s="3191">
        <f t="shared" si="58"/>
        <v>1</v>
      </c>
      <c r="N325" s="3547"/>
      <c r="O325" s="3191">
        <f t="shared" si="59"/>
        <v>1</v>
      </c>
      <c r="P325" s="3547"/>
      <c r="Q325" s="3191">
        <f t="shared" si="60"/>
        <v>1</v>
      </c>
      <c r="R325" s="2911">
        <f t="shared" si="61"/>
        <v>0</v>
      </c>
      <c r="S325" s="2965">
        <f t="shared" si="63"/>
        <v>0</v>
      </c>
    </row>
    <row r="326" spans="1:19">
      <c r="A326" s="3193"/>
      <c r="B326" s="3545"/>
      <c r="C326" s="3191">
        <f t="shared" si="53"/>
        <v>1</v>
      </c>
      <c r="D326" s="3547"/>
      <c r="E326" s="3191">
        <f t="shared" si="54"/>
        <v>0</v>
      </c>
      <c r="F326" s="3547"/>
      <c r="G326" s="3191">
        <f t="shared" si="55"/>
        <v>1</v>
      </c>
      <c r="H326" s="3547"/>
      <c r="I326" s="3191">
        <f t="shared" si="56"/>
        <v>1</v>
      </c>
      <c r="J326" s="3547"/>
      <c r="K326" s="3191">
        <f t="shared" si="57"/>
        <v>1</v>
      </c>
      <c r="L326" s="3547"/>
      <c r="M326" s="3191">
        <f t="shared" si="58"/>
        <v>1</v>
      </c>
      <c r="N326" s="3547"/>
      <c r="O326" s="3191">
        <f t="shared" si="59"/>
        <v>1</v>
      </c>
      <c r="P326" s="3547"/>
      <c r="Q326" s="3191">
        <f t="shared" si="60"/>
        <v>1</v>
      </c>
      <c r="R326" s="2911">
        <f t="shared" si="61"/>
        <v>0</v>
      </c>
      <c r="S326" s="2965">
        <f t="shared" si="63"/>
        <v>0</v>
      </c>
    </row>
    <row r="327" spans="1:19">
      <c r="A327" s="3193"/>
      <c r="B327" s="3545"/>
      <c r="C327" s="3191">
        <f t="shared" si="53"/>
        <v>1</v>
      </c>
      <c r="D327" s="3547"/>
      <c r="E327" s="3191">
        <f t="shared" si="54"/>
        <v>0</v>
      </c>
      <c r="F327" s="3547"/>
      <c r="G327" s="3191">
        <f t="shared" si="55"/>
        <v>1</v>
      </c>
      <c r="H327" s="3547"/>
      <c r="I327" s="3191">
        <f t="shared" si="56"/>
        <v>1</v>
      </c>
      <c r="J327" s="3547"/>
      <c r="K327" s="3191">
        <f t="shared" si="57"/>
        <v>1</v>
      </c>
      <c r="L327" s="3547"/>
      <c r="M327" s="3191">
        <f t="shared" si="58"/>
        <v>1</v>
      </c>
      <c r="N327" s="3547"/>
      <c r="O327" s="3191">
        <f t="shared" si="59"/>
        <v>1</v>
      </c>
      <c r="P327" s="3547"/>
      <c r="Q327" s="3191">
        <f t="shared" si="60"/>
        <v>1</v>
      </c>
      <c r="R327" s="2911">
        <f t="shared" si="61"/>
        <v>0</v>
      </c>
      <c r="S327" s="2965">
        <f t="shared" si="63"/>
        <v>0</v>
      </c>
    </row>
    <row r="328" spans="1:19">
      <c r="A328" s="3193"/>
      <c r="B328" s="3545"/>
      <c r="C328" s="3191">
        <f t="shared" si="53"/>
        <v>1</v>
      </c>
      <c r="D328" s="3547"/>
      <c r="E328" s="3191">
        <f t="shared" si="54"/>
        <v>0</v>
      </c>
      <c r="F328" s="3547"/>
      <c r="G328" s="3191">
        <f t="shared" si="55"/>
        <v>1</v>
      </c>
      <c r="H328" s="3547"/>
      <c r="I328" s="3191">
        <f t="shared" si="56"/>
        <v>1</v>
      </c>
      <c r="J328" s="3547"/>
      <c r="K328" s="3191">
        <f t="shared" si="57"/>
        <v>1</v>
      </c>
      <c r="L328" s="3547"/>
      <c r="M328" s="3191">
        <f t="shared" si="58"/>
        <v>1</v>
      </c>
      <c r="N328" s="3547"/>
      <c r="O328" s="3191">
        <f t="shared" si="59"/>
        <v>1</v>
      </c>
      <c r="P328" s="3547"/>
      <c r="Q328" s="3191">
        <f t="shared" si="60"/>
        <v>1</v>
      </c>
      <c r="R328" s="2911">
        <f t="shared" si="61"/>
        <v>0</v>
      </c>
      <c r="S328" s="2965">
        <f t="shared" si="63"/>
        <v>0</v>
      </c>
    </row>
    <row r="329" spans="1:19">
      <c r="A329" s="3193"/>
      <c r="B329" s="3545"/>
      <c r="C329" s="3191">
        <f t="shared" si="53"/>
        <v>1</v>
      </c>
      <c r="D329" s="3547"/>
      <c r="E329" s="3191">
        <f t="shared" si="54"/>
        <v>0</v>
      </c>
      <c r="F329" s="3547"/>
      <c r="G329" s="3191">
        <f t="shared" si="55"/>
        <v>1</v>
      </c>
      <c r="H329" s="3547"/>
      <c r="I329" s="3191">
        <f t="shared" si="56"/>
        <v>1</v>
      </c>
      <c r="J329" s="3547"/>
      <c r="K329" s="3191">
        <f t="shared" si="57"/>
        <v>1</v>
      </c>
      <c r="L329" s="3547"/>
      <c r="M329" s="3191">
        <f t="shared" si="58"/>
        <v>1</v>
      </c>
      <c r="N329" s="3547"/>
      <c r="O329" s="3191">
        <f t="shared" si="59"/>
        <v>1</v>
      </c>
      <c r="P329" s="3547"/>
      <c r="Q329" s="3191">
        <f t="shared" si="60"/>
        <v>1</v>
      </c>
      <c r="R329" s="2911">
        <f t="shared" si="61"/>
        <v>0</v>
      </c>
      <c r="S329" s="2965">
        <f t="shared" si="63"/>
        <v>0</v>
      </c>
    </row>
    <row r="330" spans="1:19">
      <c r="A330" s="3193"/>
      <c r="B330" s="3545"/>
      <c r="C330" s="3191">
        <f t="shared" si="53"/>
        <v>1</v>
      </c>
      <c r="D330" s="3547"/>
      <c r="E330" s="3191">
        <f t="shared" si="54"/>
        <v>0</v>
      </c>
      <c r="F330" s="3547"/>
      <c r="G330" s="3191">
        <f t="shared" si="55"/>
        <v>1</v>
      </c>
      <c r="H330" s="3547"/>
      <c r="I330" s="3191">
        <f t="shared" si="56"/>
        <v>1</v>
      </c>
      <c r="J330" s="3547"/>
      <c r="K330" s="3191">
        <f t="shared" si="57"/>
        <v>1</v>
      </c>
      <c r="L330" s="3547"/>
      <c r="M330" s="3191">
        <f t="shared" si="58"/>
        <v>1</v>
      </c>
      <c r="N330" s="3547"/>
      <c r="O330" s="3191">
        <f t="shared" si="59"/>
        <v>1</v>
      </c>
      <c r="P330" s="3547"/>
      <c r="Q330" s="3191">
        <f t="shared" si="60"/>
        <v>1</v>
      </c>
      <c r="R330" s="2911">
        <f t="shared" si="61"/>
        <v>0</v>
      </c>
      <c r="S330" s="2965">
        <f t="shared" si="63"/>
        <v>0</v>
      </c>
    </row>
    <row r="331" spans="1:19">
      <c r="A331" s="3193"/>
      <c r="B331" s="3545"/>
      <c r="C331" s="3191">
        <f t="shared" si="53"/>
        <v>1</v>
      </c>
      <c r="D331" s="3547"/>
      <c r="E331" s="3191">
        <f t="shared" si="54"/>
        <v>0</v>
      </c>
      <c r="F331" s="3547"/>
      <c r="G331" s="3191">
        <f t="shared" si="55"/>
        <v>1</v>
      </c>
      <c r="H331" s="3547"/>
      <c r="I331" s="3191">
        <f t="shared" si="56"/>
        <v>1</v>
      </c>
      <c r="J331" s="3547"/>
      <c r="K331" s="3191">
        <f t="shared" si="57"/>
        <v>1</v>
      </c>
      <c r="L331" s="3547"/>
      <c r="M331" s="3191">
        <f t="shared" si="58"/>
        <v>1</v>
      </c>
      <c r="N331" s="3547"/>
      <c r="O331" s="3191">
        <f t="shared" si="59"/>
        <v>1</v>
      </c>
      <c r="P331" s="3547"/>
      <c r="Q331" s="3191">
        <f t="shared" si="60"/>
        <v>1</v>
      </c>
      <c r="R331" s="2911">
        <f t="shared" si="61"/>
        <v>0</v>
      </c>
      <c r="S331" s="2965">
        <f t="shared" si="63"/>
        <v>0</v>
      </c>
    </row>
    <row r="332" spans="1:19">
      <c r="A332" s="3193"/>
      <c r="B332" s="3545"/>
      <c r="C332" s="3191">
        <f t="shared" si="53"/>
        <v>1</v>
      </c>
      <c r="D332" s="3547"/>
      <c r="E332" s="3191">
        <f t="shared" si="54"/>
        <v>0</v>
      </c>
      <c r="F332" s="3547"/>
      <c r="G332" s="3191">
        <f t="shared" si="55"/>
        <v>1</v>
      </c>
      <c r="H332" s="3547"/>
      <c r="I332" s="3191">
        <f t="shared" si="56"/>
        <v>1</v>
      </c>
      <c r="J332" s="3547"/>
      <c r="K332" s="3191">
        <f t="shared" si="57"/>
        <v>1</v>
      </c>
      <c r="L332" s="3547"/>
      <c r="M332" s="3191">
        <f t="shared" si="58"/>
        <v>1</v>
      </c>
      <c r="N332" s="3547"/>
      <c r="O332" s="3191">
        <f t="shared" si="59"/>
        <v>1</v>
      </c>
      <c r="P332" s="3547"/>
      <c r="Q332" s="3191">
        <f t="shared" si="60"/>
        <v>1</v>
      </c>
      <c r="R332" s="2911">
        <f t="shared" si="61"/>
        <v>0</v>
      </c>
      <c r="S332" s="2965">
        <f t="shared" si="63"/>
        <v>0</v>
      </c>
    </row>
    <row r="333" spans="1:19">
      <c r="A333" s="3193"/>
      <c r="B333" s="3545"/>
      <c r="C333" s="3191">
        <f t="shared" si="53"/>
        <v>1</v>
      </c>
      <c r="D333" s="3547"/>
      <c r="E333" s="3191">
        <f t="shared" si="54"/>
        <v>0</v>
      </c>
      <c r="F333" s="3547"/>
      <c r="G333" s="3191">
        <f t="shared" si="55"/>
        <v>1</v>
      </c>
      <c r="H333" s="3547"/>
      <c r="I333" s="3191">
        <f t="shared" si="56"/>
        <v>1</v>
      </c>
      <c r="J333" s="3547"/>
      <c r="K333" s="3191">
        <f t="shared" si="57"/>
        <v>1</v>
      </c>
      <c r="L333" s="3547"/>
      <c r="M333" s="3191">
        <f t="shared" si="58"/>
        <v>1</v>
      </c>
      <c r="N333" s="3547"/>
      <c r="O333" s="3191">
        <f t="shared" si="59"/>
        <v>1</v>
      </c>
      <c r="P333" s="3547"/>
      <c r="Q333" s="3191">
        <f t="shared" si="60"/>
        <v>1</v>
      </c>
      <c r="R333" s="2911">
        <f t="shared" si="61"/>
        <v>0</v>
      </c>
      <c r="S333" s="2965">
        <f t="shared" si="63"/>
        <v>0</v>
      </c>
    </row>
    <row r="334" spans="1:19">
      <c r="A334" s="3193"/>
      <c r="B334" s="3545"/>
      <c r="C334" s="3191">
        <f t="shared" si="53"/>
        <v>1</v>
      </c>
      <c r="D334" s="3547"/>
      <c r="E334" s="3191">
        <f t="shared" si="54"/>
        <v>0</v>
      </c>
      <c r="F334" s="3547"/>
      <c r="G334" s="3191">
        <f t="shared" si="55"/>
        <v>1</v>
      </c>
      <c r="H334" s="3547"/>
      <c r="I334" s="3191">
        <f t="shared" si="56"/>
        <v>1</v>
      </c>
      <c r="J334" s="3547"/>
      <c r="K334" s="3191">
        <f t="shared" si="57"/>
        <v>1</v>
      </c>
      <c r="L334" s="3547"/>
      <c r="M334" s="3191">
        <f t="shared" si="58"/>
        <v>1</v>
      </c>
      <c r="N334" s="3547"/>
      <c r="O334" s="3191">
        <f t="shared" si="59"/>
        <v>1</v>
      </c>
      <c r="P334" s="3547"/>
      <c r="Q334" s="3191">
        <f t="shared" si="60"/>
        <v>1</v>
      </c>
      <c r="R334" s="2911">
        <f t="shared" si="61"/>
        <v>0</v>
      </c>
      <c r="S334" s="2965">
        <f t="shared" si="63"/>
        <v>0</v>
      </c>
    </row>
    <row r="335" spans="1:19">
      <c r="A335" s="3193"/>
      <c r="B335" s="3545"/>
      <c r="C335" s="3191">
        <f t="shared" si="53"/>
        <v>1</v>
      </c>
      <c r="D335" s="3547"/>
      <c r="E335" s="3191">
        <f t="shared" si="54"/>
        <v>0</v>
      </c>
      <c r="F335" s="3547"/>
      <c r="G335" s="3191">
        <f t="shared" si="55"/>
        <v>1</v>
      </c>
      <c r="H335" s="3547"/>
      <c r="I335" s="3191">
        <f t="shared" si="56"/>
        <v>1</v>
      </c>
      <c r="J335" s="3547"/>
      <c r="K335" s="3191">
        <f t="shared" si="57"/>
        <v>1</v>
      </c>
      <c r="L335" s="3547"/>
      <c r="M335" s="3191">
        <f t="shared" si="58"/>
        <v>1</v>
      </c>
      <c r="N335" s="3547"/>
      <c r="O335" s="3191">
        <f t="shared" si="59"/>
        <v>1</v>
      </c>
      <c r="P335" s="3547"/>
      <c r="Q335" s="3191">
        <f t="shared" si="60"/>
        <v>1</v>
      </c>
      <c r="R335" s="2911">
        <f t="shared" si="61"/>
        <v>0</v>
      </c>
      <c r="S335" s="2965">
        <f t="shared" si="63"/>
        <v>0</v>
      </c>
    </row>
    <row r="336" spans="1:19">
      <c r="A336" s="3193"/>
      <c r="B336" s="3545"/>
      <c r="C336" s="3191">
        <f t="shared" si="53"/>
        <v>1</v>
      </c>
      <c r="D336" s="3547"/>
      <c r="E336" s="3191">
        <f t="shared" si="54"/>
        <v>0</v>
      </c>
      <c r="F336" s="3547"/>
      <c r="G336" s="3191">
        <f t="shared" si="55"/>
        <v>1</v>
      </c>
      <c r="H336" s="3547"/>
      <c r="I336" s="3191">
        <f t="shared" si="56"/>
        <v>1</v>
      </c>
      <c r="J336" s="3547"/>
      <c r="K336" s="3191">
        <f t="shared" si="57"/>
        <v>1</v>
      </c>
      <c r="L336" s="3547"/>
      <c r="M336" s="3191">
        <f t="shared" si="58"/>
        <v>1</v>
      </c>
      <c r="N336" s="3547"/>
      <c r="O336" s="3191">
        <f t="shared" si="59"/>
        <v>1</v>
      </c>
      <c r="P336" s="3547"/>
      <c r="Q336" s="3191">
        <f t="shared" si="60"/>
        <v>1</v>
      </c>
      <c r="R336" s="2911">
        <f t="shared" si="61"/>
        <v>0</v>
      </c>
      <c r="S336" s="2965">
        <f t="shared" si="63"/>
        <v>0</v>
      </c>
    </row>
    <row r="337" spans="1:19">
      <c r="A337" s="3193"/>
      <c r="B337" s="3545"/>
      <c r="C337" s="3191">
        <f t="shared" si="53"/>
        <v>1</v>
      </c>
      <c r="D337" s="3547"/>
      <c r="E337" s="3191">
        <f t="shared" si="54"/>
        <v>0</v>
      </c>
      <c r="F337" s="3547"/>
      <c r="G337" s="3191">
        <f t="shared" si="55"/>
        <v>1</v>
      </c>
      <c r="H337" s="3547"/>
      <c r="I337" s="3191">
        <f t="shared" si="56"/>
        <v>1</v>
      </c>
      <c r="J337" s="3547"/>
      <c r="K337" s="3191">
        <f t="shared" si="57"/>
        <v>1</v>
      </c>
      <c r="L337" s="3547"/>
      <c r="M337" s="3191">
        <f t="shared" si="58"/>
        <v>1</v>
      </c>
      <c r="N337" s="3547"/>
      <c r="O337" s="3191">
        <f t="shared" si="59"/>
        <v>1</v>
      </c>
      <c r="P337" s="3547"/>
      <c r="Q337" s="3191">
        <f t="shared" si="60"/>
        <v>1</v>
      </c>
      <c r="R337" s="2911">
        <f t="shared" si="61"/>
        <v>0</v>
      </c>
      <c r="S337" s="2965">
        <f t="shared" si="63"/>
        <v>0</v>
      </c>
    </row>
    <row r="338" spans="1:19">
      <c r="A338" s="3193"/>
      <c r="B338" s="3545"/>
      <c r="C338" s="3191">
        <f t="shared" si="53"/>
        <v>1</v>
      </c>
      <c r="D338" s="3547"/>
      <c r="E338" s="3191">
        <f t="shared" si="54"/>
        <v>0</v>
      </c>
      <c r="F338" s="3547"/>
      <c r="G338" s="3191">
        <f t="shared" si="55"/>
        <v>1</v>
      </c>
      <c r="H338" s="3547"/>
      <c r="I338" s="3191">
        <f t="shared" si="56"/>
        <v>1</v>
      </c>
      <c r="J338" s="3547"/>
      <c r="K338" s="3191">
        <f t="shared" si="57"/>
        <v>1</v>
      </c>
      <c r="L338" s="3547"/>
      <c r="M338" s="3191">
        <f t="shared" si="58"/>
        <v>1</v>
      </c>
      <c r="N338" s="3547"/>
      <c r="O338" s="3191">
        <f t="shared" si="59"/>
        <v>1</v>
      </c>
      <c r="P338" s="3547"/>
      <c r="Q338" s="3191">
        <f t="shared" si="60"/>
        <v>1</v>
      </c>
      <c r="R338" s="2911">
        <f t="shared" si="61"/>
        <v>0</v>
      </c>
      <c r="S338" s="2965">
        <f t="shared" si="63"/>
        <v>0</v>
      </c>
    </row>
    <row r="339" spans="1:19">
      <c r="A339" s="3193"/>
      <c r="B339" s="3545"/>
      <c r="C339" s="3191">
        <f t="shared" si="53"/>
        <v>1</v>
      </c>
      <c r="D339" s="3547"/>
      <c r="E339" s="3191">
        <f t="shared" si="54"/>
        <v>0</v>
      </c>
      <c r="F339" s="3547"/>
      <c r="G339" s="3191">
        <f t="shared" si="55"/>
        <v>1</v>
      </c>
      <c r="H339" s="3547"/>
      <c r="I339" s="3191">
        <f t="shared" si="56"/>
        <v>1</v>
      </c>
      <c r="J339" s="3547"/>
      <c r="K339" s="3191">
        <f t="shared" si="57"/>
        <v>1</v>
      </c>
      <c r="L339" s="3547"/>
      <c r="M339" s="3191">
        <f t="shared" si="58"/>
        <v>1</v>
      </c>
      <c r="N339" s="3547"/>
      <c r="O339" s="3191">
        <f t="shared" si="59"/>
        <v>1</v>
      </c>
      <c r="P339" s="3547"/>
      <c r="Q339" s="3191">
        <f t="shared" si="60"/>
        <v>1</v>
      </c>
      <c r="R339" s="2911">
        <f t="shared" si="61"/>
        <v>0</v>
      </c>
      <c r="S339" s="2965">
        <f t="shared" si="63"/>
        <v>0</v>
      </c>
    </row>
    <row r="340" spans="1:19">
      <c r="A340" s="3193"/>
      <c r="B340" s="3545"/>
      <c r="C340" s="3191">
        <f t="shared" si="53"/>
        <v>1</v>
      </c>
      <c r="D340" s="3547"/>
      <c r="E340" s="3191">
        <f t="shared" si="54"/>
        <v>0</v>
      </c>
      <c r="F340" s="3547"/>
      <c r="G340" s="3191">
        <f t="shared" si="55"/>
        <v>1</v>
      </c>
      <c r="H340" s="3547"/>
      <c r="I340" s="3191">
        <f t="shared" si="56"/>
        <v>1</v>
      </c>
      <c r="J340" s="3547"/>
      <c r="K340" s="3191">
        <f t="shared" si="57"/>
        <v>1</v>
      </c>
      <c r="L340" s="3547"/>
      <c r="M340" s="3191">
        <f t="shared" si="58"/>
        <v>1</v>
      </c>
      <c r="N340" s="3547"/>
      <c r="O340" s="3191">
        <f t="shared" si="59"/>
        <v>1</v>
      </c>
      <c r="P340" s="3547"/>
      <c r="Q340" s="3191">
        <f t="shared" si="60"/>
        <v>1</v>
      </c>
      <c r="R340" s="2911">
        <f t="shared" si="61"/>
        <v>0</v>
      </c>
      <c r="S340" s="2965">
        <f t="shared" si="63"/>
        <v>0</v>
      </c>
    </row>
    <row r="341" spans="1:19">
      <c r="A341" s="3193"/>
      <c r="B341" s="3545"/>
      <c r="C341" s="3191">
        <f t="shared" si="53"/>
        <v>1</v>
      </c>
      <c r="D341" s="3547"/>
      <c r="E341" s="3191">
        <f t="shared" si="54"/>
        <v>0</v>
      </c>
      <c r="F341" s="3547"/>
      <c r="G341" s="3191">
        <f t="shared" si="55"/>
        <v>1</v>
      </c>
      <c r="H341" s="3547"/>
      <c r="I341" s="3191">
        <f t="shared" si="56"/>
        <v>1</v>
      </c>
      <c r="J341" s="3547"/>
      <c r="K341" s="3191">
        <f t="shared" si="57"/>
        <v>1</v>
      </c>
      <c r="L341" s="3547"/>
      <c r="M341" s="3191">
        <f t="shared" si="58"/>
        <v>1</v>
      </c>
      <c r="N341" s="3547"/>
      <c r="O341" s="3191">
        <f t="shared" si="59"/>
        <v>1</v>
      </c>
      <c r="P341" s="3547"/>
      <c r="Q341" s="3191">
        <f t="shared" si="60"/>
        <v>1</v>
      </c>
      <c r="R341" s="2911">
        <f t="shared" si="61"/>
        <v>0</v>
      </c>
      <c r="S341" s="2965">
        <f t="shared" si="63"/>
        <v>0</v>
      </c>
    </row>
    <row r="342" spans="1:19">
      <c r="A342" s="3193"/>
      <c r="B342" s="3545"/>
      <c r="C342" s="3191">
        <f t="shared" si="53"/>
        <v>1</v>
      </c>
      <c r="D342" s="3547"/>
      <c r="E342" s="3191">
        <f t="shared" si="54"/>
        <v>0</v>
      </c>
      <c r="F342" s="3547"/>
      <c r="G342" s="3191">
        <f t="shared" si="55"/>
        <v>1</v>
      </c>
      <c r="H342" s="3547"/>
      <c r="I342" s="3191">
        <f t="shared" si="56"/>
        <v>1</v>
      </c>
      <c r="J342" s="3547"/>
      <c r="K342" s="3191">
        <f t="shared" si="57"/>
        <v>1</v>
      </c>
      <c r="L342" s="3547"/>
      <c r="M342" s="3191">
        <f t="shared" si="58"/>
        <v>1</v>
      </c>
      <c r="N342" s="3547"/>
      <c r="O342" s="3191">
        <f t="shared" si="59"/>
        <v>1</v>
      </c>
      <c r="P342" s="3547"/>
      <c r="Q342" s="3191">
        <f t="shared" si="60"/>
        <v>1</v>
      </c>
      <c r="R342" s="2911">
        <f t="shared" si="61"/>
        <v>0</v>
      </c>
      <c r="S342" s="2965">
        <f t="shared" si="63"/>
        <v>0</v>
      </c>
    </row>
    <row r="343" spans="1:19">
      <c r="A343" s="3193"/>
      <c r="B343" s="3545"/>
      <c r="C343" s="3191">
        <f t="shared" si="53"/>
        <v>1</v>
      </c>
      <c r="D343" s="3547"/>
      <c r="E343" s="3191">
        <f t="shared" si="54"/>
        <v>0</v>
      </c>
      <c r="F343" s="3547"/>
      <c r="G343" s="3191">
        <f t="shared" si="55"/>
        <v>1</v>
      </c>
      <c r="H343" s="3547"/>
      <c r="I343" s="3191">
        <f t="shared" si="56"/>
        <v>1</v>
      </c>
      <c r="J343" s="3547"/>
      <c r="K343" s="3191">
        <f t="shared" si="57"/>
        <v>1</v>
      </c>
      <c r="L343" s="3547"/>
      <c r="M343" s="3191">
        <f t="shared" si="58"/>
        <v>1</v>
      </c>
      <c r="N343" s="3547"/>
      <c r="O343" s="3191">
        <f t="shared" si="59"/>
        <v>1</v>
      </c>
      <c r="P343" s="3547"/>
      <c r="Q343" s="3191">
        <f t="shared" si="60"/>
        <v>1</v>
      </c>
      <c r="R343" s="2911">
        <f t="shared" si="61"/>
        <v>0</v>
      </c>
      <c r="S343" s="2965">
        <f t="shared" si="63"/>
        <v>0</v>
      </c>
    </row>
    <row r="344" spans="1:19">
      <c r="A344" s="3193"/>
      <c r="B344" s="3545"/>
      <c r="C344" s="3191">
        <f t="shared" si="53"/>
        <v>1</v>
      </c>
      <c r="D344" s="3547"/>
      <c r="E344" s="3191">
        <f t="shared" si="54"/>
        <v>0</v>
      </c>
      <c r="F344" s="3547"/>
      <c r="G344" s="3191">
        <f t="shared" si="55"/>
        <v>1</v>
      </c>
      <c r="H344" s="3547"/>
      <c r="I344" s="3191">
        <f t="shared" si="56"/>
        <v>1</v>
      </c>
      <c r="J344" s="3547"/>
      <c r="K344" s="3191">
        <f t="shared" si="57"/>
        <v>1</v>
      </c>
      <c r="L344" s="3547"/>
      <c r="M344" s="3191">
        <f t="shared" si="58"/>
        <v>1</v>
      </c>
      <c r="N344" s="3547"/>
      <c r="O344" s="3191">
        <f t="shared" si="59"/>
        <v>1</v>
      </c>
      <c r="P344" s="3547"/>
      <c r="Q344" s="3191">
        <f t="shared" si="60"/>
        <v>1</v>
      </c>
      <c r="R344" s="2911">
        <f t="shared" si="61"/>
        <v>0</v>
      </c>
      <c r="S344" s="2965">
        <f t="shared" si="63"/>
        <v>0</v>
      </c>
    </row>
    <row r="345" spans="1:19">
      <c r="A345" s="3193"/>
      <c r="B345" s="3545"/>
      <c r="C345" s="3191">
        <f t="shared" si="53"/>
        <v>1</v>
      </c>
      <c r="D345" s="3547"/>
      <c r="E345" s="3191">
        <f t="shared" si="54"/>
        <v>0</v>
      </c>
      <c r="F345" s="3547"/>
      <c r="G345" s="3191">
        <f t="shared" si="55"/>
        <v>1</v>
      </c>
      <c r="H345" s="3547"/>
      <c r="I345" s="3191">
        <f t="shared" si="56"/>
        <v>1</v>
      </c>
      <c r="J345" s="3547"/>
      <c r="K345" s="3191">
        <f t="shared" si="57"/>
        <v>1</v>
      </c>
      <c r="L345" s="3547"/>
      <c r="M345" s="3191">
        <f t="shared" si="58"/>
        <v>1</v>
      </c>
      <c r="N345" s="3547"/>
      <c r="O345" s="3191">
        <f t="shared" si="59"/>
        <v>1</v>
      </c>
      <c r="P345" s="3547"/>
      <c r="Q345" s="3191">
        <f t="shared" si="60"/>
        <v>1</v>
      </c>
      <c r="R345" s="2911">
        <f t="shared" si="61"/>
        <v>0</v>
      </c>
      <c r="S345" s="2965">
        <f t="shared" si="63"/>
        <v>0</v>
      </c>
    </row>
    <row r="346" spans="1:19">
      <c r="A346" s="3193"/>
      <c r="B346" s="3545"/>
      <c r="C346" s="3191">
        <f t="shared" ref="C346:C409" si="64">IF(B346="",1,(LOOKUP(B346,$3:$3,$4:$4)-LOOKUP($B$24,$3:$3,$4:$4)+100)/100)</f>
        <v>1</v>
      </c>
      <c r="D346" s="3547"/>
      <c r="E346" s="3191">
        <f t="shared" ref="E346:E409" si="65">(SUMIF($5:$5,D346,$6:$6)-SUMIF($5:$5,$D$24,$6:$6)+100)/100</f>
        <v>0</v>
      </c>
      <c r="F346" s="3547"/>
      <c r="G346" s="3191">
        <f t="shared" ref="G346:G409" si="66">(SUMIF($7:$7,F346,$8:$8)-SUMIF($7:$7,$F$24,$8:$8)+100)/100</f>
        <v>1</v>
      </c>
      <c r="H346" s="3547"/>
      <c r="I346" s="3191">
        <f t="shared" ref="I346:I409" si="67">(SUMIF($9:$9,H346,$10:$10)-SUMIF($9:$9,$H$24,$10:$10)+100)/100</f>
        <v>1</v>
      </c>
      <c r="J346" s="3547"/>
      <c r="K346" s="3191">
        <f t="shared" ref="K346:K409" si="68">(SUMIF($11:$11,J346,$12:$12)-SUMIF($11:$11,$J$24,$12:$12)+100)/100</f>
        <v>1</v>
      </c>
      <c r="L346" s="3547"/>
      <c r="M346" s="3191">
        <f t="shared" ref="M346:M409" si="69">(SUMIF($13:$13,L346,$14:$14)-SUMIF($13:$13,$L$24,$14:$14)+100)/100</f>
        <v>1</v>
      </c>
      <c r="N346" s="3547"/>
      <c r="O346" s="3191">
        <f t="shared" ref="O346:O409" si="70">(SUMIF($15:$15,N346,$16:$16)-SUMIF($15:$15,$N$24,$16:$16)+100)/100</f>
        <v>1</v>
      </c>
      <c r="P346" s="3547"/>
      <c r="Q346" s="3191">
        <f t="shared" ref="Q346:Q409" si="71">(SUMIF($17:$17,P346,$18:$18)-SUMIF($17:$17,$P$24,$18:$18)+100)/100</f>
        <v>1</v>
      </c>
      <c r="R346" s="2911">
        <f t="shared" ref="R346:R409" si="72">IF(B346="",0,ROUND($R$24*C346*E346*G346*I346*K346*M346*O346*Q346,0))</f>
        <v>0</v>
      </c>
      <c r="S346" s="2965">
        <f t="shared" si="63"/>
        <v>0</v>
      </c>
    </row>
    <row r="347" spans="1:19">
      <c r="A347" s="3193"/>
      <c r="B347" s="3545"/>
      <c r="C347" s="3191">
        <f t="shared" si="64"/>
        <v>1</v>
      </c>
      <c r="D347" s="3547"/>
      <c r="E347" s="3191">
        <f t="shared" si="65"/>
        <v>0</v>
      </c>
      <c r="F347" s="3547"/>
      <c r="G347" s="3191">
        <f t="shared" si="66"/>
        <v>1</v>
      </c>
      <c r="H347" s="3547"/>
      <c r="I347" s="3191">
        <f t="shared" si="67"/>
        <v>1</v>
      </c>
      <c r="J347" s="3547"/>
      <c r="K347" s="3191">
        <f t="shared" si="68"/>
        <v>1</v>
      </c>
      <c r="L347" s="3547"/>
      <c r="M347" s="3191">
        <f t="shared" si="69"/>
        <v>1</v>
      </c>
      <c r="N347" s="3547"/>
      <c r="O347" s="3191">
        <f t="shared" si="70"/>
        <v>1</v>
      </c>
      <c r="P347" s="3547"/>
      <c r="Q347" s="3191">
        <f t="shared" si="71"/>
        <v>1</v>
      </c>
      <c r="R347" s="2911">
        <f t="shared" si="72"/>
        <v>0</v>
      </c>
      <c r="S347" s="2965">
        <f t="shared" si="63"/>
        <v>0</v>
      </c>
    </row>
    <row r="348" spans="1:19">
      <c r="A348" s="3193"/>
      <c r="B348" s="3545"/>
      <c r="C348" s="3191">
        <f t="shared" si="64"/>
        <v>1</v>
      </c>
      <c r="D348" s="3547"/>
      <c r="E348" s="3191">
        <f t="shared" si="65"/>
        <v>0</v>
      </c>
      <c r="F348" s="3547"/>
      <c r="G348" s="3191">
        <f t="shared" si="66"/>
        <v>1</v>
      </c>
      <c r="H348" s="3547"/>
      <c r="I348" s="3191">
        <f t="shared" si="67"/>
        <v>1</v>
      </c>
      <c r="J348" s="3547"/>
      <c r="K348" s="3191">
        <f t="shared" si="68"/>
        <v>1</v>
      </c>
      <c r="L348" s="3547"/>
      <c r="M348" s="3191">
        <f t="shared" si="69"/>
        <v>1</v>
      </c>
      <c r="N348" s="3547"/>
      <c r="O348" s="3191">
        <f t="shared" si="70"/>
        <v>1</v>
      </c>
      <c r="P348" s="3547"/>
      <c r="Q348" s="3191">
        <f t="shared" si="71"/>
        <v>1</v>
      </c>
      <c r="R348" s="2911">
        <f t="shared" si="72"/>
        <v>0</v>
      </c>
      <c r="S348" s="2965">
        <f t="shared" si="63"/>
        <v>0</v>
      </c>
    </row>
    <row r="349" spans="1:19">
      <c r="A349" s="3193"/>
      <c r="B349" s="3545"/>
      <c r="C349" s="3191">
        <f t="shared" si="64"/>
        <v>1</v>
      </c>
      <c r="D349" s="3547"/>
      <c r="E349" s="3191">
        <f t="shared" si="65"/>
        <v>0</v>
      </c>
      <c r="F349" s="3547"/>
      <c r="G349" s="3191">
        <f t="shared" si="66"/>
        <v>1</v>
      </c>
      <c r="H349" s="3547"/>
      <c r="I349" s="3191">
        <f t="shared" si="67"/>
        <v>1</v>
      </c>
      <c r="J349" s="3547"/>
      <c r="K349" s="3191">
        <f t="shared" si="68"/>
        <v>1</v>
      </c>
      <c r="L349" s="3547"/>
      <c r="M349" s="3191">
        <f t="shared" si="69"/>
        <v>1</v>
      </c>
      <c r="N349" s="3547"/>
      <c r="O349" s="3191">
        <f t="shared" si="70"/>
        <v>1</v>
      </c>
      <c r="P349" s="3547"/>
      <c r="Q349" s="3191">
        <f t="shared" si="71"/>
        <v>1</v>
      </c>
      <c r="R349" s="2911">
        <f t="shared" si="72"/>
        <v>0</v>
      </c>
      <c r="S349" s="2965">
        <f t="shared" si="63"/>
        <v>0</v>
      </c>
    </row>
    <row r="350" spans="1:19">
      <c r="A350" s="3193"/>
      <c r="B350" s="3545"/>
      <c r="C350" s="3191">
        <f t="shared" si="64"/>
        <v>1</v>
      </c>
      <c r="D350" s="3547"/>
      <c r="E350" s="3191">
        <f t="shared" si="65"/>
        <v>0</v>
      </c>
      <c r="F350" s="3547"/>
      <c r="G350" s="3191">
        <f t="shared" si="66"/>
        <v>1</v>
      </c>
      <c r="H350" s="3547"/>
      <c r="I350" s="3191">
        <f t="shared" si="67"/>
        <v>1</v>
      </c>
      <c r="J350" s="3547"/>
      <c r="K350" s="3191">
        <f t="shared" si="68"/>
        <v>1</v>
      </c>
      <c r="L350" s="3547"/>
      <c r="M350" s="3191">
        <f t="shared" si="69"/>
        <v>1</v>
      </c>
      <c r="N350" s="3547"/>
      <c r="O350" s="3191">
        <f t="shared" si="70"/>
        <v>1</v>
      </c>
      <c r="P350" s="3547"/>
      <c r="Q350" s="3191">
        <f t="shared" si="71"/>
        <v>1</v>
      </c>
      <c r="R350" s="2911">
        <f t="shared" si="72"/>
        <v>0</v>
      </c>
      <c r="S350" s="2965">
        <f t="shared" si="63"/>
        <v>0</v>
      </c>
    </row>
    <row r="351" spans="1:19">
      <c r="A351" s="3193"/>
      <c r="B351" s="3545"/>
      <c r="C351" s="3191">
        <f t="shared" si="64"/>
        <v>1</v>
      </c>
      <c r="D351" s="3547"/>
      <c r="E351" s="3191">
        <f t="shared" si="65"/>
        <v>0</v>
      </c>
      <c r="F351" s="3547"/>
      <c r="G351" s="3191">
        <f t="shared" si="66"/>
        <v>1</v>
      </c>
      <c r="H351" s="3547"/>
      <c r="I351" s="3191">
        <f t="shared" si="67"/>
        <v>1</v>
      </c>
      <c r="J351" s="3547"/>
      <c r="K351" s="3191">
        <f t="shared" si="68"/>
        <v>1</v>
      </c>
      <c r="L351" s="3547"/>
      <c r="M351" s="3191">
        <f t="shared" si="69"/>
        <v>1</v>
      </c>
      <c r="N351" s="3547"/>
      <c r="O351" s="3191">
        <f t="shared" si="70"/>
        <v>1</v>
      </c>
      <c r="P351" s="3547"/>
      <c r="Q351" s="3191">
        <f t="shared" si="71"/>
        <v>1</v>
      </c>
      <c r="R351" s="2911">
        <f t="shared" si="72"/>
        <v>0</v>
      </c>
      <c r="S351" s="2965">
        <f t="shared" si="63"/>
        <v>0</v>
      </c>
    </row>
    <row r="352" spans="1:19">
      <c r="A352" s="3193"/>
      <c r="B352" s="3545"/>
      <c r="C352" s="3191">
        <f t="shared" si="64"/>
        <v>1</v>
      </c>
      <c r="D352" s="3547"/>
      <c r="E352" s="3191">
        <f t="shared" si="65"/>
        <v>0</v>
      </c>
      <c r="F352" s="3547"/>
      <c r="G352" s="3191">
        <f t="shared" si="66"/>
        <v>1</v>
      </c>
      <c r="H352" s="3547"/>
      <c r="I352" s="3191">
        <f t="shared" si="67"/>
        <v>1</v>
      </c>
      <c r="J352" s="3547"/>
      <c r="K352" s="3191">
        <f t="shared" si="68"/>
        <v>1</v>
      </c>
      <c r="L352" s="3547"/>
      <c r="M352" s="3191">
        <f t="shared" si="69"/>
        <v>1</v>
      </c>
      <c r="N352" s="3547"/>
      <c r="O352" s="3191">
        <f t="shared" si="70"/>
        <v>1</v>
      </c>
      <c r="P352" s="3547"/>
      <c r="Q352" s="3191">
        <f t="shared" si="71"/>
        <v>1</v>
      </c>
      <c r="R352" s="2911">
        <f t="shared" si="72"/>
        <v>0</v>
      </c>
      <c r="S352" s="2965">
        <f t="shared" si="63"/>
        <v>0</v>
      </c>
    </row>
    <row r="353" spans="1:19">
      <c r="A353" s="3193"/>
      <c r="B353" s="3545"/>
      <c r="C353" s="3191">
        <f t="shared" si="64"/>
        <v>1</v>
      </c>
      <c r="D353" s="3547"/>
      <c r="E353" s="3191">
        <f t="shared" si="65"/>
        <v>0</v>
      </c>
      <c r="F353" s="3547"/>
      <c r="G353" s="3191">
        <f t="shared" si="66"/>
        <v>1</v>
      </c>
      <c r="H353" s="3547"/>
      <c r="I353" s="3191">
        <f t="shared" si="67"/>
        <v>1</v>
      </c>
      <c r="J353" s="3547"/>
      <c r="K353" s="3191">
        <f t="shared" si="68"/>
        <v>1</v>
      </c>
      <c r="L353" s="3547"/>
      <c r="M353" s="3191">
        <f t="shared" si="69"/>
        <v>1</v>
      </c>
      <c r="N353" s="3547"/>
      <c r="O353" s="3191">
        <f t="shared" si="70"/>
        <v>1</v>
      </c>
      <c r="P353" s="3547"/>
      <c r="Q353" s="3191">
        <f t="shared" si="71"/>
        <v>1</v>
      </c>
      <c r="R353" s="2911">
        <f t="shared" si="72"/>
        <v>0</v>
      </c>
      <c r="S353" s="2965">
        <f t="shared" si="63"/>
        <v>0</v>
      </c>
    </row>
    <row r="354" spans="1:19">
      <c r="A354" s="3193"/>
      <c r="B354" s="3545"/>
      <c r="C354" s="3191">
        <f t="shared" si="64"/>
        <v>1</v>
      </c>
      <c r="D354" s="3547"/>
      <c r="E354" s="3191">
        <f t="shared" si="65"/>
        <v>0</v>
      </c>
      <c r="F354" s="3547"/>
      <c r="G354" s="3191">
        <f t="shared" si="66"/>
        <v>1</v>
      </c>
      <c r="H354" s="3547"/>
      <c r="I354" s="3191">
        <f t="shared" si="67"/>
        <v>1</v>
      </c>
      <c r="J354" s="3547"/>
      <c r="K354" s="3191">
        <f t="shared" si="68"/>
        <v>1</v>
      </c>
      <c r="L354" s="3547"/>
      <c r="M354" s="3191">
        <f t="shared" si="69"/>
        <v>1</v>
      </c>
      <c r="N354" s="3547"/>
      <c r="O354" s="3191">
        <f t="shared" si="70"/>
        <v>1</v>
      </c>
      <c r="P354" s="3547"/>
      <c r="Q354" s="3191">
        <f t="shared" si="71"/>
        <v>1</v>
      </c>
      <c r="R354" s="2911">
        <f t="shared" si="72"/>
        <v>0</v>
      </c>
      <c r="S354" s="2965">
        <f t="shared" si="63"/>
        <v>0</v>
      </c>
    </row>
    <row r="355" spans="1:19">
      <c r="A355" s="3193"/>
      <c r="B355" s="3545"/>
      <c r="C355" s="3191">
        <f t="shared" si="64"/>
        <v>1</v>
      </c>
      <c r="D355" s="3547"/>
      <c r="E355" s="3191">
        <f t="shared" si="65"/>
        <v>0</v>
      </c>
      <c r="F355" s="3547"/>
      <c r="G355" s="3191">
        <f t="shared" si="66"/>
        <v>1</v>
      </c>
      <c r="H355" s="3547"/>
      <c r="I355" s="3191">
        <f t="shared" si="67"/>
        <v>1</v>
      </c>
      <c r="J355" s="3547"/>
      <c r="K355" s="3191">
        <f t="shared" si="68"/>
        <v>1</v>
      </c>
      <c r="L355" s="3547"/>
      <c r="M355" s="3191">
        <f t="shared" si="69"/>
        <v>1</v>
      </c>
      <c r="N355" s="3547"/>
      <c r="O355" s="3191">
        <f t="shared" si="70"/>
        <v>1</v>
      </c>
      <c r="P355" s="3547"/>
      <c r="Q355" s="3191">
        <f t="shared" si="71"/>
        <v>1</v>
      </c>
      <c r="R355" s="2911">
        <f t="shared" si="72"/>
        <v>0</v>
      </c>
      <c r="S355" s="2965">
        <f t="shared" si="63"/>
        <v>0</v>
      </c>
    </row>
    <row r="356" spans="1:19">
      <c r="A356" s="3193"/>
      <c r="B356" s="3545"/>
      <c r="C356" s="3191">
        <f t="shared" si="64"/>
        <v>1</v>
      </c>
      <c r="D356" s="3547"/>
      <c r="E356" s="3191">
        <f t="shared" si="65"/>
        <v>0</v>
      </c>
      <c r="F356" s="3547"/>
      <c r="G356" s="3191">
        <f t="shared" si="66"/>
        <v>1</v>
      </c>
      <c r="H356" s="3547"/>
      <c r="I356" s="3191">
        <f t="shared" si="67"/>
        <v>1</v>
      </c>
      <c r="J356" s="3547"/>
      <c r="K356" s="3191">
        <f t="shared" si="68"/>
        <v>1</v>
      </c>
      <c r="L356" s="3547"/>
      <c r="M356" s="3191">
        <f t="shared" si="69"/>
        <v>1</v>
      </c>
      <c r="N356" s="3547"/>
      <c r="O356" s="3191">
        <f t="shared" si="70"/>
        <v>1</v>
      </c>
      <c r="P356" s="3547"/>
      <c r="Q356" s="3191">
        <f t="shared" si="71"/>
        <v>1</v>
      </c>
      <c r="R356" s="2911">
        <f t="shared" si="72"/>
        <v>0</v>
      </c>
      <c r="S356" s="2965">
        <f t="shared" si="63"/>
        <v>0</v>
      </c>
    </row>
    <row r="357" spans="1:19">
      <c r="A357" s="3193"/>
      <c r="B357" s="3545"/>
      <c r="C357" s="3191">
        <f t="shared" si="64"/>
        <v>1</v>
      </c>
      <c r="D357" s="3547"/>
      <c r="E357" s="3191">
        <f t="shared" si="65"/>
        <v>0</v>
      </c>
      <c r="F357" s="3547"/>
      <c r="G357" s="3191">
        <f t="shared" si="66"/>
        <v>1</v>
      </c>
      <c r="H357" s="3547"/>
      <c r="I357" s="3191">
        <f t="shared" si="67"/>
        <v>1</v>
      </c>
      <c r="J357" s="3547"/>
      <c r="K357" s="3191">
        <f t="shared" si="68"/>
        <v>1</v>
      </c>
      <c r="L357" s="3547"/>
      <c r="M357" s="3191">
        <f t="shared" si="69"/>
        <v>1</v>
      </c>
      <c r="N357" s="3547"/>
      <c r="O357" s="3191">
        <f t="shared" si="70"/>
        <v>1</v>
      </c>
      <c r="P357" s="3547"/>
      <c r="Q357" s="3191">
        <f t="shared" si="71"/>
        <v>1</v>
      </c>
      <c r="R357" s="2911">
        <f t="shared" si="72"/>
        <v>0</v>
      </c>
      <c r="S357" s="2965">
        <f t="shared" si="63"/>
        <v>0</v>
      </c>
    </row>
    <row r="358" spans="1:19">
      <c r="A358" s="3193"/>
      <c r="B358" s="3545"/>
      <c r="C358" s="3191">
        <f t="shared" si="64"/>
        <v>1</v>
      </c>
      <c r="D358" s="3547"/>
      <c r="E358" s="3191">
        <f t="shared" si="65"/>
        <v>0</v>
      </c>
      <c r="F358" s="3547"/>
      <c r="G358" s="3191">
        <f t="shared" si="66"/>
        <v>1</v>
      </c>
      <c r="H358" s="3547"/>
      <c r="I358" s="3191">
        <f t="shared" si="67"/>
        <v>1</v>
      </c>
      <c r="J358" s="3547"/>
      <c r="K358" s="3191">
        <f t="shared" si="68"/>
        <v>1</v>
      </c>
      <c r="L358" s="3547"/>
      <c r="M358" s="3191">
        <f t="shared" si="69"/>
        <v>1</v>
      </c>
      <c r="N358" s="3547"/>
      <c r="O358" s="3191">
        <f t="shared" si="70"/>
        <v>1</v>
      </c>
      <c r="P358" s="3547"/>
      <c r="Q358" s="3191">
        <f t="shared" si="71"/>
        <v>1</v>
      </c>
      <c r="R358" s="2911">
        <f t="shared" si="72"/>
        <v>0</v>
      </c>
      <c r="S358" s="2965">
        <f t="shared" si="63"/>
        <v>0</v>
      </c>
    </row>
    <row r="359" spans="1:19">
      <c r="A359" s="3193"/>
      <c r="B359" s="3545"/>
      <c r="C359" s="3191">
        <f t="shared" si="64"/>
        <v>1</v>
      </c>
      <c r="D359" s="3547"/>
      <c r="E359" s="3191">
        <f t="shared" si="65"/>
        <v>0</v>
      </c>
      <c r="F359" s="3547"/>
      <c r="G359" s="3191">
        <f t="shared" si="66"/>
        <v>1</v>
      </c>
      <c r="H359" s="3547"/>
      <c r="I359" s="3191">
        <f t="shared" si="67"/>
        <v>1</v>
      </c>
      <c r="J359" s="3547"/>
      <c r="K359" s="3191">
        <f t="shared" si="68"/>
        <v>1</v>
      </c>
      <c r="L359" s="3547"/>
      <c r="M359" s="3191">
        <f t="shared" si="69"/>
        <v>1</v>
      </c>
      <c r="N359" s="3547"/>
      <c r="O359" s="3191">
        <f t="shared" si="70"/>
        <v>1</v>
      </c>
      <c r="P359" s="3547"/>
      <c r="Q359" s="3191">
        <f t="shared" si="71"/>
        <v>1</v>
      </c>
      <c r="R359" s="2911">
        <f t="shared" si="72"/>
        <v>0</v>
      </c>
      <c r="S359" s="2965">
        <f t="shared" si="63"/>
        <v>0</v>
      </c>
    </row>
    <row r="360" spans="1:19">
      <c r="A360" s="3193"/>
      <c r="B360" s="3545"/>
      <c r="C360" s="3191">
        <f t="shared" si="64"/>
        <v>1</v>
      </c>
      <c r="D360" s="3547"/>
      <c r="E360" s="3191">
        <f t="shared" si="65"/>
        <v>0</v>
      </c>
      <c r="F360" s="3547"/>
      <c r="G360" s="3191">
        <f t="shared" si="66"/>
        <v>1</v>
      </c>
      <c r="H360" s="3547"/>
      <c r="I360" s="3191">
        <f t="shared" si="67"/>
        <v>1</v>
      </c>
      <c r="J360" s="3547"/>
      <c r="K360" s="3191">
        <f t="shared" si="68"/>
        <v>1</v>
      </c>
      <c r="L360" s="3547"/>
      <c r="M360" s="3191">
        <f t="shared" si="69"/>
        <v>1</v>
      </c>
      <c r="N360" s="3547"/>
      <c r="O360" s="3191">
        <f t="shared" si="70"/>
        <v>1</v>
      </c>
      <c r="P360" s="3547"/>
      <c r="Q360" s="3191">
        <f t="shared" si="71"/>
        <v>1</v>
      </c>
      <c r="R360" s="2911">
        <f t="shared" si="72"/>
        <v>0</v>
      </c>
      <c r="S360" s="2965">
        <f t="shared" si="63"/>
        <v>0</v>
      </c>
    </row>
    <row r="361" spans="1:19">
      <c r="A361" s="3193"/>
      <c r="B361" s="3545"/>
      <c r="C361" s="3191">
        <f t="shared" si="64"/>
        <v>1</v>
      </c>
      <c r="D361" s="3547"/>
      <c r="E361" s="3191">
        <f t="shared" si="65"/>
        <v>0</v>
      </c>
      <c r="F361" s="3547"/>
      <c r="G361" s="3191">
        <f t="shared" si="66"/>
        <v>1</v>
      </c>
      <c r="H361" s="3547"/>
      <c r="I361" s="3191">
        <f t="shared" si="67"/>
        <v>1</v>
      </c>
      <c r="J361" s="3547"/>
      <c r="K361" s="3191">
        <f t="shared" si="68"/>
        <v>1</v>
      </c>
      <c r="L361" s="3547"/>
      <c r="M361" s="3191">
        <f t="shared" si="69"/>
        <v>1</v>
      </c>
      <c r="N361" s="3547"/>
      <c r="O361" s="3191">
        <f t="shared" si="70"/>
        <v>1</v>
      </c>
      <c r="P361" s="3547"/>
      <c r="Q361" s="3191">
        <f t="shared" si="71"/>
        <v>1</v>
      </c>
      <c r="R361" s="2911">
        <f t="shared" si="72"/>
        <v>0</v>
      </c>
      <c r="S361" s="2965">
        <f t="shared" si="63"/>
        <v>0</v>
      </c>
    </row>
    <row r="362" spans="1:19">
      <c r="A362" s="3193"/>
      <c r="B362" s="3545"/>
      <c r="C362" s="3191">
        <f t="shared" si="64"/>
        <v>1</v>
      </c>
      <c r="D362" s="3547"/>
      <c r="E362" s="3191">
        <f t="shared" si="65"/>
        <v>0</v>
      </c>
      <c r="F362" s="3547"/>
      <c r="G362" s="3191">
        <f t="shared" si="66"/>
        <v>1</v>
      </c>
      <c r="H362" s="3547"/>
      <c r="I362" s="3191">
        <f t="shared" si="67"/>
        <v>1</v>
      </c>
      <c r="J362" s="3547"/>
      <c r="K362" s="3191">
        <f t="shared" si="68"/>
        <v>1</v>
      </c>
      <c r="L362" s="3547"/>
      <c r="M362" s="3191">
        <f t="shared" si="69"/>
        <v>1</v>
      </c>
      <c r="N362" s="3547"/>
      <c r="O362" s="3191">
        <f t="shared" si="70"/>
        <v>1</v>
      </c>
      <c r="P362" s="3547"/>
      <c r="Q362" s="3191">
        <f t="shared" si="71"/>
        <v>1</v>
      </c>
      <c r="R362" s="2911">
        <f t="shared" si="72"/>
        <v>0</v>
      </c>
      <c r="S362" s="2965">
        <f t="shared" si="63"/>
        <v>0</v>
      </c>
    </row>
    <row r="363" spans="1:19">
      <c r="A363" s="3193"/>
      <c r="B363" s="3545"/>
      <c r="C363" s="3191">
        <f t="shared" si="64"/>
        <v>1</v>
      </c>
      <c r="D363" s="3547"/>
      <c r="E363" s="3191">
        <f t="shared" si="65"/>
        <v>0</v>
      </c>
      <c r="F363" s="3547"/>
      <c r="G363" s="3191">
        <f t="shared" si="66"/>
        <v>1</v>
      </c>
      <c r="H363" s="3547"/>
      <c r="I363" s="3191">
        <f t="shared" si="67"/>
        <v>1</v>
      </c>
      <c r="J363" s="3547"/>
      <c r="K363" s="3191">
        <f t="shared" si="68"/>
        <v>1</v>
      </c>
      <c r="L363" s="3547"/>
      <c r="M363" s="3191">
        <f t="shared" si="69"/>
        <v>1</v>
      </c>
      <c r="N363" s="3547"/>
      <c r="O363" s="3191">
        <f t="shared" si="70"/>
        <v>1</v>
      </c>
      <c r="P363" s="3547"/>
      <c r="Q363" s="3191">
        <f t="shared" si="71"/>
        <v>1</v>
      </c>
      <c r="R363" s="2911">
        <f t="shared" si="72"/>
        <v>0</v>
      </c>
      <c r="S363" s="2965">
        <f t="shared" si="63"/>
        <v>0</v>
      </c>
    </row>
    <row r="364" spans="1:19">
      <c r="A364" s="3193"/>
      <c r="B364" s="3545"/>
      <c r="C364" s="3191">
        <f t="shared" si="64"/>
        <v>1</v>
      </c>
      <c r="D364" s="3547"/>
      <c r="E364" s="3191">
        <f t="shared" si="65"/>
        <v>0</v>
      </c>
      <c r="F364" s="3547"/>
      <c r="G364" s="3191">
        <f t="shared" si="66"/>
        <v>1</v>
      </c>
      <c r="H364" s="3547"/>
      <c r="I364" s="3191">
        <f t="shared" si="67"/>
        <v>1</v>
      </c>
      <c r="J364" s="3547"/>
      <c r="K364" s="3191">
        <f t="shared" si="68"/>
        <v>1</v>
      </c>
      <c r="L364" s="3547"/>
      <c r="M364" s="3191">
        <f t="shared" si="69"/>
        <v>1</v>
      </c>
      <c r="N364" s="3547"/>
      <c r="O364" s="3191">
        <f t="shared" si="70"/>
        <v>1</v>
      </c>
      <c r="P364" s="3547"/>
      <c r="Q364" s="3191">
        <f t="shared" si="71"/>
        <v>1</v>
      </c>
      <c r="R364" s="2911">
        <f t="shared" si="72"/>
        <v>0</v>
      </c>
      <c r="S364" s="2965">
        <f t="shared" si="63"/>
        <v>0</v>
      </c>
    </row>
    <row r="365" spans="1:19">
      <c r="A365" s="3193"/>
      <c r="B365" s="3545"/>
      <c r="C365" s="3191">
        <f t="shared" si="64"/>
        <v>1</v>
      </c>
      <c r="D365" s="3547"/>
      <c r="E365" s="3191">
        <f t="shared" si="65"/>
        <v>0</v>
      </c>
      <c r="F365" s="3547"/>
      <c r="G365" s="3191">
        <f t="shared" si="66"/>
        <v>1</v>
      </c>
      <c r="H365" s="3547"/>
      <c r="I365" s="3191">
        <f t="shared" si="67"/>
        <v>1</v>
      </c>
      <c r="J365" s="3547"/>
      <c r="K365" s="3191">
        <f t="shared" si="68"/>
        <v>1</v>
      </c>
      <c r="L365" s="3547"/>
      <c r="M365" s="3191">
        <f t="shared" si="69"/>
        <v>1</v>
      </c>
      <c r="N365" s="3547"/>
      <c r="O365" s="3191">
        <f t="shared" si="70"/>
        <v>1</v>
      </c>
      <c r="P365" s="3547"/>
      <c r="Q365" s="3191">
        <f t="shared" si="71"/>
        <v>1</v>
      </c>
      <c r="R365" s="2911">
        <f t="shared" si="72"/>
        <v>0</v>
      </c>
      <c r="S365" s="2965">
        <f t="shared" si="63"/>
        <v>0</v>
      </c>
    </row>
    <row r="366" spans="1:19">
      <c r="A366" s="3193"/>
      <c r="B366" s="3545"/>
      <c r="C366" s="3191">
        <f t="shared" si="64"/>
        <v>1</v>
      </c>
      <c r="D366" s="3547"/>
      <c r="E366" s="3191">
        <f t="shared" si="65"/>
        <v>0</v>
      </c>
      <c r="F366" s="3547"/>
      <c r="G366" s="3191">
        <f t="shared" si="66"/>
        <v>1</v>
      </c>
      <c r="H366" s="3547"/>
      <c r="I366" s="3191">
        <f t="shared" si="67"/>
        <v>1</v>
      </c>
      <c r="J366" s="3547"/>
      <c r="K366" s="3191">
        <f t="shared" si="68"/>
        <v>1</v>
      </c>
      <c r="L366" s="3547"/>
      <c r="M366" s="3191">
        <f t="shared" si="69"/>
        <v>1</v>
      </c>
      <c r="N366" s="3547"/>
      <c r="O366" s="3191">
        <f t="shared" si="70"/>
        <v>1</v>
      </c>
      <c r="P366" s="3547"/>
      <c r="Q366" s="3191">
        <f t="shared" si="71"/>
        <v>1</v>
      </c>
      <c r="R366" s="2911">
        <f t="shared" si="72"/>
        <v>0</v>
      </c>
      <c r="S366" s="2965">
        <f t="shared" si="63"/>
        <v>0</v>
      </c>
    </row>
    <row r="367" spans="1:19">
      <c r="A367" s="3193"/>
      <c r="B367" s="3545"/>
      <c r="C367" s="3191">
        <f t="shared" si="64"/>
        <v>1</v>
      </c>
      <c r="D367" s="3547"/>
      <c r="E367" s="3191">
        <f t="shared" si="65"/>
        <v>0</v>
      </c>
      <c r="F367" s="3547"/>
      <c r="G367" s="3191">
        <f t="shared" si="66"/>
        <v>1</v>
      </c>
      <c r="H367" s="3547"/>
      <c r="I367" s="3191">
        <f t="shared" si="67"/>
        <v>1</v>
      </c>
      <c r="J367" s="3547"/>
      <c r="K367" s="3191">
        <f t="shared" si="68"/>
        <v>1</v>
      </c>
      <c r="L367" s="3547"/>
      <c r="M367" s="3191">
        <f t="shared" si="69"/>
        <v>1</v>
      </c>
      <c r="N367" s="3547"/>
      <c r="O367" s="3191">
        <f t="shared" si="70"/>
        <v>1</v>
      </c>
      <c r="P367" s="3547"/>
      <c r="Q367" s="3191">
        <f t="shared" si="71"/>
        <v>1</v>
      </c>
      <c r="R367" s="2911">
        <f t="shared" si="72"/>
        <v>0</v>
      </c>
      <c r="S367" s="2965">
        <f t="shared" si="63"/>
        <v>0</v>
      </c>
    </row>
    <row r="368" spans="1:19">
      <c r="A368" s="3193"/>
      <c r="B368" s="3545"/>
      <c r="C368" s="3191">
        <f t="shared" si="64"/>
        <v>1</v>
      </c>
      <c r="D368" s="3547"/>
      <c r="E368" s="3191">
        <f t="shared" si="65"/>
        <v>0</v>
      </c>
      <c r="F368" s="3547"/>
      <c r="G368" s="3191">
        <f t="shared" si="66"/>
        <v>1</v>
      </c>
      <c r="H368" s="3547"/>
      <c r="I368" s="3191">
        <f t="shared" si="67"/>
        <v>1</v>
      </c>
      <c r="J368" s="3547"/>
      <c r="K368" s="3191">
        <f t="shared" si="68"/>
        <v>1</v>
      </c>
      <c r="L368" s="3547"/>
      <c r="M368" s="3191">
        <f t="shared" si="69"/>
        <v>1</v>
      </c>
      <c r="N368" s="3547"/>
      <c r="O368" s="3191">
        <f t="shared" si="70"/>
        <v>1</v>
      </c>
      <c r="P368" s="3547"/>
      <c r="Q368" s="3191">
        <f t="shared" si="71"/>
        <v>1</v>
      </c>
      <c r="R368" s="2911">
        <f t="shared" si="72"/>
        <v>0</v>
      </c>
      <c r="S368" s="2965">
        <f t="shared" si="63"/>
        <v>0</v>
      </c>
    </row>
    <row r="369" spans="1:19">
      <c r="A369" s="3193"/>
      <c r="B369" s="3545"/>
      <c r="C369" s="3191">
        <f t="shared" si="64"/>
        <v>1</v>
      </c>
      <c r="D369" s="3547"/>
      <c r="E369" s="3191">
        <f t="shared" si="65"/>
        <v>0</v>
      </c>
      <c r="F369" s="3547"/>
      <c r="G369" s="3191">
        <f t="shared" si="66"/>
        <v>1</v>
      </c>
      <c r="H369" s="3547"/>
      <c r="I369" s="3191">
        <f t="shared" si="67"/>
        <v>1</v>
      </c>
      <c r="J369" s="3547"/>
      <c r="K369" s="3191">
        <f t="shared" si="68"/>
        <v>1</v>
      </c>
      <c r="L369" s="3547"/>
      <c r="M369" s="3191">
        <f t="shared" si="69"/>
        <v>1</v>
      </c>
      <c r="N369" s="3547"/>
      <c r="O369" s="3191">
        <f t="shared" si="70"/>
        <v>1</v>
      </c>
      <c r="P369" s="3547"/>
      <c r="Q369" s="3191">
        <f t="shared" si="71"/>
        <v>1</v>
      </c>
      <c r="R369" s="2911">
        <f t="shared" si="72"/>
        <v>0</v>
      </c>
      <c r="S369" s="2965">
        <f t="shared" si="63"/>
        <v>0</v>
      </c>
    </row>
    <row r="370" spans="1:19">
      <c r="A370" s="3193"/>
      <c r="B370" s="3545"/>
      <c r="C370" s="3191">
        <f t="shared" si="64"/>
        <v>1</v>
      </c>
      <c r="D370" s="3547"/>
      <c r="E370" s="3191">
        <f t="shared" si="65"/>
        <v>0</v>
      </c>
      <c r="F370" s="3547"/>
      <c r="G370" s="3191">
        <f t="shared" si="66"/>
        <v>1</v>
      </c>
      <c r="H370" s="3547"/>
      <c r="I370" s="3191">
        <f t="shared" si="67"/>
        <v>1</v>
      </c>
      <c r="J370" s="3547"/>
      <c r="K370" s="3191">
        <f t="shared" si="68"/>
        <v>1</v>
      </c>
      <c r="L370" s="3547"/>
      <c r="M370" s="3191">
        <f t="shared" si="69"/>
        <v>1</v>
      </c>
      <c r="N370" s="3547"/>
      <c r="O370" s="3191">
        <f t="shared" si="70"/>
        <v>1</v>
      </c>
      <c r="P370" s="3547"/>
      <c r="Q370" s="3191">
        <f t="shared" si="71"/>
        <v>1</v>
      </c>
      <c r="R370" s="2911">
        <f t="shared" si="72"/>
        <v>0</v>
      </c>
      <c r="S370" s="2965">
        <f t="shared" si="63"/>
        <v>0</v>
      </c>
    </row>
    <row r="371" spans="1:19">
      <c r="A371" s="3193"/>
      <c r="B371" s="3545"/>
      <c r="C371" s="3191">
        <f t="shared" si="64"/>
        <v>1</v>
      </c>
      <c r="D371" s="3547"/>
      <c r="E371" s="3191">
        <f t="shared" si="65"/>
        <v>0</v>
      </c>
      <c r="F371" s="3547"/>
      <c r="G371" s="3191">
        <f t="shared" si="66"/>
        <v>1</v>
      </c>
      <c r="H371" s="3547"/>
      <c r="I371" s="3191">
        <f t="shared" si="67"/>
        <v>1</v>
      </c>
      <c r="J371" s="3547"/>
      <c r="K371" s="3191">
        <f t="shared" si="68"/>
        <v>1</v>
      </c>
      <c r="L371" s="3547"/>
      <c r="M371" s="3191">
        <f t="shared" si="69"/>
        <v>1</v>
      </c>
      <c r="N371" s="3547"/>
      <c r="O371" s="3191">
        <f t="shared" si="70"/>
        <v>1</v>
      </c>
      <c r="P371" s="3547"/>
      <c r="Q371" s="3191">
        <f t="shared" si="71"/>
        <v>1</v>
      </c>
      <c r="R371" s="2911">
        <f t="shared" si="72"/>
        <v>0</v>
      </c>
      <c r="S371" s="2965">
        <f t="shared" si="63"/>
        <v>0</v>
      </c>
    </row>
    <row r="372" spans="1:19">
      <c r="A372" s="3193"/>
      <c r="B372" s="3545"/>
      <c r="C372" s="3191">
        <f t="shared" si="64"/>
        <v>1</v>
      </c>
      <c r="D372" s="3547"/>
      <c r="E372" s="3191">
        <f t="shared" si="65"/>
        <v>0</v>
      </c>
      <c r="F372" s="3547"/>
      <c r="G372" s="3191">
        <f t="shared" si="66"/>
        <v>1</v>
      </c>
      <c r="H372" s="3547"/>
      <c r="I372" s="3191">
        <f t="shared" si="67"/>
        <v>1</v>
      </c>
      <c r="J372" s="3547"/>
      <c r="K372" s="3191">
        <f t="shared" si="68"/>
        <v>1</v>
      </c>
      <c r="L372" s="3547"/>
      <c r="M372" s="3191">
        <f t="shared" si="69"/>
        <v>1</v>
      </c>
      <c r="N372" s="3547"/>
      <c r="O372" s="3191">
        <f t="shared" si="70"/>
        <v>1</v>
      </c>
      <c r="P372" s="3547"/>
      <c r="Q372" s="3191">
        <f t="shared" si="71"/>
        <v>1</v>
      </c>
      <c r="R372" s="2911">
        <f t="shared" si="72"/>
        <v>0</v>
      </c>
      <c r="S372" s="2965">
        <f t="shared" si="63"/>
        <v>0</v>
      </c>
    </row>
    <row r="373" spans="1:19">
      <c r="A373" s="3193"/>
      <c r="B373" s="3545"/>
      <c r="C373" s="3191">
        <f t="shared" si="64"/>
        <v>1</v>
      </c>
      <c r="D373" s="3547"/>
      <c r="E373" s="3191">
        <f t="shared" si="65"/>
        <v>0</v>
      </c>
      <c r="F373" s="3547"/>
      <c r="G373" s="3191">
        <f t="shared" si="66"/>
        <v>1</v>
      </c>
      <c r="H373" s="3547"/>
      <c r="I373" s="3191">
        <f t="shared" si="67"/>
        <v>1</v>
      </c>
      <c r="J373" s="3547"/>
      <c r="K373" s="3191">
        <f t="shared" si="68"/>
        <v>1</v>
      </c>
      <c r="L373" s="3547"/>
      <c r="M373" s="3191">
        <f t="shared" si="69"/>
        <v>1</v>
      </c>
      <c r="N373" s="3547"/>
      <c r="O373" s="3191">
        <f t="shared" si="70"/>
        <v>1</v>
      </c>
      <c r="P373" s="3547"/>
      <c r="Q373" s="3191">
        <f t="shared" si="71"/>
        <v>1</v>
      </c>
      <c r="R373" s="2911">
        <f t="shared" si="72"/>
        <v>0</v>
      </c>
      <c r="S373" s="2965">
        <f t="shared" si="63"/>
        <v>0</v>
      </c>
    </row>
    <row r="374" spans="1:19">
      <c r="A374" s="3193"/>
      <c r="B374" s="3545"/>
      <c r="C374" s="3191">
        <f t="shared" si="64"/>
        <v>1</v>
      </c>
      <c r="D374" s="3547"/>
      <c r="E374" s="3191">
        <f t="shared" si="65"/>
        <v>0</v>
      </c>
      <c r="F374" s="3547"/>
      <c r="G374" s="3191">
        <f t="shared" si="66"/>
        <v>1</v>
      </c>
      <c r="H374" s="3547"/>
      <c r="I374" s="3191">
        <f t="shared" si="67"/>
        <v>1</v>
      </c>
      <c r="J374" s="3547"/>
      <c r="K374" s="3191">
        <f t="shared" si="68"/>
        <v>1</v>
      </c>
      <c r="L374" s="3547"/>
      <c r="M374" s="3191">
        <f t="shared" si="69"/>
        <v>1</v>
      </c>
      <c r="N374" s="3547"/>
      <c r="O374" s="3191">
        <f t="shared" si="70"/>
        <v>1</v>
      </c>
      <c r="P374" s="3547"/>
      <c r="Q374" s="3191">
        <f t="shared" si="71"/>
        <v>1</v>
      </c>
      <c r="R374" s="2911">
        <f t="shared" si="72"/>
        <v>0</v>
      </c>
      <c r="S374" s="2965">
        <f t="shared" si="63"/>
        <v>0</v>
      </c>
    </row>
    <row r="375" spans="1:19">
      <c r="A375" s="3193"/>
      <c r="B375" s="3545"/>
      <c r="C375" s="3191">
        <f t="shared" si="64"/>
        <v>1</v>
      </c>
      <c r="D375" s="3547"/>
      <c r="E375" s="3191">
        <f t="shared" si="65"/>
        <v>0</v>
      </c>
      <c r="F375" s="3547"/>
      <c r="G375" s="3191">
        <f t="shared" si="66"/>
        <v>1</v>
      </c>
      <c r="H375" s="3547"/>
      <c r="I375" s="3191">
        <f t="shared" si="67"/>
        <v>1</v>
      </c>
      <c r="J375" s="3547"/>
      <c r="K375" s="3191">
        <f t="shared" si="68"/>
        <v>1</v>
      </c>
      <c r="L375" s="3547"/>
      <c r="M375" s="3191">
        <f t="shared" si="69"/>
        <v>1</v>
      </c>
      <c r="N375" s="3547"/>
      <c r="O375" s="3191">
        <f t="shared" si="70"/>
        <v>1</v>
      </c>
      <c r="P375" s="3547"/>
      <c r="Q375" s="3191">
        <f t="shared" si="71"/>
        <v>1</v>
      </c>
      <c r="R375" s="2911">
        <f t="shared" si="72"/>
        <v>0</v>
      </c>
      <c r="S375" s="2965">
        <f t="shared" si="63"/>
        <v>0</v>
      </c>
    </row>
    <row r="376" spans="1:19">
      <c r="A376" s="3193"/>
      <c r="B376" s="3545"/>
      <c r="C376" s="3191">
        <f t="shared" si="64"/>
        <v>1</v>
      </c>
      <c r="D376" s="3547"/>
      <c r="E376" s="3191">
        <f t="shared" si="65"/>
        <v>0</v>
      </c>
      <c r="F376" s="3547"/>
      <c r="G376" s="3191">
        <f t="shared" si="66"/>
        <v>1</v>
      </c>
      <c r="H376" s="3547"/>
      <c r="I376" s="3191">
        <f t="shared" si="67"/>
        <v>1</v>
      </c>
      <c r="J376" s="3547"/>
      <c r="K376" s="3191">
        <f t="shared" si="68"/>
        <v>1</v>
      </c>
      <c r="L376" s="3547"/>
      <c r="M376" s="3191">
        <f t="shared" si="69"/>
        <v>1</v>
      </c>
      <c r="N376" s="3547"/>
      <c r="O376" s="3191">
        <f t="shared" si="70"/>
        <v>1</v>
      </c>
      <c r="P376" s="3547"/>
      <c r="Q376" s="3191">
        <f t="shared" si="71"/>
        <v>1</v>
      </c>
      <c r="R376" s="2911">
        <f t="shared" si="72"/>
        <v>0</v>
      </c>
      <c r="S376" s="2965">
        <f t="shared" si="63"/>
        <v>0</v>
      </c>
    </row>
    <row r="377" spans="1:19">
      <c r="A377" s="3193"/>
      <c r="B377" s="3545"/>
      <c r="C377" s="3191">
        <f t="shared" si="64"/>
        <v>1</v>
      </c>
      <c r="D377" s="3547"/>
      <c r="E377" s="3191">
        <f t="shared" si="65"/>
        <v>0</v>
      </c>
      <c r="F377" s="3547"/>
      <c r="G377" s="3191">
        <f t="shared" si="66"/>
        <v>1</v>
      </c>
      <c r="H377" s="3547"/>
      <c r="I377" s="3191">
        <f t="shared" si="67"/>
        <v>1</v>
      </c>
      <c r="J377" s="3547"/>
      <c r="K377" s="3191">
        <f t="shared" si="68"/>
        <v>1</v>
      </c>
      <c r="L377" s="3547"/>
      <c r="M377" s="3191">
        <f t="shared" si="69"/>
        <v>1</v>
      </c>
      <c r="N377" s="3547"/>
      <c r="O377" s="3191">
        <f t="shared" si="70"/>
        <v>1</v>
      </c>
      <c r="P377" s="3547"/>
      <c r="Q377" s="3191">
        <f t="shared" si="71"/>
        <v>1</v>
      </c>
      <c r="R377" s="2911">
        <f t="shared" si="72"/>
        <v>0</v>
      </c>
      <c r="S377" s="2965">
        <f t="shared" si="63"/>
        <v>0</v>
      </c>
    </row>
    <row r="378" spans="1:19">
      <c r="A378" s="3193"/>
      <c r="B378" s="3545"/>
      <c r="C378" s="3191">
        <f t="shared" si="64"/>
        <v>1</v>
      </c>
      <c r="D378" s="3547"/>
      <c r="E378" s="3191">
        <f t="shared" si="65"/>
        <v>0</v>
      </c>
      <c r="F378" s="3547"/>
      <c r="G378" s="3191">
        <f t="shared" si="66"/>
        <v>1</v>
      </c>
      <c r="H378" s="3547"/>
      <c r="I378" s="3191">
        <f t="shared" si="67"/>
        <v>1</v>
      </c>
      <c r="J378" s="3547"/>
      <c r="K378" s="3191">
        <f t="shared" si="68"/>
        <v>1</v>
      </c>
      <c r="L378" s="3547"/>
      <c r="M378" s="3191">
        <f t="shared" si="69"/>
        <v>1</v>
      </c>
      <c r="N378" s="3547"/>
      <c r="O378" s="3191">
        <f t="shared" si="70"/>
        <v>1</v>
      </c>
      <c r="P378" s="3547"/>
      <c r="Q378" s="3191">
        <f t="shared" si="71"/>
        <v>1</v>
      </c>
      <c r="R378" s="2911">
        <f t="shared" si="72"/>
        <v>0</v>
      </c>
      <c r="S378" s="2965">
        <f t="shared" si="63"/>
        <v>0</v>
      </c>
    </row>
    <row r="379" spans="1:19">
      <c r="A379" s="3193"/>
      <c r="B379" s="3545"/>
      <c r="C379" s="3191">
        <f t="shared" si="64"/>
        <v>1</v>
      </c>
      <c r="D379" s="3547"/>
      <c r="E379" s="3191">
        <f t="shared" si="65"/>
        <v>0</v>
      </c>
      <c r="F379" s="3547"/>
      <c r="G379" s="3191">
        <f t="shared" si="66"/>
        <v>1</v>
      </c>
      <c r="H379" s="3547"/>
      <c r="I379" s="3191">
        <f t="shared" si="67"/>
        <v>1</v>
      </c>
      <c r="J379" s="3547"/>
      <c r="K379" s="3191">
        <f t="shared" si="68"/>
        <v>1</v>
      </c>
      <c r="L379" s="3547"/>
      <c r="M379" s="3191">
        <f t="shared" si="69"/>
        <v>1</v>
      </c>
      <c r="N379" s="3547"/>
      <c r="O379" s="3191">
        <f t="shared" si="70"/>
        <v>1</v>
      </c>
      <c r="P379" s="3547"/>
      <c r="Q379" s="3191">
        <f t="shared" si="71"/>
        <v>1</v>
      </c>
      <c r="R379" s="2911">
        <f t="shared" si="72"/>
        <v>0</v>
      </c>
      <c r="S379" s="2965">
        <f t="shared" si="63"/>
        <v>0</v>
      </c>
    </row>
    <row r="380" spans="1:19">
      <c r="A380" s="3193"/>
      <c r="B380" s="3545"/>
      <c r="C380" s="3191">
        <f t="shared" si="64"/>
        <v>1</v>
      </c>
      <c r="D380" s="3547"/>
      <c r="E380" s="3191">
        <f t="shared" si="65"/>
        <v>0</v>
      </c>
      <c r="F380" s="3547"/>
      <c r="G380" s="3191">
        <f t="shared" si="66"/>
        <v>1</v>
      </c>
      <c r="H380" s="3547"/>
      <c r="I380" s="3191">
        <f t="shared" si="67"/>
        <v>1</v>
      </c>
      <c r="J380" s="3547"/>
      <c r="K380" s="3191">
        <f t="shared" si="68"/>
        <v>1</v>
      </c>
      <c r="L380" s="3547"/>
      <c r="M380" s="3191">
        <f t="shared" si="69"/>
        <v>1</v>
      </c>
      <c r="N380" s="3547"/>
      <c r="O380" s="3191">
        <f t="shared" si="70"/>
        <v>1</v>
      </c>
      <c r="P380" s="3547"/>
      <c r="Q380" s="3191">
        <f t="shared" si="71"/>
        <v>1</v>
      </c>
      <c r="R380" s="2911">
        <f t="shared" si="72"/>
        <v>0</v>
      </c>
      <c r="S380" s="2965">
        <f t="shared" si="63"/>
        <v>0</v>
      </c>
    </row>
    <row r="381" spans="1:19">
      <c r="A381" s="3193"/>
      <c r="B381" s="3545"/>
      <c r="C381" s="3191">
        <f t="shared" si="64"/>
        <v>1</v>
      </c>
      <c r="D381" s="3547"/>
      <c r="E381" s="3191">
        <f t="shared" si="65"/>
        <v>0</v>
      </c>
      <c r="F381" s="3547"/>
      <c r="G381" s="3191">
        <f t="shared" si="66"/>
        <v>1</v>
      </c>
      <c r="H381" s="3547"/>
      <c r="I381" s="3191">
        <f t="shared" si="67"/>
        <v>1</v>
      </c>
      <c r="J381" s="3547"/>
      <c r="K381" s="3191">
        <f t="shared" si="68"/>
        <v>1</v>
      </c>
      <c r="L381" s="3547"/>
      <c r="M381" s="3191">
        <f t="shared" si="69"/>
        <v>1</v>
      </c>
      <c r="N381" s="3547"/>
      <c r="O381" s="3191">
        <f t="shared" si="70"/>
        <v>1</v>
      </c>
      <c r="P381" s="3547"/>
      <c r="Q381" s="3191">
        <f t="shared" si="71"/>
        <v>1</v>
      </c>
      <c r="R381" s="2911">
        <f t="shared" si="72"/>
        <v>0</v>
      </c>
      <c r="S381" s="2965">
        <f t="shared" si="63"/>
        <v>0</v>
      </c>
    </row>
    <row r="382" spans="1:19">
      <c r="A382" s="3193"/>
      <c r="B382" s="3545"/>
      <c r="C382" s="3191">
        <f t="shared" si="64"/>
        <v>1</v>
      </c>
      <c r="D382" s="3547"/>
      <c r="E382" s="3191">
        <f t="shared" si="65"/>
        <v>0</v>
      </c>
      <c r="F382" s="3547"/>
      <c r="G382" s="3191">
        <f t="shared" si="66"/>
        <v>1</v>
      </c>
      <c r="H382" s="3547"/>
      <c r="I382" s="3191">
        <f t="shared" si="67"/>
        <v>1</v>
      </c>
      <c r="J382" s="3547"/>
      <c r="K382" s="3191">
        <f t="shared" si="68"/>
        <v>1</v>
      </c>
      <c r="L382" s="3547"/>
      <c r="M382" s="3191">
        <f t="shared" si="69"/>
        <v>1</v>
      </c>
      <c r="N382" s="3547"/>
      <c r="O382" s="3191">
        <f t="shared" si="70"/>
        <v>1</v>
      </c>
      <c r="P382" s="3547"/>
      <c r="Q382" s="3191">
        <f t="shared" si="71"/>
        <v>1</v>
      </c>
      <c r="R382" s="2911">
        <f t="shared" si="72"/>
        <v>0</v>
      </c>
      <c r="S382" s="2965">
        <f t="shared" si="63"/>
        <v>0</v>
      </c>
    </row>
    <row r="383" spans="1:19">
      <c r="A383" s="3193"/>
      <c r="B383" s="3545"/>
      <c r="C383" s="3191">
        <f t="shared" si="64"/>
        <v>1</v>
      </c>
      <c r="D383" s="3547"/>
      <c r="E383" s="3191">
        <f t="shared" si="65"/>
        <v>0</v>
      </c>
      <c r="F383" s="3547"/>
      <c r="G383" s="3191">
        <f t="shared" si="66"/>
        <v>1</v>
      </c>
      <c r="H383" s="3547"/>
      <c r="I383" s="3191">
        <f t="shared" si="67"/>
        <v>1</v>
      </c>
      <c r="J383" s="3547"/>
      <c r="K383" s="3191">
        <f t="shared" si="68"/>
        <v>1</v>
      </c>
      <c r="L383" s="3547"/>
      <c r="M383" s="3191">
        <f t="shared" si="69"/>
        <v>1</v>
      </c>
      <c r="N383" s="3547"/>
      <c r="O383" s="3191">
        <f t="shared" si="70"/>
        <v>1</v>
      </c>
      <c r="P383" s="3547"/>
      <c r="Q383" s="3191">
        <f t="shared" si="71"/>
        <v>1</v>
      </c>
      <c r="R383" s="2911">
        <f t="shared" si="72"/>
        <v>0</v>
      </c>
      <c r="S383" s="2965">
        <f t="shared" si="63"/>
        <v>0</v>
      </c>
    </row>
    <row r="384" spans="1:19">
      <c r="A384" s="3193"/>
      <c r="B384" s="3545"/>
      <c r="C384" s="3191">
        <f t="shared" si="64"/>
        <v>1</v>
      </c>
      <c r="D384" s="3547"/>
      <c r="E384" s="3191">
        <f t="shared" si="65"/>
        <v>0</v>
      </c>
      <c r="F384" s="3547"/>
      <c r="G384" s="3191">
        <f t="shared" si="66"/>
        <v>1</v>
      </c>
      <c r="H384" s="3547"/>
      <c r="I384" s="3191">
        <f t="shared" si="67"/>
        <v>1</v>
      </c>
      <c r="J384" s="3547"/>
      <c r="K384" s="3191">
        <f t="shared" si="68"/>
        <v>1</v>
      </c>
      <c r="L384" s="3547"/>
      <c r="M384" s="3191">
        <f t="shared" si="69"/>
        <v>1</v>
      </c>
      <c r="N384" s="3547"/>
      <c r="O384" s="3191">
        <f t="shared" si="70"/>
        <v>1</v>
      </c>
      <c r="P384" s="3547"/>
      <c r="Q384" s="3191">
        <f t="shared" si="71"/>
        <v>1</v>
      </c>
      <c r="R384" s="2911">
        <f t="shared" si="72"/>
        <v>0</v>
      </c>
      <c r="S384" s="2965">
        <f t="shared" si="63"/>
        <v>0</v>
      </c>
    </row>
    <row r="385" spans="1:19">
      <c r="A385" s="3193"/>
      <c r="B385" s="3545"/>
      <c r="C385" s="3191">
        <f t="shared" si="64"/>
        <v>1</v>
      </c>
      <c r="D385" s="3547"/>
      <c r="E385" s="3191">
        <f t="shared" si="65"/>
        <v>0</v>
      </c>
      <c r="F385" s="3547"/>
      <c r="G385" s="3191">
        <f t="shared" si="66"/>
        <v>1</v>
      </c>
      <c r="H385" s="3547"/>
      <c r="I385" s="3191">
        <f t="shared" si="67"/>
        <v>1</v>
      </c>
      <c r="J385" s="3547"/>
      <c r="K385" s="3191">
        <f t="shared" si="68"/>
        <v>1</v>
      </c>
      <c r="L385" s="3547"/>
      <c r="M385" s="3191">
        <f t="shared" si="69"/>
        <v>1</v>
      </c>
      <c r="N385" s="3547"/>
      <c r="O385" s="3191">
        <f t="shared" si="70"/>
        <v>1</v>
      </c>
      <c r="P385" s="3547"/>
      <c r="Q385" s="3191">
        <f t="shared" si="71"/>
        <v>1</v>
      </c>
      <c r="R385" s="2911">
        <f t="shared" si="72"/>
        <v>0</v>
      </c>
      <c r="S385" s="2965">
        <f t="shared" ref="S385:S422" si="73">ROUND(R385*B385/10000,0)</f>
        <v>0</v>
      </c>
    </row>
    <row r="386" spans="1:19">
      <c r="A386" s="3193"/>
      <c r="B386" s="3545"/>
      <c r="C386" s="3191">
        <f t="shared" si="64"/>
        <v>1</v>
      </c>
      <c r="D386" s="3547"/>
      <c r="E386" s="3191">
        <f t="shared" si="65"/>
        <v>0</v>
      </c>
      <c r="F386" s="3547"/>
      <c r="G386" s="3191">
        <f t="shared" si="66"/>
        <v>1</v>
      </c>
      <c r="H386" s="3547"/>
      <c r="I386" s="3191">
        <f t="shared" si="67"/>
        <v>1</v>
      </c>
      <c r="J386" s="3547"/>
      <c r="K386" s="3191">
        <f t="shared" si="68"/>
        <v>1</v>
      </c>
      <c r="L386" s="3547"/>
      <c r="M386" s="3191">
        <f t="shared" si="69"/>
        <v>1</v>
      </c>
      <c r="N386" s="3547"/>
      <c r="O386" s="3191">
        <f t="shared" si="70"/>
        <v>1</v>
      </c>
      <c r="P386" s="3547"/>
      <c r="Q386" s="3191">
        <f t="shared" si="71"/>
        <v>1</v>
      </c>
      <c r="R386" s="2911">
        <f t="shared" si="72"/>
        <v>0</v>
      </c>
      <c r="S386" s="2965">
        <f t="shared" si="73"/>
        <v>0</v>
      </c>
    </row>
    <row r="387" spans="1:19">
      <c r="A387" s="3193"/>
      <c r="B387" s="3545"/>
      <c r="C387" s="3191">
        <f t="shared" si="64"/>
        <v>1</v>
      </c>
      <c r="D387" s="3547"/>
      <c r="E387" s="3191">
        <f t="shared" si="65"/>
        <v>0</v>
      </c>
      <c r="F387" s="3547"/>
      <c r="G387" s="3191">
        <f t="shared" si="66"/>
        <v>1</v>
      </c>
      <c r="H387" s="3547"/>
      <c r="I387" s="3191">
        <f t="shared" si="67"/>
        <v>1</v>
      </c>
      <c r="J387" s="3547"/>
      <c r="K387" s="3191">
        <f t="shared" si="68"/>
        <v>1</v>
      </c>
      <c r="L387" s="3547"/>
      <c r="M387" s="3191">
        <f t="shared" si="69"/>
        <v>1</v>
      </c>
      <c r="N387" s="3547"/>
      <c r="O387" s="3191">
        <f t="shared" si="70"/>
        <v>1</v>
      </c>
      <c r="P387" s="3547"/>
      <c r="Q387" s="3191">
        <f t="shared" si="71"/>
        <v>1</v>
      </c>
      <c r="R387" s="2911">
        <f t="shared" si="72"/>
        <v>0</v>
      </c>
      <c r="S387" s="2965">
        <f t="shared" si="73"/>
        <v>0</v>
      </c>
    </row>
    <row r="388" spans="1:19">
      <c r="A388" s="3193"/>
      <c r="B388" s="3545"/>
      <c r="C388" s="3191">
        <f t="shared" si="64"/>
        <v>1</v>
      </c>
      <c r="D388" s="3547"/>
      <c r="E388" s="3191">
        <f t="shared" si="65"/>
        <v>0</v>
      </c>
      <c r="F388" s="3547"/>
      <c r="G388" s="3191">
        <f t="shared" si="66"/>
        <v>1</v>
      </c>
      <c r="H388" s="3547"/>
      <c r="I388" s="3191">
        <f t="shared" si="67"/>
        <v>1</v>
      </c>
      <c r="J388" s="3547"/>
      <c r="K388" s="3191">
        <f t="shared" si="68"/>
        <v>1</v>
      </c>
      <c r="L388" s="3547"/>
      <c r="M388" s="3191">
        <f t="shared" si="69"/>
        <v>1</v>
      </c>
      <c r="N388" s="3547"/>
      <c r="O388" s="3191">
        <f t="shared" si="70"/>
        <v>1</v>
      </c>
      <c r="P388" s="3547"/>
      <c r="Q388" s="3191">
        <f t="shared" si="71"/>
        <v>1</v>
      </c>
      <c r="R388" s="2911">
        <f t="shared" si="72"/>
        <v>0</v>
      </c>
      <c r="S388" s="2965">
        <f t="shared" si="73"/>
        <v>0</v>
      </c>
    </row>
    <row r="389" spans="1:19">
      <c r="A389" s="3193"/>
      <c r="B389" s="3545"/>
      <c r="C389" s="3191">
        <f t="shared" si="64"/>
        <v>1</v>
      </c>
      <c r="D389" s="3547"/>
      <c r="E389" s="3191">
        <f t="shared" si="65"/>
        <v>0</v>
      </c>
      <c r="F389" s="3547"/>
      <c r="G389" s="3191">
        <f t="shared" si="66"/>
        <v>1</v>
      </c>
      <c r="H389" s="3547"/>
      <c r="I389" s="3191">
        <f t="shared" si="67"/>
        <v>1</v>
      </c>
      <c r="J389" s="3547"/>
      <c r="K389" s="3191">
        <f t="shared" si="68"/>
        <v>1</v>
      </c>
      <c r="L389" s="3547"/>
      <c r="M389" s="3191">
        <f t="shared" si="69"/>
        <v>1</v>
      </c>
      <c r="N389" s="3547"/>
      <c r="O389" s="3191">
        <f t="shared" si="70"/>
        <v>1</v>
      </c>
      <c r="P389" s="3547"/>
      <c r="Q389" s="3191">
        <f t="shared" si="71"/>
        <v>1</v>
      </c>
      <c r="R389" s="2911">
        <f t="shared" si="72"/>
        <v>0</v>
      </c>
      <c r="S389" s="2965">
        <f t="shared" si="73"/>
        <v>0</v>
      </c>
    </row>
    <row r="390" spans="1:19">
      <c r="A390" s="3193"/>
      <c r="B390" s="3545"/>
      <c r="C390" s="3191">
        <f t="shared" si="64"/>
        <v>1</v>
      </c>
      <c r="D390" s="3547"/>
      <c r="E390" s="3191">
        <f t="shared" si="65"/>
        <v>0</v>
      </c>
      <c r="F390" s="3547"/>
      <c r="G390" s="3191">
        <f t="shared" si="66"/>
        <v>1</v>
      </c>
      <c r="H390" s="3547"/>
      <c r="I390" s="3191">
        <f t="shared" si="67"/>
        <v>1</v>
      </c>
      <c r="J390" s="3547"/>
      <c r="K390" s="3191">
        <f t="shared" si="68"/>
        <v>1</v>
      </c>
      <c r="L390" s="3547"/>
      <c r="M390" s="3191">
        <f t="shared" si="69"/>
        <v>1</v>
      </c>
      <c r="N390" s="3547"/>
      <c r="O390" s="3191">
        <f t="shared" si="70"/>
        <v>1</v>
      </c>
      <c r="P390" s="3547"/>
      <c r="Q390" s="3191">
        <f t="shared" si="71"/>
        <v>1</v>
      </c>
      <c r="R390" s="2911">
        <f t="shared" si="72"/>
        <v>0</v>
      </c>
      <c r="S390" s="2965">
        <f t="shared" si="73"/>
        <v>0</v>
      </c>
    </row>
    <row r="391" spans="1:19">
      <c r="A391" s="3193"/>
      <c r="B391" s="3545"/>
      <c r="C391" s="3191">
        <f t="shared" si="64"/>
        <v>1</v>
      </c>
      <c r="D391" s="3547"/>
      <c r="E391" s="3191">
        <f t="shared" si="65"/>
        <v>0</v>
      </c>
      <c r="F391" s="3547"/>
      <c r="G391" s="3191">
        <f t="shared" si="66"/>
        <v>1</v>
      </c>
      <c r="H391" s="3547"/>
      <c r="I391" s="3191">
        <f t="shared" si="67"/>
        <v>1</v>
      </c>
      <c r="J391" s="3547"/>
      <c r="K391" s="3191">
        <f t="shared" si="68"/>
        <v>1</v>
      </c>
      <c r="L391" s="3547"/>
      <c r="M391" s="3191">
        <f t="shared" si="69"/>
        <v>1</v>
      </c>
      <c r="N391" s="3547"/>
      <c r="O391" s="3191">
        <f t="shared" si="70"/>
        <v>1</v>
      </c>
      <c r="P391" s="3547"/>
      <c r="Q391" s="3191">
        <f t="shared" si="71"/>
        <v>1</v>
      </c>
      <c r="R391" s="2911">
        <f t="shared" si="72"/>
        <v>0</v>
      </c>
      <c r="S391" s="2965">
        <f t="shared" si="73"/>
        <v>0</v>
      </c>
    </row>
    <row r="392" spans="1:19">
      <c r="A392" s="3193"/>
      <c r="B392" s="3545"/>
      <c r="C392" s="3191">
        <f t="shared" si="64"/>
        <v>1</v>
      </c>
      <c r="D392" s="3547"/>
      <c r="E392" s="3191">
        <f t="shared" si="65"/>
        <v>0</v>
      </c>
      <c r="F392" s="3547"/>
      <c r="G392" s="3191">
        <f t="shared" si="66"/>
        <v>1</v>
      </c>
      <c r="H392" s="3547"/>
      <c r="I392" s="3191">
        <f t="shared" si="67"/>
        <v>1</v>
      </c>
      <c r="J392" s="3547"/>
      <c r="K392" s="3191">
        <f t="shared" si="68"/>
        <v>1</v>
      </c>
      <c r="L392" s="3547"/>
      <c r="M392" s="3191">
        <f t="shared" si="69"/>
        <v>1</v>
      </c>
      <c r="N392" s="3547"/>
      <c r="O392" s="3191">
        <f t="shared" si="70"/>
        <v>1</v>
      </c>
      <c r="P392" s="3547"/>
      <c r="Q392" s="3191">
        <f t="shared" si="71"/>
        <v>1</v>
      </c>
      <c r="R392" s="2911">
        <f t="shared" si="72"/>
        <v>0</v>
      </c>
      <c r="S392" s="2965">
        <f t="shared" si="73"/>
        <v>0</v>
      </c>
    </row>
    <row r="393" spans="1:19">
      <c r="A393" s="3193"/>
      <c r="B393" s="3545"/>
      <c r="C393" s="3191">
        <f t="shared" si="64"/>
        <v>1</v>
      </c>
      <c r="D393" s="3547"/>
      <c r="E393" s="3191">
        <f t="shared" si="65"/>
        <v>0</v>
      </c>
      <c r="F393" s="3547"/>
      <c r="G393" s="3191">
        <f t="shared" si="66"/>
        <v>1</v>
      </c>
      <c r="H393" s="3547"/>
      <c r="I393" s="3191">
        <f t="shared" si="67"/>
        <v>1</v>
      </c>
      <c r="J393" s="3547"/>
      <c r="K393" s="3191">
        <f t="shared" si="68"/>
        <v>1</v>
      </c>
      <c r="L393" s="3547"/>
      <c r="M393" s="3191">
        <f t="shared" si="69"/>
        <v>1</v>
      </c>
      <c r="N393" s="3547"/>
      <c r="O393" s="3191">
        <f t="shared" si="70"/>
        <v>1</v>
      </c>
      <c r="P393" s="3547"/>
      <c r="Q393" s="3191">
        <f t="shared" si="71"/>
        <v>1</v>
      </c>
      <c r="R393" s="2911">
        <f t="shared" si="72"/>
        <v>0</v>
      </c>
      <c r="S393" s="2965">
        <f t="shared" si="73"/>
        <v>0</v>
      </c>
    </row>
    <row r="394" spans="1:19">
      <c r="A394" s="3193"/>
      <c r="B394" s="3545"/>
      <c r="C394" s="3191">
        <f t="shared" si="64"/>
        <v>1</v>
      </c>
      <c r="D394" s="3547"/>
      <c r="E394" s="3191">
        <f t="shared" si="65"/>
        <v>0</v>
      </c>
      <c r="F394" s="3547"/>
      <c r="G394" s="3191">
        <f t="shared" si="66"/>
        <v>1</v>
      </c>
      <c r="H394" s="3547"/>
      <c r="I394" s="3191">
        <f t="shared" si="67"/>
        <v>1</v>
      </c>
      <c r="J394" s="3547"/>
      <c r="K394" s="3191">
        <f t="shared" si="68"/>
        <v>1</v>
      </c>
      <c r="L394" s="3547"/>
      <c r="M394" s="3191">
        <f t="shared" si="69"/>
        <v>1</v>
      </c>
      <c r="N394" s="3547"/>
      <c r="O394" s="3191">
        <f t="shared" si="70"/>
        <v>1</v>
      </c>
      <c r="P394" s="3547"/>
      <c r="Q394" s="3191">
        <f t="shared" si="71"/>
        <v>1</v>
      </c>
      <c r="R394" s="2911">
        <f t="shared" si="72"/>
        <v>0</v>
      </c>
      <c r="S394" s="2965">
        <f t="shared" si="73"/>
        <v>0</v>
      </c>
    </row>
    <row r="395" spans="1:19">
      <c r="A395" s="3193"/>
      <c r="B395" s="3545"/>
      <c r="C395" s="3191">
        <f t="shared" si="64"/>
        <v>1</v>
      </c>
      <c r="D395" s="3547"/>
      <c r="E395" s="3191">
        <f t="shared" si="65"/>
        <v>0</v>
      </c>
      <c r="F395" s="3547"/>
      <c r="G395" s="3191">
        <f t="shared" si="66"/>
        <v>1</v>
      </c>
      <c r="H395" s="3547"/>
      <c r="I395" s="3191">
        <f t="shared" si="67"/>
        <v>1</v>
      </c>
      <c r="J395" s="3547"/>
      <c r="K395" s="3191">
        <f t="shared" si="68"/>
        <v>1</v>
      </c>
      <c r="L395" s="3547"/>
      <c r="M395" s="3191">
        <f t="shared" si="69"/>
        <v>1</v>
      </c>
      <c r="N395" s="3547"/>
      <c r="O395" s="3191">
        <f t="shared" si="70"/>
        <v>1</v>
      </c>
      <c r="P395" s="3547"/>
      <c r="Q395" s="3191">
        <f t="shared" si="71"/>
        <v>1</v>
      </c>
      <c r="R395" s="2911">
        <f t="shared" si="72"/>
        <v>0</v>
      </c>
      <c r="S395" s="2965">
        <f t="shared" si="73"/>
        <v>0</v>
      </c>
    </row>
    <row r="396" spans="1:19">
      <c r="A396" s="3193"/>
      <c r="B396" s="3545"/>
      <c r="C396" s="3191">
        <f t="shared" si="64"/>
        <v>1</v>
      </c>
      <c r="D396" s="3547"/>
      <c r="E396" s="3191">
        <f t="shared" si="65"/>
        <v>0</v>
      </c>
      <c r="F396" s="3547"/>
      <c r="G396" s="3191">
        <f t="shared" si="66"/>
        <v>1</v>
      </c>
      <c r="H396" s="3547"/>
      <c r="I396" s="3191">
        <f t="shared" si="67"/>
        <v>1</v>
      </c>
      <c r="J396" s="3547"/>
      <c r="K396" s="3191">
        <f t="shared" si="68"/>
        <v>1</v>
      </c>
      <c r="L396" s="3547"/>
      <c r="M396" s="3191">
        <f t="shared" si="69"/>
        <v>1</v>
      </c>
      <c r="N396" s="3547"/>
      <c r="O396" s="3191">
        <f t="shared" si="70"/>
        <v>1</v>
      </c>
      <c r="P396" s="3547"/>
      <c r="Q396" s="3191">
        <f t="shared" si="71"/>
        <v>1</v>
      </c>
      <c r="R396" s="2911">
        <f t="shared" si="72"/>
        <v>0</v>
      </c>
      <c r="S396" s="2965">
        <f t="shared" si="73"/>
        <v>0</v>
      </c>
    </row>
    <row r="397" spans="1:19">
      <c r="A397" s="3193"/>
      <c r="B397" s="3545"/>
      <c r="C397" s="3191">
        <f t="shared" si="64"/>
        <v>1</v>
      </c>
      <c r="D397" s="3547"/>
      <c r="E397" s="3191">
        <f t="shared" si="65"/>
        <v>0</v>
      </c>
      <c r="F397" s="3547"/>
      <c r="G397" s="3191">
        <f t="shared" si="66"/>
        <v>1</v>
      </c>
      <c r="H397" s="3547"/>
      <c r="I397" s="3191">
        <f t="shared" si="67"/>
        <v>1</v>
      </c>
      <c r="J397" s="3547"/>
      <c r="K397" s="3191">
        <f t="shared" si="68"/>
        <v>1</v>
      </c>
      <c r="L397" s="3547"/>
      <c r="M397" s="3191">
        <f t="shared" si="69"/>
        <v>1</v>
      </c>
      <c r="N397" s="3547"/>
      <c r="O397" s="3191">
        <f t="shared" si="70"/>
        <v>1</v>
      </c>
      <c r="P397" s="3547"/>
      <c r="Q397" s="3191">
        <f t="shared" si="71"/>
        <v>1</v>
      </c>
      <c r="R397" s="2911">
        <f t="shared" si="72"/>
        <v>0</v>
      </c>
      <c r="S397" s="2965">
        <f t="shared" si="73"/>
        <v>0</v>
      </c>
    </row>
    <row r="398" spans="1:19">
      <c r="A398" s="3193"/>
      <c r="B398" s="3545"/>
      <c r="C398" s="3191">
        <f t="shared" si="64"/>
        <v>1</v>
      </c>
      <c r="D398" s="3547"/>
      <c r="E398" s="3191">
        <f t="shared" si="65"/>
        <v>0</v>
      </c>
      <c r="F398" s="3547"/>
      <c r="G398" s="3191">
        <f t="shared" si="66"/>
        <v>1</v>
      </c>
      <c r="H398" s="3547"/>
      <c r="I398" s="3191">
        <f t="shared" si="67"/>
        <v>1</v>
      </c>
      <c r="J398" s="3547"/>
      <c r="K398" s="3191">
        <f t="shared" si="68"/>
        <v>1</v>
      </c>
      <c r="L398" s="3547"/>
      <c r="M398" s="3191">
        <f t="shared" si="69"/>
        <v>1</v>
      </c>
      <c r="N398" s="3547"/>
      <c r="O398" s="3191">
        <f t="shared" si="70"/>
        <v>1</v>
      </c>
      <c r="P398" s="3547"/>
      <c r="Q398" s="3191">
        <f t="shared" si="71"/>
        <v>1</v>
      </c>
      <c r="R398" s="2911">
        <f t="shared" si="72"/>
        <v>0</v>
      </c>
      <c r="S398" s="2965">
        <f t="shared" si="73"/>
        <v>0</v>
      </c>
    </row>
    <row r="399" spans="1:19">
      <c r="A399" s="3193"/>
      <c r="B399" s="3545"/>
      <c r="C399" s="3191">
        <f t="shared" si="64"/>
        <v>1</v>
      </c>
      <c r="D399" s="3547"/>
      <c r="E399" s="3191">
        <f t="shared" si="65"/>
        <v>0</v>
      </c>
      <c r="F399" s="3547"/>
      <c r="G399" s="3191">
        <f t="shared" si="66"/>
        <v>1</v>
      </c>
      <c r="H399" s="3547"/>
      <c r="I399" s="3191">
        <f t="shared" si="67"/>
        <v>1</v>
      </c>
      <c r="J399" s="3547"/>
      <c r="K399" s="3191">
        <f t="shared" si="68"/>
        <v>1</v>
      </c>
      <c r="L399" s="3547"/>
      <c r="M399" s="3191">
        <f t="shared" si="69"/>
        <v>1</v>
      </c>
      <c r="N399" s="3547"/>
      <c r="O399" s="3191">
        <f t="shared" si="70"/>
        <v>1</v>
      </c>
      <c r="P399" s="3547"/>
      <c r="Q399" s="3191">
        <f t="shared" si="71"/>
        <v>1</v>
      </c>
      <c r="R399" s="2911">
        <f t="shared" si="72"/>
        <v>0</v>
      </c>
      <c r="S399" s="2965">
        <f t="shared" si="73"/>
        <v>0</v>
      </c>
    </row>
    <row r="400" spans="1:19">
      <c r="A400" s="3193"/>
      <c r="B400" s="3545"/>
      <c r="C400" s="3191">
        <f t="shared" si="64"/>
        <v>1</v>
      </c>
      <c r="D400" s="3547"/>
      <c r="E400" s="3191">
        <f t="shared" si="65"/>
        <v>0</v>
      </c>
      <c r="F400" s="3547"/>
      <c r="G400" s="3191">
        <f t="shared" si="66"/>
        <v>1</v>
      </c>
      <c r="H400" s="3547"/>
      <c r="I400" s="3191">
        <f t="shared" si="67"/>
        <v>1</v>
      </c>
      <c r="J400" s="3547"/>
      <c r="K400" s="3191">
        <f t="shared" si="68"/>
        <v>1</v>
      </c>
      <c r="L400" s="3547"/>
      <c r="M400" s="3191">
        <f t="shared" si="69"/>
        <v>1</v>
      </c>
      <c r="N400" s="3547"/>
      <c r="O400" s="3191">
        <f t="shared" si="70"/>
        <v>1</v>
      </c>
      <c r="P400" s="3547"/>
      <c r="Q400" s="3191">
        <f t="shared" si="71"/>
        <v>1</v>
      </c>
      <c r="R400" s="2911">
        <f t="shared" si="72"/>
        <v>0</v>
      </c>
      <c r="S400" s="2965">
        <f t="shared" si="73"/>
        <v>0</v>
      </c>
    </row>
    <row r="401" spans="1:19">
      <c r="A401" s="3193"/>
      <c r="B401" s="3545"/>
      <c r="C401" s="3191">
        <f t="shared" si="64"/>
        <v>1</v>
      </c>
      <c r="D401" s="3547"/>
      <c r="E401" s="3191">
        <f t="shared" si="65"/>
        <v>0</v>
      </c>
      <c r="F401" s="3547"/>
      <c r="G401" s="3191">
        <f t="shared" si="66"/>
        <v>1</v>
      </c>
      <c r="H401" s="3547"/>
      <c r="I401" s="3191">
        <f t="shared" si="67"/>
        <v>1</v>
      </c>
      <c r="J401" s="3547"/>
      <c r="K401" s="3191">
        <f t="shared" si="68"/>
        <v>1</v>
      </c>
      <c r="L401" s="3547"/>
      <c r="M401" s="3191">
        <f t="shared" si="69"/>
        <v>1</v>
      </c>
      <c r="N401" s="3547"/>
      <c r="O401" s="3191">
        <f t="shared" si="70"/>
        <v>1</v>
      </c>
      <c r="P401" s="3547"/>
      <c r="Q401" s="3191">
        <f t="shared" si="71"/>
        <v>1</v>
      </c>
      <c r="R401" s="2911">
        <f t="shared" si="72"/>
        <v>0</v>
      </c>
      <c r="S401" s="2965">
        <f t="shared" si="73"/>
        <v>0</v>
      </c>
    </row>
    <row r="402" spans="1:19">
      <c r="A402" s="3193"/>
      <c r="B402" s="3545"/>
      <c r="C402" s="3191">
        <f t="shared" si="64"/>
        <v>1</v>
      </c>
      <c r="D402" s="3547"/>
      <c r="E402" s="3191">
        <f t="shared" si="65"/>
        <v>0</v>
      </c>
      <c r="F402" s="3547"/>
      <c r="G402" s="3191">
        <f t="shared" si="66"/>
        <v>1</v>
      </c>
      <c r="H402" s="3547"/>
      <c r="I402" s="3191">
        <f t="shared" si="67"/>
        <v>1</v>
      </c>
      <c r="J402" s="3547"/>
      <c r="K402" s="3191">
        <f t="shared" si="68"/>
        <v>1</v>
      </c>
      <c r="L402" s="3547"/>
      <c r="M402" s="3191">
        <f t="shared" si="69"/>
        <v>1</v>
      </c>
      <c r="N402" s="3547"/>
      <c r="O402" s="3191">
        <f t="shared" si="70"/>
        <v>1</v>
      </c>
      <c r="P402" s="3547"/>
      <c r="Q402" s="3191">
        <f t="shared" si="71"/>
        <v>1</v>
      </c>
      <c r="R402" s="2911">
        <f t="shared" si="72"/>
        <v>0</v>
      </c>
      <c r="S402" s="2965">
        <f t="shared" si="73"/>
        <v>0</v>
      </c>
    </row>
    <row r="403" spans="1:19">
      <c r="A403" s="3193"/>
      <c r="B403" s="3545"/>
      <c r="C403" s="3191">
        <f t="shared" si="64"/>
        <v>1</v>
      </c>
      <c r="D403" s="3547"/>
      <c r="E403" s="3191">
        <f t="shared" si="65"/>
        <v>0</v>
      </c>
      <c r="F403" s="3547"/>
      <c r="G403" s="3191">
        <f t="shared" si="66"/>
        <v>1</v>
      </c>
      <c r="H403" s="3547"/>
      <c r="I403" s="3191">
        <f t="shared" si="67"/>
        <v>1</v>
      </c>
      <c r="J403" s="3547"/>
      <c r="K403" s="3191">
        <f t="shared" si="68"/>
        <v>1</v>
      </c>
      <c r="L403" s="3547"/>
      <c r="M403" s="3191">
        <f t="shared" si="69"/>
        <v>1</v>
      </c>
      <c r="N403" s="3547"/>
      <c r="O403" s="3191">
        <f t="shared" si="70"/>
        <v>1</v>
      </c>
      <c r="P403" s="3547"/>
      <c r="Q403" s="3191">
        <f t="shared" si="71"/>
        <v>1</v>
      </c>
      <c r="R403" s="2911">
        <f t="shared" si="72"/>
        <v>0</v>
      </c>
      <c r="S403" s="2965">
        <f t="shared" si="73"/>
        <v>0</v>
      </c>
    </row>
    <row r="404" spans="1:19">
      <c r="A404" s="3193"/>
      <c r="B404" s="3545"/>
      <c r="C404" s="3191">
        <f t="shared" si="64"/>
        <v>1</v>
      </c>
      <c r="D404" s="3547"/>
      <c r="E404" s="3191">
        <f t="shared" si="65"/>
        <v>0</v>
      </c>
      <c r="F404" s="3547"/>
      <c r="G404" s="3191">
        <f t="shared" si="66"/>
        <v>1</v>
      </c>
      <c r="H404" s="3547"/>
      <c r="I404" s="3191">
        <f t="shared" si="67"/>
        <v>1</v>
      </c>
      <c r="J404" s="3547"/>
      <c r="K404" s="3191">
        <f t="shared" si="68"/>
        <v>1</v>
      </c>
      <c r="L404" s="3547"/>
      <c r="M404" s="3191">
        <f t="shared" si="69"/>
        <v>1</v>
      </c>
      <c r="N404" s="3547"/>
      <c r="O404" s="3191">
        <f t="shared" si="70"/>
        <v>1</v>
      </c>
      <c r="P404" s="3547"/>
      <c r="Q404" s="3191">
        <f t="shared" si="71"/>
        <v>1</v>
      </c>
      <c r="R404" s="2911">
        <f t="shared" si="72"/>
        <v>0</v>
      </c>
      <c r="S404" s="2965">
        <f t="shared" si="73"/>
        <v>0</v>
      </c>
    </row>
    <row r="405" spans="1:19">
      <c r="A405" s="3193"/>
      <c r="B405" s="3545"/>
      <c r="C405" s="3191">
        <f t="shared" si="64"/>
        <v>1</v>
      </c>
      <c r="D405" s="3547"/>
      <c r="E405" s="3191">
        <f t="shared" si="65"/>
        <v>0</v>
      </c>
      <c r="F405" s="3547"/>
      <c r="G405" s="3191">
        <f t="shared" si="66"/>
        <v>1</v>
      </c>
      <c r="H405" s="3547"/>
      <c r="I405" s="3191">
        <f t="shared" si="67"/>
        <v>1</v>
      </c>
      <c r="J405" s="3547"/>
      <c r="K405" s="3191">
        <f t="shared" si="68"/>
        <v>1</v>
      </c>
      <c r="L405" s="3547"/>
      <c r="M405" s="3191">
        <f t="shared" si="69"/>
        <v>1</v>
      </c>
      <c r="N405" s="3547"/>
      <c r="O405" s="3191">
        <f t="shared" si="70"/>
        <v>1</v>
      </c>
      <c r="P405" s="3547"/>
      <c r="Q405" s="3191">
        <f t="shared" si="71"/>
        <v>1</v>
      </c>
      <c r="R405" s="2911">
        <f t="shared" si="72"/>
        <v>0</v>
      </c>
      <c r="S405" s="2965">
        <f t="shared" si="73"/>
        <v>0</v>
      </c>
    </row>
    <row r="406" spans="1:19">
      <c r="A406" s="3193"/>
      <c r="B406" s="3545"/>
      <c r="C406" s="3191">
        <f t="shared" si="64"/>
        <v>1</v>
      </c>
      <c r="D406" s="3547"/>
      <c r="E406" s="3191">
        <f t="shared" si="65"/>
        <v>0</v>
      </c>
      <c r="F406" s="3547"/>
      <c r="G406" s="3191">
        <f t="shared" si="66"/>
        <v>1</v>
      </c>
      <c r="H406" s="3547"/>
      <c r="I406" s="3191">
        <f t="shared" si="67"/>
        <v>1</v>
      </c>
      <c r="J406" s="3547"/>
      <c r="K406" s="3191">
        <f t="shared" si="68"/>
        <v>1</v>
      </c>
      <c r="L406" s="3547"/>
      <c r="M406" s="3191">
        <f t="shared" si="69"/>
        <v>1</v>
      </c>
      <c r="N406" s="3547"/>
      <c r="O406" s="3191">
        <f t="shared" si="70"/>
        <v>1</v>
      </c>
      <c r="P406" s="3547"/>
      <c r="Q406" s="3191">
        <f t="shared" si="71"/>
        <v>1</v>
      </c>
      <c r="R406" s="2911">
        <f t="shared" si="72"/>
        <v>0</v>
      </c>
      <c r="S406" s="2965">
        <f t="shared" si="73"/>
        <v>0</v>
      </c>
    </row>
    <row r="407" spans="1:19">
      <c r="A407" s="3193"/>
      <c r="B407" s="3545"/>
      <c r="C407" s="3191">
        <f t="shared" si="64"/>
        <v>1</v>
      </c>
      <c r="D407" s="3547"/>
      <c r="E407" s="3191">
        <f t="shared" si="65"/>
        <v>0</v>
      </c>
      <c r="F407" s="3547"/>
      <c r="G407" s="3191">
        <f t="shared" si="66"/>
        <v>1</v>
      </c>
      <c r="H407" s="3547"/>
      <c r="I407" s="3191">
        <f t="shared" si="67"/>
        <v>1</v>
      </c>
      <c r="J407" s="3547"/>
      <c r="K407" s="3191">
        <f t="shared" si="68"/>
        <v>1</v>
      </c>
      <c r="L407" s="3547"/>
      <c r="M407" s="3191">
        <f t="shared" si="69"/>
        <v>1</v>
      </c>
      <c r="N407" s="3547"/>
      <c r="O407" s="3191">
        <f t="shared" si="70"/>
        <v>1</v>
      </c>
      <c r="P407" s="3547"/>
      <c r="Q407" s="3191">
        <f t="shared" si="71"/>
        <v>1</v>
      </c>
      <c r="R407" s="2911">
        <f t="shared" si="72"/>
        <v>0</v>
      </c>
      <c r="S407" s="2965">
        <f t="shared" si="73"/>
        <v>0</v>
      </c>
    </row>
    <row r="408" spans="1:19">
      <c r="A408" s="3193"/>
      <c r="B408" s="3545"/>
      <c r="C408" s="3191">
        <f t="shared" si="64"/>
        <v>1</v>
      </c>
      <c r="D408" s="3547"/>
      <c r="E408" s="3191">
        <f t="shared" si="65"/>
        <v>0</v>
      </c>
      <c r="F408" s="3547"/>
      <c r="G408" s="3191">
        <f t="shared" si="66"/>
        <v>1</v>
      </c>
      <c r="H408" s="3547"/>
      <c r="I408" s="3191">
        <f t="shared" si="67"/>
        <v>1</v>
      </c>
      <c r="J408" s="3547"/>
      <c r="K408" s="3191">
        <f t="shared" si="68"/>
        <v>1</v>
      </c>
      <c r="L408" s="3547"/>
      <c r="M408" s="3191">
        <f t="shared" si="69"/>
        <v>1</v>
      </c>
      <c r="N408" s="3547"/>
      <c r="O408" s="3191">
        <f t="shared" si="70"/>
        <v>1</v>
      </c>
      <c r="P408" s="3547"/>
      <c r="Q408" s="3191">
        <f t="shared" si="71"/>
        <v>1</v>
      </c>
      <c r="R408" s="2911">
        <f t="shared" si="72"/>
        <v>0</v>
      </c>
      <c r="S408" s="2965">
        <f t="shared" si="73"/>
        <v>0</v>
      </c>
    </row>
    <row r="409" spans="1:19">
      <c r="A409" s="3193"/>
      <c r="B409" s="3545"/>
      <c r="C409" s="3191">
        <f t="shared" si="64"/>
        <v>1</v>
      </c>
      <c r="D409" s="3547"/>
      <c r="E409" s="3191">
        <f t="shared" si="65"/>
        <v>0</v>
      </c>
      <c r="F409" s="3547"/>
      <c r="G409" s="3191">
        <f t="shared" si="66"/>
        <v>1</v>
      </c>
      <c r="H409" s="3547"/>
      <c r="I409" s="3191">
        <f t="shared" si="67"/>
        <v>1</v>
      </c>
      <c r="J409" s="3547"/>
      <c r="K409" s="3191">
        <f t="shared" si="68"/>
        <v>1</v>
      </c>
      <c r="L409" s="3547"/>
      <c r="M409" s="3191">
        <f t="shared" si="69"/>
        <v>1</v>
      </c>
      <c r="N409" s="3547"/>
      <c r="O409" s="3191">
        <f t="shared" si="70"/>
        <v>1</v>
      </c>
      <c r="P409" s="3547"/>
      <c r="Q409" s="3191">
        <f t="shared" si="71"/>
        <v>1</v>
      </c>
      <c r="R409" s="2911">
        <f t="shared" si="72"/>
        <v>0</v>
      </c>
      <c r="S409" s="2965">
        <f t="shared" si="73"/>
        <v>0</v>
      </c>
    </row>
    <row r="410" spans="1:19">
      <c r="A410" s="3193"/>
      <c r="B410" s="3545"/>
      <c r="C410" s="3191">
        <f t="shared" ref="C410:C473" si="74">IF(B410="",1,(LOOKUP(B410,$3:$3,$4:$4)-LOOKUP($B$24,$3:$3,$4:$4)+100)/100)</f>
        <v>1</v>
      </c>
      <c r="D410" s="3547"/>
      <c r="E410" s="3191">
        <f t="shared" ref="E410:E473" si="75">(SUMIF($5:$5,D410,$6:$6)-SUMIF($5:$5,$D$24,$6:$6)+100)/100</f>
        <v>0</v>
      </c>
      <c r="F410" s="3547"/>
      <c r="G410" s="3191">
        <f t="shared" ref="G410:G473" si="76">(SUMIF($7:$7,F410,$8:$8)-SUMIF($7:$7,$F$24,$8:$8)+100)/100</f>
        <v>1</v>
      </c>
      <c r="H410" s="3547"/>
      <c r="I410" s="3191">
        <f t="shared" ref="I410:I473" si="77">(SUMIF($9:$9,H410,$10:$10)-SUMIF($9:$9,$H$24,$10:$10)+100)/100</f>
        <v>1</v>
      </c>
      <c r="J410" s="3547"/>
      <c r="K410" s="3191">
        <f t="shared" ref="K410:K473" si="78">(SUMIF($11:$11,J410,$12:$12)-SUMIF($11:$11,$J$24,$12:$12)+100)/100</f>
        <v>1</v>
      </c>
      <c r="L410" s="3547"/>
      <c r="M410" s="3191">
        <f t="shared" ref="M410:M473" si="79">(SUMIF($13:$13,L410,$14:$14)-SUMIF($13:$13,$L$24,$14:$14)+100)/100</f>
        <v>1</v>
      </c>
      <c r="N410" s="3547"/>
      <c r="O410" s="3191">
        <f t="shared" ref="O410:O473" si="80">(SUMIF($15:$15,N410,$16:$16)-SUMIF($15:$15,$N$24,$16:$16)+100)/100</f>
        <v>1</v>
      </c>
      <c r="P410" s="3547"/>
      <c r="Q410" s="3191">
        <f t="shared" ref="Q410:Q473" si="81">(SUMIF($17:$17,P410,$18:$18)-SUMIF($17:$17,$P$24,$18:$18)+100)/100</f>
        <v>1</v>
      </c>
      <c r="R410" s="2911">
        <f t="shared" ref="R410:R473" si="82">IF(B410="",0,ROUND($R$24*C410*E410*G410*I410*K410*M410*O410*Q410,0))</f>
        <v>0</v>
      </c>
      <c r="S410" s="2965">
        <f t="shared" si="73"/>
        <v>0</v>
      </c>
    </row>
    <row r="411" spans="1:19">
      <c r="A411" s="3193"/>
      <c r="B411" s="3545"/>
      <c r="C411" s="3191">
        <f t="shared" si="74"/>
        <v>1</v>
      </c>
      <c r="D411" s="3547"/>
      <c r="E411" s="3191">
        <f t="shared" si="75"/>
        <v>0</v>
      </c>
      <c r="F411" s="3547"/>
      <c r="G411" s="3191">
        <f t="shared" si="76"/>
        <v>1</v>
      </c>
      <c r="H411" s="3547"/>
      <c r="I411" s="3191">
        <f t="shared" si="77"/>
        <v>1</v>
      </c>
      <c r="J411" s="3547"/>
      <c r="K411" s="3191">
        <f t="shared" si="78"/>
        <v>1</v>
      </c>
      <c r="L411" s="3547"/>
      <c r="M411" s="3191">
        <f t="shared" si="79"/>
        <v>1</v>
      </c>
      <c r="N411" s="3547"/>
      <c r="O411" s="3191">
        <f t="shared" si="80"/>
        <v>1</v>
      </c>
      <c r="P411" s="3547"/>
      <c r="Q411" s="3191">
        <f t="shared" si="81"/>
        <v>1</v>
      </c>
      <c r="R411" s="2911">
        <f t="shared" si="82"/>
        <v>0</v>
      </c>
      <c r="S411" s="2965">
        <f t="shared" si="73"/>
        <v>0</v>
      </c>
    </row>
    <row r="412" spans="1:19">
      <c r="A412" s="3193"/>
      <c r="B412" s="3545"/>
      <c r="C412" s="3191">
        <f t="shared" si="74"/>
        <v>1</v>
      </c>
      <c r="D412" s="3547"/>
      <c r="E412" s="3191">
        <f t="shared" si="75"/>
        <v>0</v>
      </c>
      <c r="F412" s="3547"/>
      <c r="G412" s="3191">
        <f t="shared" si="76"/>
        <v>1</v>
      </c>
      <c r="H412" s="3547"/>
      <c r="I412" s="3191">
        <f t="shared" si="77"/>
        <v>1</v>
      </c>
      <c r="J412" s="3547"/>
      <c r="K412" s="3191">
        <f t="shared" si="78"/>
        <v>1</v>
      </c>
      <c r="L412" s="3547"/>
      <c r="M412" s="3191">
        <f t="shared" si="79"/>
        <v>1</v>
      </c>
      <c r="N412" s="3547"/>
      <c r="O412" s="3191">
        <f t="shared" si="80"/>
        <v>1</v>
      </c>
      <c r="P412" s="3547"/>
      <c r="Q412" s="3191">
        <f t="shared" si="81"/>
        <v>1</v>
      </c>
      <c r="R412" s="2911">
        <f t="shared" si="82"/>
        <v>0</v>
      </c>
      <c r="S412" s="2965">
        <f t="shared" si="73"/>
        <v>0</v>
      </c>
    </row>
    <row r="413" spans="1:19">
      <c r="A413" s="3193"/>
      <c r="B413" s="3545"/>
      <c r="C413" s="3191">
        <f t="shared" si="74"/>
        <v>1</v>
      </c>
      <c r="D413" s="3547"/>
      <c r="E413" s="3191">
        <f t="shared" si="75"/>
        <v>0</v>
      </c>
      <c r="F413" s="3547"/>
      <c r="G413" s="3191">
        <f t="shared" si="76"/>
        <v>1</v>
      </c>
      <c r="H413" s="3547"/>
      <c r="I413" s="3191">
        <f t="shared" si="77"/>
        <v>1</v>
      </c>
      <c r="J413" s="3547"/>
      <c r="K413" s="3191">
        <f t="shared" si="78"/>
        <v>1</v>
      </c>
      <c r="L413" s="3547"/>
      <c r="M413" s="3191">
        <f t="shared" si="79"/>
        <v>1</v>
      </c>
      <c r="N413" s="3547"/>
      <c r="O413" s="3191">
        <f t="shared" si="80"/>
        <v>1</v>
      </c>
      <c r="P413" s="3547"/>
      <c r="Q413" s="3191">
        <f t="shared" si="81"/>
        <v>1</v>
      </c>
      <c r="R413" s="2911">
        <f t="shared" si="82"/>
        <v>0</v>
      </c>
      <c r="S413" s="2965">
        <f t="shared" si="73"/>
        <v>0</v>
      </c>
    </row>
    <row r="414" spans="1:19">
      <c r="A414" s="3193"/>
      <c r="B414" s="3545"/>
      <c r="C414" s="3191">
        <f t="shared" si="74"/>
        <v>1</v>
      </c>
      <c r="D414" s="3547"/>
      <c r="E414" s="3191">
        <f t="shared" si="75"/>
        <v>0</v>
      </c>
      <c r="F414" s="3547"/>
      <c r="G414" s="3191">
        <f t="shared" si="76"/>
        <v>1</v>
      </c>
      <c r="H414" s="3547"/>
      <c r="I414" s="3191">
        <f t="shared" si="77"/>
        <v>1</v>
      </c>
      <c r="J414" s="3547"/>
      <c r="K414" s="3191">
        <f t="shared" si="78"/>
        <v>1</v>
      </c>
      <c r="L414" s="3547"/>
      <c r="M414" s="3191">
        <f t="shared" si="79"/>
        <v>1</v>
      </c>
      <c r="N414" s="3547"/>
      <c r="O414" s="3191">
        <f t="shared" si="80"/>
        <v>1</v>
      </c>
      <c r="P414" s="3547"/>
      <c r="Q414" s="3191">
        <f t="shared" si="81"/>
        <v>1</v>
      </c>
      <c r="R414" s="2911">
        <f t="shared" si="82"/>
        <v>0</v>
      </c>
      <c r="S414" s="2965">
        <f t="shared" si="73"/>
        <v>0</v>
      </c>
    </row>
    <row r="415" spans="1:19">
      <c r="A415" s="3193"/>
      <c r="B415" s="3545"/>
      <c r="C415" s="3191">
        <f t="shared" si="74"/>
        <v>1</v>
      </c>
      <c r="D415" s="3547"/>
      <c r="E415" s="3191">
        <f t="shared" si="75"/>
        <v>0</v>
      </c>
      <c r="F415" s="3547"/>
      <c r="G415" s="3191">
        <f t="shared" si="76"/>
        <v>1</v>
      </c>
      <c r="H415" s="3547"/>
      <c r="I415" s="3191">
        <f t="shared" si="77"/>
        <v>1</v>
      </c>
      <c r="J415" s="3547"/>
      <c r="K415" s="3191">
        <f t="shared" si="78"/>
        <v>1</v>
      </c>
      <c r="L415" s="3547"/>
      <c r="M415" s="3191">
        <f t="shared" si="79"/>
        <v>1</v>
      </c>
      <c r="N415" s="3547"/>
      <c r="O415" s="3191">
        <f t="shared" si="80"/>
        <v>1</v>
      </c>
      <c r="P415" s="3547"/>
      <c r="Q415" s="3191">
        <f t="shared" si="81"/>
        <v>1</v>
      </c>
      <c r="R415" s="2911">
        <f t="shared" si="82"/>
        <v>0</v>
      </c>
      <c r="S415" s="2965">
        <f t="shared" si="73"/>
        <v>0</v>
      </c>
    </row>
    <row r="416" spans="1:19">
      <c r="A416" s="3193"/>
      <c r="B416" s="3545"/>
      <c r="C416" s="3191">
        <f t="shared" si="74"/>
        <v>1</v>
      </c>
      <c r="D416" s="3547"/>
      <c r="E416" s="3191">
        <f t="shared" si="75"/>
        <v>0</v>
      </c>
      <c r="F416" s="3547"/>
      <c r="G416" s="3191">
        <f t="shared" si="76"/>
        <v>1</v>
      </c>
      <c r="H416" s="3547"/>
      <c r="I416" s="3191">
        <f t="shared" si="77"/>
        <v>1</v>
      </c>
      <c r="J416" s="3547"/>
      <c r="K416" s="3191">
        <f t="shared" si="78"/>
        <v>1</v>
      </c>
      <c r="L416" s="3547"/>
      <c r="M416" s="3191">
        <f t="shared" si="79"/>
        <v>1</v>
      </c>
      <c r="N416" s="3547"/>
      <c r="O416" s="3191">
        <f t="shared" si="80"/>
        <v>1</v>
      </c>
      <c r="P416" s="3547"/>
      <c r="Q416" s="3191">
        <f t="shared" si="81"/>
        <v>1</v>
      </c>
      <c r="R416" s="2911">
        <f t="shared" si="82"/>
        <v>0</v>
      </c>
      <c r="S416" s="2965">
        <f t="shared" si="73"/>
        <v>0</v>
      </c>
    </row>
    <row r="417" spans="1:19">
      <c r="A417" s="3193"/>
      <c r="B417" s="3545"/>
      <c r="C417" s="3191">
        <f t="shared" si="74"/>
        <v>1</v>
      </c>
      <c r="D417" s="3547"/>
      <c r="E417" s="3191">
        <f t="shared" si="75"/>
        <v>0</v>
      </c>
      <c r="F417" s="3547"/>
      <c r="G417" s="3191">
        <f t="shared" si="76"/>
        <v>1</v>
      </c>
      <c r="H417" s="3547"/>
      <c r="I417" s="3191">
        <f t="shared" si="77"/>
        <v>1</v>
      </c>
      <c r="J417" s="3547"/>
      <c r="K417" s="3191">
        <f t="shared" si="78"/>
        <v>1</v>
      </c>
      <c r="L417" s="3547"/>
      <c r="M417" s="3191">
        <f t="shared" si="79"/>
        <v>1</v>
      </c>
      <c r="N417" s="3547"/>
      <c r="O417" s="3191">
        <f t="shared" si="80"/>
        <v>1</v>
      </c>
      <c r="P417" s="3547"/>
      <c r="Q417" s="3191">
        <f t="shared" si="81"/>
        <v>1</v>
      </c>
      <c r="R417" s="2911">
        <f t="shared" si="82"/>
        <v>0</v>
      </c>
      <c r="S417" s="2965">
        <f t="shared" si="73"/>
        <v>0</v>
      </c>
    </row>
    <row r="418" spans="1:19">
      <c r="A418" s="3193"/>
      <c r="B418" s="3545"/>
      <c r="C418" s="3191">
        <f t="shared" si="74"/>
        <v>1</v>
      </c>
      <c r="D418" s="3547"/>
      <c r="E418" s="3191">
        <f t="shared" si="75"/>
        <v>0</v>
      </c>
      <c r="F418" s="3547"/>
      <c r="G418" s="3191">
        <f t="shared" si="76"/>
        <v>1</v>
      </c>
      <c r="H418" s="3547"/>
      <c r="I418" s="3191">
        <f t="shared" si="77"/>
        <v>1</v>
      </c>
      <c r="J418" s="3547"/>
      <c r="K418" s="3191">
        <f t="shared" si="78"/>
        <v>1</v>
      </c>
      <c r="L418" s="3547"/>
      <c r="M418" s="3191">
        <f t="shared" si="79"/>
        <v>1</v>
      </c>
      <c r="N418" s="3547"/>
      <c r="O418" s="3191">
        <f t="shared" si="80"/>
        <v>1</v>
      </c>
      <c r="P418" s="3547"/>
      <c r="Q418" s="3191">
        <f t="shared" si="81"/>
        <v>1</v>
      </c>
      <c r="R418" s="2911">
        <f t="shared" si="82"/>
        <v>0</v>
      </c>
      <c r="S418" s="2965">
        <f t="shared" si="73"/>
        <v>0</v>
      </c>
    </row>
    <row r="419" spans="1:19">
      <c r="A419" s="3193"/>
      <c r="B419" s="3545"/>
      <c r="C419" s="3191">
        <f t="shared" si="74"/>
        <v>1</v>
      </c>
      <c r="D419" s="3547"/>
      <c r="E419" s="3191">
        <f t="shared" si="75"/>
        <v>0</v>
      </c>
      <c r="F419" s="3547"/>
      <c r="G419" s="3191">
        <f t="shared" si="76"/>
        <v>1</v>
      </c>
      <c r="H419" s="3547"/>
      <c r="I419" s="3191">
        <f t="shared" si="77"/>
        <v>1</v>
      </c>
      <c r="J419" s="3547"/>
      <c r="K419" s="3191">
        <f t="shared" si="78"/>
        <v>1</v>
      </c>
      <c r="L419" s="3547"/>
      <c r="M419" s="3191">
        <f t="shared" si="79"/>
        <v>1</v>
      </c>
      <c r="N419" s="3547"/>
      <c r="O419" s="3191">
        <f t="shared" si="80"/>
        <v>1</v>
      </c>
      <c r="P419" s="3547"/>
      <c r="Q419" s="3191">
        <f t="shared" si="81"/>
        <v>1</v>
      </c>
      <c r="R419" s="2911">
        <f t="shared" si="82"/>
        <v>0</v>
      </c>
      <c r="S419" s="2965">
        <f t="shared" si="73"/>
        <v>0</v>
      </c>
    </row>
    <row r="420" spans="1:19">
      <c r="A420" s="3193"/>
      <c r="B420" s="3545"/>
      <c r="C420" s="3191">
        <f t="shared" si="74"/>
        <v>1</v>
      </c>
      <c r="D420" s="3547"/>
      <c r="E420" s="3191">
        <f t="shared" si="75"/>
        <v>0</v>
      </c>
      <c r="F420" s="3547"/>
      <c r="G420" s="3191">
        <f t="shared" si="76"/>
        <v>1</v>
      </c>
      <c r="H420" s="3547"/>
      <c r="I420" s="3191">
        <f t="shared" si="77"/>
        <v>1</v>
      </c>
      <c r="J420" s="3547"/>
      <c r="K420" s="3191">
        <f t="shared" si="78"/>
        <v>1</v>
      </c>
      <c r="L420" s="3547"/>
      <c r="M420" s="3191">
        <f t="shared" si="79"/>
        <v>1</v>
      </c>
      <c r="N420" s="3547"/>
      <c r="O420" s="3191">
        <f t="shared" si="80"/>
        <v>1</v>
      </c>
      <c r="P420" s="3547"/>
      <c r="Q420" s="3191">
        <f t="shared" si="81"/>
        <v>1</v>
      </c>
      <c r="R420" s="2911">
        <f t="shared" si="82"/>
        <v>0</v>
      </c>
      <c r="S420" s="2965">
        <f t="shared" si="73"/>
        <v>0</v>
      </c>
    </row>
    <row r="421" spans="1:19">
      <c r="A421" s="3193"/>
      <c r="B421" s="3545"/>
      <c r="C421" s="3191">
        <f t="shared" si="74"/>
        <v>1</v>
      </c>
      <c r="D421" s="3547"/>
      <c r="E421" s="3191">
        <f t="shared" si="75"/>
        <v>0</v>
      </c>
      <c r="F421" s="3547"/>
      <c r="G421" s="3191">
        <f t="shared" si="76"/>
        <v>1</v>
      </c>
      <c r="H421" s="3547"/>
      <c r="I421" s="3191">
        <f t="shared" si="77"/>
        <v>1</v>
      </c>
      <c r="J421" s="3547"/>
      <c r="K421" s="3191">
        <f t="shared" si="78"/>
        <v>1</v>
      </c>
      <c r="L421" s="3547"/>
      <c r="M421" s="3191">
        <f t="shared" si="79"/>
        <v>1</v>
      </c>
      <c r="N421" s="3547"/>
      <c r="O421" s="3191">
        <f t="shared" si="80"/>
        <v>1</v>
      </c>
      <c r="P421" s="3547"/>
      <c r="Q421" s="3191">
        <f t="shared" si="81"/>
        <v>1</v>
      </c>
      <c r="R421" s="2911">
        <f t="shared" si="82"/>
        <v>0</v>
      </c>
      <c r="S421" s="2965">
        <f t="shared" si="73"/>
        <v>0</v>
      </c>
    </row>
    <row r="422" spans="1:19">
      <c r="A422" s="3193"/>
      <c r="B422" s="3545"/>
      <c r="C422" s="3191">
        <f t="shared" si="74"/>
        <v>1</v>
      </c>
      <c r="D422" s="3547"/>
      <c r="E422" s="3191">
        <f t="shared" si="75"/>
        <v>0</v>
      </c>
      <c r="F422" s="3547"/>
      <c r="G422" s="3191">
        <f t="shared" si="76"/>
        <v>1</v>
      </c>
      <c r="H422" s="3547"/>
      <c r="I422" s="3191">
        <f t="shared" si="77"/>
        <v>1</v>
      </c>
      <c r="J422" s="3547"/>
      <c r="K422" s="3191">
        <f t="shared" si="78"/>
        <v>1</v>
      </c>
      <c r="L422" s="3547"/>
      <c r="M422" s="3191">
        <f t="shared" si="79"/>
        <v>1</v>
      </c>
      <c r="N422" s="3547"/>
      <c r="O422" s="3191">
        <f t="shared" si="80"/>
        <v>1</v>
      </c>
      <c r="P422" s="3547"/>
      <c r="Q422" s="3191">
        <f t="shared" si="81"/>
        <v>1</v>
      </c>
      <c r="R422" s="2911">
        <f t="shared" si="82"/>
        <v>0</v>
      </c>
      <c r="S422" s="2965">
        <f t="shared" si="73"/>
        <v>0</v>
      </c>
    </row>
    <row r="423" spans="1:19">
      <c r="A423" s="3193"/>
      <c r="B423" s="3545"/>
      <c r="C423" s="3191">
        <f t="shared" si="74"/>
        <v>1</v>
      </c>
      <c r="D423" s="3547"/>
      <c r="E423" s="3191">
        <f t="shared" si="75"/>
        <v>0</v>
      </c>
      <c r="F423" s="3547"/>
      <c r="G423" s="3191">
        <f t="shared" si="76"/>
        <v>1</v>
      </c>
      <c r="H423" s="3547"/>
      <c r="I423" s="3191">
        <f t="shared" si="77"/>
        <v>1</v>
      </c>
      <c r="J423" s="3547"/>
      <c r="K423" s="3191">
        <f t="shared" si="78"/>
        <v>1</v>
      </c>
      <c r="L423" s="3547"/>
      <c r="M423" s="3191">
        <f t="shared" si="79"/>
        <v>1</v>
      </c>
      <c r="N423" s="3547"/>
      <c r="O423" s="3191">
        <f t="shared" si="80"/>
        <v>1</v>
      </c>
      <c r="P423" s="3547"/>
      <c r="Q423" s="3191">
        <f t="shared" si="81"/>
        <v>1</v>
      </c>
      <c r="R423" s="2911">
        <f t="shared" si="82"/>
        <v>0</v>
      </c>
      <c r="S423" s="2965">
        <f t="shared" ref="S423:S467" si="83">ROUND(R423*B423/10000,0)</f>
        <v>0</v>
      </c>
    </row>
    <row r="424" spans="1:19">
      <c r="A424" s="3193"/>
      <c r="B424" s="3545"/>
      <c r="C424" s="3191">
        <f t="shared" si="74"/>
        <v>1</v>
      </c>
      <c r="D424" s="3547"/>
      <c r="E424" s="3191">
        <f t="shared" si="75"/>
        <v>0</v>
      </c>
      <c r="F424" s="3547"/>
      <c r="G424" s="3191">
        <f t="shared" si="76"/>
        <v>1</v>
      </c>
      <c r="H424" s="3547"/>
      <c r="I424" s="3191">
        <f t="shared" si="77"/>
        <v>1</v>
      </c>
      <c r="J424" s="3547"/>
      <c r="K424" s="3191">
        <f t="shared" si="78"/>
        <v>1</v>
      </c>
      <c r="L424" s="3547"/>
      <c r="M424" s="3191">
        <f t="shared" si="79"/>
        <v>1</v>
      </c>
      <c r="N424" s="3547"/>
      <c r="O424" s="3191">
        <f t="shared" si="80"/>
        <v>1</v>
      </c>
      <c r="P424" s="3547"/>
      <c r="Q424" s="3191">
        <f t="shared" si="81"/>
        <v>1</v>
      </c>
      <c r="R424" s="2911">
        <f t="shared" si="82"/>
        <v>0</v>
      </c>
      <c r="S424" s="2965">
        <f t="shared" si="83"/>
        <v>0</v>
      </c>
    </row>
    <row r="425" spans="1:19">
      <c r="A425" s="3193"/>
      <c r="B425" s="3545"/>
      <c r="C425" s="3191">
        <f t="shared" si="74"/>
        <v>1</v>
      </c>
      <c r="D425" s="3547"/>
      <c r="E425" s="3191">
        <f t="shared" si="75"/>
        <v>0</v>
      </c>
      <c r="F425" s="3547"/>
      <c r="G425" s="3191">
        <f t="shared" si="76"/>
        <v>1</v>
      </c>
      <c r="H425" s="3547"/>
      <c r="I425" s="3191">
        <f t="shared" si="77"/>
        <v>1</v>
      </c>
      <c r="J425" s="3547"/>
      <c r="K425" s="3191">
        <f t="shared" si="78"/>
        <v>1</v>
      </c>
      <c r="L425" s="3547"/>
      <c r="M425" s="3191">
        <f t="shared" si="79"/>
        <v>1</v>
      </c>
      <c r="N425" s="3547"/>
      <c r="O425" s="3191">
        <f t="shared" si="80"/>
        <v>1</v>
      </c>
      <c r="P425" s="3547"/>
      <c r="Q425" s="3191">
        <f t="shared" si="81"/>
        <v>1</v>
      </c>
      <c r="R425" s="2911">
        <f t="shared" si="82"/>
        <v>0</v>
      </c>
      <c r="S425" s="2965">
        <f t="shared" si="83"/>
        <v>0</v>
      </c>
    </row>
    <row r="426" spans="1:19">
      <c r="A426" s="3193"/>
      <c r="B426" s="3545"/>
      <c r="C426" s="3191">
        <f t="shared" si="74"/>
        <v>1</v>
      </c>
      <c r="D426" s="3547"/>
      <c r="E426" s="3191">
        <f t="shared" si="75"/>
        <v>0</v>
      </c>
      <c r="F426" s="3547"/>
      <c r="G426" s="3191">
        <f t="shared" si="76"/>
        <v>1</v>
      </c>
      <c r="H426" s="3547"/>
      <c r="I426" s="3191">
        <f t="shared" si="77"/>
        <v>1</v>
      </c>
      <c r="J426" s="3547"/>
      <c r="K426" s="3191">
        <f t="shared" si="78"/>
        <v>1</v>
      </c>
      <c r="L426" s="3547"/>
      <c r="M426" s="3191">
        <f t="shared" si="79"/>
        <v>1</v>
      </c>
      <c r="N426" s="3547"/>
      <c r="O426" s="3191">
        <f t="shared" si="80"/>
        <v>1</v>
      </c>
      <c r="P426" s="3547"/>
      <c r="Q426" s="3191">
        <f t="shared" si="81"/>
        <v>1</v>
      </c>
      <c r="R426" s="2911">
        <f t="shared" si="82"/>
        <v>0</v>
      </c>
      <c r="S426" s="2965">
        <f t="shared" si="83"/>
        <v>0</v>
      </c>
    </row>
    <row r="427" spans="1:19">
      <c r="A427" s="3193"/>
      <c r="B427" s="3545"/>
      <c r="C427" s="3191">
        <f t="shared" si="74"/>
        <v>1</v>
      </c>
      <c r="D427" s="3547"/>
      <c r="E427" s="3191">
        <f t="shared" si="75"/>
        <v>0</v>
      </c>
      <c r="F427" s="3547"/>
      <c r="G427" s="3191">
        <f t="shared" si="76"/>
        <v>1</v>
      </c>
      <c r="H427" s="3547"/>
      <c r="I427" s="3191">
        <f t="shared" si="77"/>
        <v>1</v>
      </c>
      <c r="J427" s="3547"/>
      <c r="K427" s="3191">
        <f t="shared" si="78"/>
        <v>1</v>
      </c>
      <c r="L427" s="3547"/>
      <c r="M427" s="3191">
        <f t="shared" si="79"/>
        <v>1</v>
      </c>
      <c r="N427" s="3547"/>
      <c r="O427" s="3191">
        <f t="shared" si="80"/>
        <v>1</v>
      </c>
      <c r="P427" s="3547"/>
      <c r="Q427" s="3191">
        <f t="shared" si="81"/>
        <v>1</v>
      </c>
      <c r="R427" s="2911">
        <f t="shared" si="82"/>
        <v>0</v>
      </c>
      <c r="S427" s="2965">
        <f t="shared" si="83"/>
        <v>0</v>
      </c>
    </row>
    <row r="428" spans="1:19">
      <c r="A428" s="3193"/>
      <c r="B428" s="3545"/>
      <c r="C428" s="3191">
        <f t="shared" si="74"/>
        <v>1</v>
      </c>
      <c r="D428" s="3547"/>
      <c r="E428" s="3191">
        <f t="shared" si="75"/>
        <v>0</v>
      </c>
      <c r="F428" s="3547"/>
      <c r="G428" s="3191">
        <f t="shared" si="76"/>
        <v>1</v>
      </c>
      <c r="H428" s="3547"/>
      <c r="I428" s="3191">
        <f t="shared" si="77"/>
        <v>1</v>
      </c>
      <c r="J428" s="3547"/>
      <c r="K428" s="3191">
        <f t="shared" si="78"/>
        <v>1</v>
      </c>
      <c r="L428" s="3547"/>
      <c r="M428" s="3191">
        <f t="shared" si="79"/>
        <v>1</v>
      </c>
      <c r="N428" s="3547"/>
      <c r="O428" s="3191">
        <f t="shared" si="80"/>
        <v>1</v>
      </c>
      <c r="P428" s="3547"/>
      <c r="Q428" s="3191">
        <f t="shared" si="81"/>
        <v>1</v>
      </c>
      <c r="R428" s="2911">
        <f t="shared" si="82"/>
        <v>0</v>
      </c>
      <c r="S428" s="2965">
        <f t="shared" si="83"/>
        <v>0</v>
      </c>
    </row>
    <row r="429" spans="1:19">
      <c r="A429" s="3193"/>
      <c r="B429" s="3545"/>
      <c r="C429" s="3191">
        <f t="shared" si="74"/>
        <v>1</v>
      </c>
      <c r="D429" s="3547"/>
      <c r="E429" s="3191">
        <f t="shared" si="75"/>
        <v>0</v>
      </c>
      <c r="F429" s="3547"/>
      <c r="G429" s="3191">
        <f t="shared" si="76"/>
        <v>1</v>
      </c>
      <c r="H429" s="3547"/>
      <c r="I429" s="3191">
        <f t="shared" si="77"/>
        <v>1</v>
      </c>
      <c r="J429" s="3547"/>
      <c r="K429" s="3191">
        <f t="shared" si="78"/>
        <v>1</v>
      </c>
      <c r="L429" s="3547"/>
      <c r="M429" s="3191">
        <f t="shared" si="79"/>
        <v>1</v>
      </c>
      <c r="N429" s="3547"/>
      <c r="O429" s="3191">
        <f t="shared" si="80"/>
        <v>1</v>
      </c>
      <c r="P429" s="3547"/>
      <c r="Q429" s="3191">
        <f t="shared" si="81"/>
        <v>1</v>
      </c>
      <c r="R429" s="2911">
        <f t="shared" si="82"/>
        <v>0</v>
      </c>
      <c r="S429" s="2965">
        <f t="shared" si="83"/>
        <v>0</v>
      </c>
    </row>
    <row r="430" spans="1:19">
      <c r="A430" s="3193"/>
      <c r="B430" s="3545"/>
      <c r="C430" s="3191">
        <f t="shared" si="74"/>
        <v>1</v>
      </c>
      <c r="D430" s="3547"/>
      <c r="E430" s="3191">
        <f t="shared" si="75"/>
        <v>0</v>
      </c>
      <c r="F430" s="3547"/>
      <c r="G430" s="3191">
        <f t="shared" si="76"/>
        <v>1</v>
      </c>
      <c r="H430" s="3547"/>
      <c r="I430" s="3191">
        <f t="shared" si="77"/>
        <v>1</v>
      </c>
      <c r="J430" s="3547"/>
      <c r="K430" s="3191">
        <f t="shared" si="78"/>
        <v>1</v>
      </c>
      <c r="L430" s="3547"/>
      <c r="M430" s="3191">
        <f t="shared" si="79"/>
        <v>1</v>
      </c>
      <c r="N430" s="3547"/>
      <c r="O430" s="3191">
        <f t="shared" si="80"/>
        <v>1</v>
      </c>
      <c r="P430" s="3547"/>
      <c r="Q430" s="3191">
        <f t="shared" si="81"/>
        <v>1</v>
      </c>
      <c r="R430" s="2911">
        <f t="shared" si="82"/>
        <v>0</v>
      </c>
      <c r="S430" s="2965">
        <f t="shared" si="83"/>
        <v>0</v>
      </c>
    </row>
    <row r="431" spans="1:19">
      <c r="A431" s="3193"/>
      <c r="B431" s="3545"/>
      <c r="C431" s="3191">
        <f t="shared" si="74"/>
        <v>1</v>
      </c>
      <c r="D431" s="3547"/>
      <c r="E431" s="3191">
        <f t="shared" si="75"/>
        <v>0</v>
      </c>
      <c r="F431" s="3547"/>
      <c r="G431" s="3191">
        <f t="shared" si="76"/>
        <v>1</v>
      </c>
      <c r="H431" s="3547"/>
      <c r="I431" s="3191">
        <f t="shared" si="77"/>
        <v>1</v>
      </c>
      <c r="J431" s="3547"/>
      <c r="K431" s="3191">
        <f t="shared" si="78"/>
        <v>1</v>
      </c>
      <c r="L431" s="3547"/>
      <c r="M431" s="3191">
        <f t="shared" si="79"/>
        <v>1</v>
      </c>
      <c r="N431" s="3547"/>
      <c r="O431" s="3191">
        <f t="shared" si="80"/>
        <v>1</v>
      </c>
      <c r="P431" s="3547"/>
      <c r="Q431" s="3191">
        <f t="shared" si="81"/>
        <v>1</v>
      </c>
      <c r="R431" s="2911">
        <f t="shared" si="82"/>
        <v>0</v>
      </c>
      <c r="S431" s="2965">
        <f t="shared" si="83"/>
        <v>0</v>
      </c>
    </row>
    <row r="432" spans="1:19">
      <c r="A432" s="3193"/>
      <c r="B432" s="3545"/>
      <c r="C432" s="3191">
        <f t="shared" si="74"/>
        <v>1</v>
      </c>
      <c r="D432" s="3547"/>
      <c r="E432" s="3191">
        <f t="shared" si="75"/>
        <v>0</v>
      </c>
      <c r="F432" s="3547"/>
      <c r="G432" s="3191">
        <f t="shared" si="76"/>
        <v>1</v>
      </c>
      <c r="H432" s="3547"/>
      <c r="I432" s="3191">
        <f t="shared" si="77"/>
        <v>1</v>
      </c>
      <c r="J432" s="3547"/>
      <c r="K432" s="3191">
        <f t="shared" si="78"/>
        <v>1</v>
      </c>
      <c r="L432" s="3547"/>
      <c r="M432" s="3191">
        <f t="shared" si="79"/>
        <v>1</v>
      </c>
      <c r="N432" s="3547"/>
      <c r="O432" s="3191">
        <f t="shared" si="80"/>
        <v>1</v>
      </c>
      <c r="P432" s="3547"/>
      <c r="Q432" s="3191">
        <f t="shared" si="81"/>
        <v>1</v>
      </c>
      <c r="R432" s="2911">
        <f t="shared" si="82"/>
        <v>0</v>
      </c>
      <c r="S432" s="2965">
        <f t="shared" si="83"/>
        <v>0</v>
      </c>
    </row>
    <row r="433" spans="1:19">
      <c r="A433" s="3193"/>
      <c r="B433" s="3545"/>
      <c r="C433" s="3191">
        <f t="shared" si="74"/>
        <v>1</v>
      </c>
      <c r="D433" s="3547"/>
      <c r="E433" s="3191">
        <f t="shared" si="75"/>
        <v>0</v>
      </c>
      <c r="F433" s="3547"/>
      <c r="G433" s="3191">
        <f t="shared" si="76"/>
        <v>1</v>
      </c>
      <c r="H433" s="3547"/>
      <c r="I433" s="3191">
        <f t="shared" si="77"/>
        <v>1</v>
      </c>
      <c r="J433" s="3547"/>
      <c r="K433" s="3191">
        <f t="shared" si="78"/>
        <v>1</v>
      </c>
      <c r="L433" s="3547"/>
      <c r="M433" s="3191">
        <f t="shared" si="79"/>
        <v>1</v>
      </c>
      <c r="N433" s="3547"/>
      <c r="O433" s="3191">
        <f t="shared" si="80"/>
        <v>1</v>
      </c>
      <c r="P433" s="3547"/>
      <c r="Q433" s="3191">
        <f t="shared" si="81"/>
        <v>1</v>
      </c>
      <c r="R433" s="2911">
        <f t="shared" si="82"/>
        <v>0</v>
      </c>
      <c r="S433" s="2965">
        <f t="shared" si="83"/>
        <v>0</v>
      </c>
    </row>
    <row r="434" spans="1:19">
      <c r="A434" s="3193"/>
      <c r="B434" s="3545"/>
      <c r="C434" s="3191">
        <f t="shared" si="74"/>
        <v>1</v>
      </c>
      <c r="D434" s="3547"/>
      <c r="E434" s="3191">
        <f t="shared" si="75"/>
        <v>0</v>
      </c>
      <c r="F434" s="3547"/>
      <c r="G434" s="3191">
        <f t="shared" si="76"/>
        <v>1</v>
      </c>
      <c r="H434" s="3547"/>
      <c r="I434" s="3191">
        <f t="shared" si="77"/>
        <v>1</v>
      </c>
      <c r="J434" s="3547"/>
      <c r="K434" s="3191">
        <f t="shared" si="78"/>
        <v>1</v>
      </c>
      <c r="L434" s="3547"/>
      <c r="M434" s="3191">
        <f t="shared" si="79"/>
        <v>1</v>
      </c>
      <c r="N434" s="3547"/>
      <c r="O434" s="3191">
        <f t="shared" si="80"/>
        <v>1</v>
      </c>
      <c r="P434" s="3547"/>
      <c r="Q434" s="3191">
        <f t="shared" si="81"/>
        <v>1</v>
      </c>
      <c r="R434" s="2911">
        <f t="shared" si="82"/>
        <v>0</v>
      </c>
      <c r="S434" s="2965">
        <f t="shared" si="83"/>
        <v>0</v>
      </c>
    </row>
    <row r="435" spans="1:19">
      <c r="A435" s="3193"/>
      <c r="B435" s="3545"/>
      <c r="C435" s="3191">
        <f t="shared" si="74"/>
        <v>1</v>
      </c>
      <c r="D435" s="3547"/>
      <c r="E435" s="3191">
        <f t="shared" si="75"/>
        <v>0</v>
      </c>
      <c r="F435" s="3547"/>
      <c r="G435" s="3191">
        <f t="shared" si="76"/>
        <v>1</v>
      </c>
      <c r="H435" s="3547"/>
      <c r="I435" s="3191">
        <f t="shared" si="77"/>
        <v>1</v>
      </c>
      <c r="J435" s="3547"/>
      <c r="K435" s="3191">
        <f t="shared" si="78"/>
        <v>1</v>
      </c>
      <c r="L435" s="3547"/>
      <c r="M435" s="3191">
        <f t="shared" si="79"/>
        <v>1</v>
      </c>
      <c r="N435" s="3547"/>
      <c r="O435" s="3191">
        <f t="shared" si="80"/>
        <v>1</v>
      </c>
      <c r="P435" s="3547"/>
      <c r="Q435" s="3191">
        <f t="shared" si="81"/>
        <v>1</v>
      </c>
      <c r="R435" s="2911">
        <f t="shared" si="82"/>
        <v>0</v>
      </c>
      <c r="S435" s="2965">
        <f t="shared" si="83"/>
        <v>0</v>
      </c>
    </row>
    <row r="436" spans="1:19">
      <c r="A436" s="3193"/>
      <c r="B436" s="3545"/>
      <c r="C436" s="3191">
        <f t="shared" si="74"/>
        <v>1</v>
      </c>
      <c r="D436" s="3547"/>
      <c r="E436" s="3191">
        <f t="shared" si="75"/>
        <v>0</v>
      </c>
      <c r="F436" s="3547"/>
      <c r="G436" s="3191">
        <f t="shared" si="76"/>
        <v>1</v>
      </c>
      <c r="H436" s="3547"/>
      <c r="I436" s="3191">
        <f t="shared" si="77"/>
        <v>1</v>
      </c>
      <c r="J436" s="3547"/>
      <c r="K436" s="3191">
        <f t="shared" si="78"/>
        <v>1</v>
      </c>
      <c r="L436" s="3547"/>
      <c r="M436" s="3191">
        <f t="shared" si="79"/>
        <v>1</v>
      </c>
      <c r="N436" s="3547"/>
      <c r="O436" s="3191">
        <f t="shared" si="80"/>
        <v>1</v>
      </c>
      <c r="P436" s="3547"/>
      <c r="Q436" s="3191">
        <f t="shared" si="81"/>
        <v>1</v>
      </c>
      <c r="R436" s="2911">
        <f t="shared" si="82"/>
        <v>0</v>
      </c>
      <c r="S436" s="2965">
        <f t="shared" si="83"/>
        <v>0</v>
      </c>
    </row>
    <row r="437" spans="1:19">
      <c r="A437" s="3193"/>
      <c r="B437" s="3545"/>
      <c r="C437" s="3191">
        <f t="shared" si="74"/>
        <v>1</v>
      </c>
      <c r="D437" s="3547"/>
      <c r="E437" s="3191">
        <f t="shared" si="75"/>
        <v>0</v>
      </c>
      <c r="F437" s="3547"/>
      <c r="G437" s="3191">
        <f t="shared" si="76"/>
        <v>1</v>
      </c>
      <c r="H437" s="3547"/>
      <c r="I437" s="3191">
        <f t="shared" si="77"/>
        <v>1</v>
      </c>
      <c r="J437" s="3547"/>
      <c r="K437" s="3191">
        <f t="shared" si="78"/>
        <v>1</v>
      </c>
      <c r="L437" s="3547"/>
      <c r="M437" s="3191">
        <f t="shared" si="79"/>
        <v>1</v>
      </c>
      <c r="N437" s="3547"/>
      <c r="O437" s="3191">
        <f t="shared" si="80"/>
        <v>1</v>
      </c>
      <c r="P437" s="3547"/>
      <c r="Q437" s="3191">
        <f t="shared" si="81"/>
        <v>1</v>
      </c>
      <c r="R437" s="2911">
        <f t="shared" si="82"/>
        <v>0</v>
      </c>
      <c r="S437" s="2965">
        <f t="shared" si="83"/>
        <v>0</v>
      </c>
    </row>
    <row r="438" spans="1:19">
      <c r="A438" s="3193"/>
      <c r="B438" s="3545"/>
      <c r="C438" s="3191">
        <f t="shared" si="74"/>
        <v>1</v>
      </c>
      <c r="D438" s="3547"/>
      <c r="E438" s="3191">
        <f t="shared" si="75"/>
        <v>0</v>
      </c>
      <c r="F438" s="3547"/>
      <c r="G438" s="3191">
        <f t="shared" si="76"/>
        <v>1</v>
      </c>
      <c r="H438" s="3547"/>
      <c r="I438" s="3191">
        <f t="shared" si="77"/>
        <v>1</v>
      </c>
      <c r="J438" s="3547"/>
      <c r="K438" s="3191">
        <f t="shared" si="78"/>
        <v>1</v>
      </c>
      <c r="L438" s="3547"/>
      <c r="M438" s="3191">
        <f t="shared" si="79"/>
        <v>1</v>
      </c>
      <c r="N438" s="3547"/>
      <c r="O438" s="3191">
        <f t="shared" si="80"/>
        <v>1</v>
      </c>
      <c r="P438" s="3547"/>
      <c r="Q438" s="3191">
        <f t="shared" si="81"/>
        <v>1</v>
      </c>
      <c r="R438" s="2911">
        <f t="shared" si="82"/>
        <v>0</v>
      </c>
      <c r="S438" s="2965">
        <f t="shared" si="83"/>
        <v>0</v>
      </c>
    </row>
    <row r="439" spans="1:19">
      <c r="A439" s="3193"/>
      <c r="B439" s="3545"/>
      <c r="C439" s="3191">
        <f t="shared" si="74"/>
        <v>1</v>
      </c>
      <c r="D439" s="3547"/>
      <c r="E439" s="3191">
        <f t="shared" si="75"/>
        <v>0</v>
      </c>
      <c r="F439" s="3547"/>
      <c r="G439" s="3191">
        <f t="shared" si="76"/>
        <v>1</v>
      </c>
      <c r="H439" s="3547"/>
      <c r="I439" s="3191">
        <f t="shared" si="77"/>
        <v>1</v>
      </c>
      <c r="J439" s="3547"/>
      <c r="K439" s="3191">
        <f t="shared" si="78"/>
        <v>1</v>
      </c>
      <c r="L439" s="3547"/>
      <c r="M439" s="3191">
        <f t="shared" si="79"/>
        <v>1</v>
      </c>
      <c r="N439" s="3547"/>
      <c r="O439" s="3191">
        <f t="shared" si="80"/>
        <v>1</v>
      </c>
      <c r="P439" s="3547"/>
      <c r="Q439" s="3191">
        <f t="shared" si="81"/>
        <v>1</v>
      </c>
      <c r="R439" s="2911">
        <f t="shared" si="82"/>
        <v>0</v>
      </c>
      <c r="S439" s="2965">
        <f t="shared" si="83"/>
        <v>0</v>
      </c>
    </row>
    <row r="440" spans="1:19">
      <c r="A440" s="3193"/>
      <c r="B440" s="3545"/>
      <c r="C440" s="3191">
        <f t="shared" si="74"/>
        <v>1</v>
      </c>
      <c r="D440" s="3547"/>
      <c r="E440" s="3191">
        <f t="shared" si="75"/>
        <v>0</v>
      </c>
      <c r="F440" s="3547"/>
      <c r="G440" s="3191">
        <f t="shared" si="76"/>
        <v>1</v>
      </c>
      <c r="H440" s="3547"/>
      <c r="I440" s="3191">
        <f t="shared" si="77"/>
        <v>1</v>
      </c>
      <c r="J440" s="3547"/>
      <c r="K440" s="3191">
        <f t="shared" si="78"/>
        <v>1</v>
      </c>
      <c r="L440" s="3547"/>
      <c r="M440" s="3191">
        <f t="shared" si="79"/>
        <v>1</v>
      </c>
      <c r="N440" s="3547"/>
      <c r="O440" s="3191">
        <f t="shared" si="80"/>
        <v>1</v>
      </c>
      <c r="P440" s="3547"/>
      <c r="Q440" s="3191">
        <f t="shared" si="81"/>
        <v>1</v>
      </c>
      <c r="R440" s="2911">
        <f t="shared" si="82"/>
        <v>0</v>
      </c>
      <c r="S440" s="2965">
        <f t="shared" si="83"/>
        <v>0</v>
      </c>
    </row>
    <row r="441" spans="1:19">
      <c r="A441" s="3193"/>
      <c r="B441" s="3545"/>
      <c r="C441" s="3191">
        <f t="shared" si="74"/>
        <v>1</v>
      </c>
      <c r="D441" s="3547"/>
      <c r="E441" s="3191">
        <f t="shared" si="75"/>
        <v>0</v>
      </c>
      <c r="F441" s="3547"/>
      <c r="G441" s="3191">
        <f t="shared" si="76"/>
        <v>1</v>
      </c>
      <c r="H441" s="3547"/>
      <c r="I441" s="3191">
        <f t="shared" si="77"/>
        <v>1</v>
      </c>
      <c r="J441" s="3547"/>
      <c r="K441" s="3191">
        <f t="shared" si="78"/>
        <v>1</v>
      </c>
      <c r="L441" s="3547"/>
      <c r="M441" s="3191">
        <f t="shared" si="79"/>
        <v>1</v>
      </c>
      <c r="N441" s="3547"/>
      <c r="O441" s="3191">
        <f t="shared" si="80"/>
        <v>1</v>
      </c>
      <c r="P441" s="3547"/>
      <c r="Q441" s="3191">
        <f t="shared" si="81"/>
        <v>1</v>
      </c>
      <c r="R441" s="2911">
        <f t="shared" si="82"/>
        <v>0</v>
      </c>
      <c r="S441" s="2965">
        <f t="shared" si="83"/>
        <v>0</v>
      </c>
    </row>
    <row r="442" spans="1:19">
      <c r="A442" s="3193"/>
      <c r="B442" s="3545"/>
      <c r="C442" s="3191">
        <f t="shared" si="74"/>
        <v>1</v>
      </c>
      <c r="D442" s="3547"/>
      <c r="E442" s="3191">
        <f t="shared" si="75"/>
        <v>0</v>
      </c>
      <c r="F442" s="3547"/>
      <c r="G442" s="3191">
        <f t="shared" si="76"/>
        <v>1</v>
      </c>
      <c r="H442" s="3547"/>
      <c r="I442" s="3191">
        <f t="shared" si="77"/>
        <v>1</v>
      </c>
      <c r="J442" s="3547"/>
      <c r="K442" s="3191">
        <f t="shared" si="78"/>
        <v>1</v>
      </c>
      <c r="L442" s="3547"/>
      <c r="M442" s="3191">
        <f t="shared" si="79"/>
        <v>1</v>
      </c>
      <c r="N442" s="3547"/>
      <c r="O442" s="3191">
        <f t="shared" si="80"/>
        <v>1</v>
      </c>
      <c r="P442" s="3547"/>
      <c r="Q442" s="3191">
        <f t="shared" si="81"/>
        <v>1</v>
      </c>
      <c r="R442" s="2911">
        <f t="shared" si="82"/>
        <v>0</v>
      </c>
      <c r="S442" s="2965">
        <f t="shared" si="83"/>
        <v>0</v>
      </c>
    </row>
    <row r="443" spans="1:19">
      <c r="A443" s="3193"/>
      <c r="B443" s="3545"/>
      <c r="C443" s="3191">
        <f t="shared" si="74"/>
        <v>1</v>
      </c>
      <c r="D443" s="3547"/>
      <c r="E443" s="3191">
        <f t="shared" si="75"/>
        <v>0</v>
      </c>
      <c r="F443" s="3547"/>
      <c r="G443" s="3191">
        <f t="shared" si="76"/>
        <v>1</v>
      </c>
      <c r="H443" s="3547"/>
      <c r="I443" s="3191">
        <f t="shared" si="77"/>
        <v>1</v>
      </c>
      <c r="J443" s="3547"/>
      <c r="K443" s="3191">
        <f t="shared" si="78"/>
        <v>1</v>
      </c>
      <c r="L443" s="3547"/>
      <c r="M443" s="3191">
        <f t="shared" si="79"/>
        <v>1</v>
      </c>
      <c r="N443" s="3547"/>
      <c r="O443" s="3191">
        <f t="shared" si="80"/>
        <v>1</v>
      </c>
      <c r="P443" s="3547"/>
      <c r="Q443" s="3191">
        <f t="shared" si="81"/>
        <v>1</v>
      </c>
      <c r="R443" s="2911">
        <f t="shared" si="82"/>
        <v>0</v>
      </c>
      <c r="S443" s="2965">
        <f t="shared" si="83"/>
        <v>0</v>
      </c>
    </row>
    <row r="444" spans="1:19">
      <c r="A444" s="3193"/>
      <c r="B444" s="3545"/>
      <c r="C444" s="3191">
        <f t="shared" si="74"/>
        <v>1</v>
      </c>
      <c r="D444" s="3547"/>
      <c r="E444" s="3191">
        <f t="shared" si="75"/>
        <v>0</v>
      </c>
      <c r="F444" s="3547"/>
      <c r="G444" s="3191">
        <f t="shared" si="76"/>
        <v>1</v>
      </c>
      <c r="H444" s="3547"/>
      <c r="I444" s="3191">
        <f t="shared" si="77"/>
        <v>1</v>
      </c>
      <c r="J444" s="3547"/>
      <c r="K444" s="3191">
        <f t="shared" si="78"/>
        <v>1</v>
      </c>
      <c r="L444" s="3547"/>
      <c r="M444" s="3191">
        <f t="shared" si="79"/>
        <v>1</v>
      </c>
      <c r="N444" s="3547"/>
      <c r="O444" s="3191">
        <f t="shared" si="80"/>
        <v>1</v>
      </c>
      <c r="P444" s="3547"/>
      <c r="Q444" s="3191">
        <f t="shared" si="81"/>
        <v>1</v>
      </c>
      <c r="R444" s="2911">
        <f t="shared" si="82"/>
        <v>0</v>
      </c>
      <c r="S444" s="2965">
        <f t="shared" si="83"/>
        <v>0</v>
      </c>
    </row>
    <row r="445" spans="1:19">
      <c r="A445" s="3193"/>
      <c r="B445" s="3545"/>
      <c r="C445" s="3191">
        <f t="shared" si="74"/>
        <v>1</v>
      </c>
      <c r="D445" s="3547"/>
      <c r="E445" s="3191">
        <f t="shared" si="75"/>
        <v>0</v>
      </c>
      <c r="F445" s="3547"/>
      <c r="G445" s="3191">
        <f t="shared" si="76"/>
        <v>1</v>
      </c>
      <c r="H445" s="3547"/>
      <c r="I445" s="3191">
        <f t="shared" si="77"/>
        <v>1</v>
      </c>
      <c r="J445" s="3547"/>
      <c r="K445" s="3191">
        <f t="shared" si="78"/>
        <v>1</v>
      </c>
      <c r="L445" s="3547"/>
      <c r="M445" s="3191">
        <f t="shared" si="79"/>
        <v>1</v>
      </c>
      <c r="N445" s="3547"/>
      <c r="O445" s="3191">
        <f t="shared" si="80"/>
        <v>1</v>
      </c>
      <c r="P445" s="3547"/>
      <c r="Q445" s="3191">
        <f t="shared" si="81"/>
        <v>1</v>
      </c>
      <c r="R445" s="2911">
        <f t="shared" si="82"/>
        <v>0</v>
      </c>
      <c r="S445" s="2965">
        <f t="shared" si="83"/>
        <v>0</v>
      </c>
    </row>
    <row r="446" spans="1:19">
      <c r="A446" s="3193"/>
      <c r="B446" s="3545"/>
      <c r="C446" s="3191">
        <f t="shared" si="74"/>
        <v>1</v>
      </c>
      <c r="D446" s="3547"/>
      <c r="E446" s="3191">
        <f t="shared" si="75"/>
        <v>0</v>
      </c>
      <c r="F446" s="3547"/>
      <c r="G446" s="3191">
        <f t="shared" si="76"/>
        <v>1</v>
      </c>
      <c r="H446" s="3547"/>
      <c r="I446" s="3191">
        <f t="shared" si="77"/>
        <v>1</v>
      </c>
      <c r="J446" s="3547"/>
      <c r="K446" s="3191">
        <f t="shared" si="78"/>
        <v>1</v>
      </c>
      <c r="L446" s="3547"/>
      <c r="M446" s="3191">
        <f t="shared" si="79"/>
        <v>1</v>
      </c>
      <c r="N446" s="3547"/>
      <c r="O446" s="3191">
        <f t="shared" si="80"/>
        <v>1</v>
      </c>
      <c r="P446" s="3547"/>
      <c r="Q446" s="3191">
        <f t="shared" si="81"/>
        <v>1</v>
      </c>
      <c r="R446" s="2911">
        <f t="shared" si="82"/>
        <v>0</v>
      </c>
      <c r="S446" s="2965">
        <f t="shared" si="83"/>
        <v>0</v>
      </c>
    </row>
    <row r="447" spans="1:19">
      <c r="A447" s="3193"/>
      <c r="B447" s="3545"/>
      <c r="C447" s="3191">
        <f t="shared" si="74"/>
        <v>1</v>
      </c>
      <c r="D447" s="3547"/>
      <c r="E447" s="3191">
        <f t="shared" si="75"/>
        <v>0</v>
      </c>
      <c r="F447" s="3547"/>
      <c r="G447" s="3191">
        <f t="shared" si="76"/>
        <v>1</v>
      </c>
      <c r="H447" s="3547"/>
      <c r="I447" s="3191">
        <f t="shared" si="77"/>
        <v>1</v>
      </c>
      <c r="J447" s="3547"/>
      <c r="K447" s="3191">
        <f t="shared" si="78"/>
        <v>1</v>
      </c>
      <c r="L447" s="3547"/>
      <c r="M447" s="3191">
        <f t="shared" si="79"/>
        <v>1</v>
      </c>
      <c r="N447" s="3547"/>
      <c r="O447" s="3191">
        <f t="shared" si="80"/>
        <v>1</v>
      </c>
      <c r="P447" s="3547"/>
      <c r="Q447" s="3191">
        <f t="shared" si="81"/>
        <v>1</v>
      </c>
      <c r="R447" s="2911">
        <f t="shared" si="82"/>
        <v>0</v>
      </c>
      <c r="S447" s="2965">
        <f t="shared" si="83"/>
        <v>0</v>
      </c>
    </row>
    <row r="448" spans="1:19">
      <c r="A448" s="3193"/>
      <c r="B448" s="3545"/>
      <c r="C448" s="3191">
        <f t="shared" si="74"/>
        <v>1</v>
      </c>
      <c r="D448" s="3547"/>
      <c r="E448" s="3191">
        <f t="shared" si="75"/>
        <v>0</v>
      </c>
      <c r="F448" s="3547"/>
      <c r="G448" s="3191">
        <f t="shared" si="76"/>
        <v>1</v>
      </c>
      <c r="H448" s="3547"/>
      <c r="I448" s="3191">
        <f t="shared" si="77"/>
        <v>1</v>
      </c>
      <c r="J448" s="3547"/>
      <c r="K448" s="3191">
        <f t="shared" si="78"/>
        <v>1</v>
      </c>
      <c r="L448" s="3547"/>
      <c r="M448" s="3191">
        <f t="shared" si="79"/>
        <v>1</v>
      </c>
      <c r="N448" s="3547"/>
      <c r="O448" s="3191">
        <f t="shared" si="80"/>
        <v>1</v>
      </c>
      <c r="P448" s="3547"/>
      <c r="Q448" s="3191">
        <f t="shared" si="81"/>
        <v>1</v>
      </c>
      <c r="R448" s="2911">
        <f t="shared" si="82"/>
        <v>0</v>
      </c>
      <c r="S448" s="2965">
        <f t="shared" si="83"/>
        <v>0</v>
      </c>
    </row>
    <row r="449" spans="1:19">
      <c r="A449" s="3193"/>
      <c r="B449" s="3545"/>
      <c r="C449" s="3191">
        <f t="shared" si="74"/>
        <v>1</v>
      </c>
      <c r="D449" s="3547"/>
      <c r="E449" s="3191">
        <f t="shared" si="75"/>
        <v>0</v>
      </c>
      <c r="F449" s="3547"/>
      <c r="G449" s="3191">
        <f t="shared" si="76"/>
        <v>1</v>
      </c>
      <c r="H449" s="3547"/>
      <c r="I449" s="3191">
        <f t="shared" si="77"/>
        <v>1</v>
      </c>
      <c r="J449" s="3547"/>
      <c r="K449" s="3191">
        <f t="shared" si="78"/>
        <v>1</v>
      </c>
      <c r="L449" s="3547"/>
      <c r="M449" s="3191">
        <f t="shared" si="79"/>
        <v>1</v>
      </c>
      <c r="N449" s="3547"/>
      <c r="O449" s="3191">
        <f t="shared" si="80"/>
        <v>1</v>
      </c>
      <c r="P449" s="3547"/>
      <c r="Q449" s="3191">
        <f t="shared" si="81"/>
        <v>1</v>
      </c>
      <c r="R449" s="2911">
        <f t="shared" si="82"/>
        <v>0</v>
      </c>
      <c r="S449" s="2965">
        <f t="shared" si="83"/>
        <v>0</v>
      </c>
    </row>
    <row r="450" spans="1:19">
      <c r="A450" s="3193"/>
      <c r="B450" s="3545"/>
      <c r="C450" s="3191">
        <f t="shared" si="74"/>
        <v>1</v>
      </c>
      <c r="D450" s="3547"/>
      <c r="E450" s="3191">
        <f t="shared" si="75"/>
        <v>0</v>
      </c>
      <c r="F450" s="3547"/>
      <c r="G450" s="3191">
        <f t="shared" si="76"/>
        <v>1</v>
      </c>
      <c r="H450" s="3547"/>
      <c r="I450" s="3191">
        <f t="shared" si="77"/>
        <v>1</v>
      </c>
      <c r="J450" s="3547"/>
      <c r="K450" s="3191">
        <f t="shared" si="78"/>
        <v>1</v>
      </c>
      <c r="L450" s="3547"/>
      <c r="M450" s="3191">
        <f t="shared" si="79"/>
        <v>1</v>
      </c>
      <c r="N450" s="3547"/>
      <c r="O450" s="3191">
        <f t="shared" si="80"/>
        <v>1</v>
      </c>
      <c r="P450" s="3547"/>
      <c r="Q450" s="3191">
        <f t="shared" si="81"/>
        <v>1</v>
      </c>
      <c r="R450" s="2911">
        <f t="shared" si="82"/>
        <v>0</v>
      </c>
      <c r="S450" s="2965">
        <f t="shared" si="83"/>
        <v>0</v>
      </c>
    </row>
    <row r="451" spans="1:19">
      <c r="A451" s="3193"/>
      <c r="B451" s="3545"/>
      <c r="C451" s="3191">
        <f t="shared" si="74"/>
        <v>1</v>
      </c>
      <c r="D451" s="3547"/>
      <c r="E451" s="3191">
        <f t="shared" si="75"/>
        <v>0</v>
      </c>
      <c r="F451" s="3547"/>
      <c r="G451" s="3191">
        <f t="shared" si="76"/>
        <v>1</v>
      </c>
      <c r="H451" s="3547"/>
      <c r="I451" s="3191">
        <f t="shared" si="77"/>
        <v>1</v>
      </c>
      <c r="J451" s="3547"/>
      <c r="K451" s="3191">
        <f t="shared" si="78"/>
        <v>1</v>
      </c>
      <c r="L451" s="3547"/>
      <c r="M451" s="3191">
        <f t="shared" si="79"/>
        <v>1</v>
      </c>
      <c r="N451" s="3547"/>
      <c r="O451" s="3191">
        <f t="shared" si="80"/>
        <v>1</v>
      </c>
      <c r="P451" s="3547"/>
      <c r="Q451" s="3191">
        <f t="shared" si="81"/>
        <v>1</v>
      </c>
      <c r="R451" s="2911">
        <f t="shared" si="82"/>
        <v>0</v>
      </c>
      <c r="S451" s="2965">
        <f t="shared" si="83"/>
        <v>0</v>
      </c>
    </row>
    <row r="452" spans="1:19">
      <c r="A452" s="3193"/>
      <c r="B452" s="3545"/>
      <c r="C452" s="3191">
        <f t="shared" si="74"/>
        <v>1</v>
      </c>
      <c r="D452" s="3547"/>
      <c r="E452" s="3191">
        <f t="shared" si="75"/>
        <v>0</v>
      </c>
      <c r="F452" s="3547"/>
      <c r="G452" s="3191">
        <f t="shared" si="76"/>
        <v>1</v>
      </c>
      <c r="H452" s="3547"/>
      <c r="I452" s="3191">
        <f t="shared" si="77"/>
        <v>1</v>
      </c>
      <c r="J452" s="3547"/>
      <c r="K452" s="3191">
        <f t="shared" si="78"/>
        <v>1</v>
      </c>
      <c r="L452" s="3547"/>
      <c r="M452" s="3191">
        <f t="shared" si="79"/>
        <v>1</v>
      </c>
      <c r="N452" s="3547"/>
      <c r="O452" s="3191">
        <f t="shared" si="80"/>
        <v>1</v>
      </c>
      <c r="P452" s="3547"/>
      <c r="Q452" s="3191">
        <f t="shared" si="81"/>
        <v>1</v>
      </c>
      <c r="R452" s="2911">
        <f t="shared" si="82"/>
        <v>0</v>
      </c>
      <c r="S452" s="2965">
        <f t="shared" si="83"/>
        <v>0</v>
      </c>
    </row>
    <row r="453" spans="1:19">
      <c r="A453" s="3193"/>
      <c r="B453" s="3545"/>
      <c r="C453" s="3191">
        <f t="shared" si="74"/>
        <v>1</v>
      </c>
      <c r="D453" s="3547"/>
      <c r="E453" s="3191">
        <f t="shared" si="75"/>
        <v>0</v>
      </c>
      <c r="F453" s="3547"/>
      <c r="G453" s="3191">
        <f t="shared" si="76"/>
        <v>1</v>
      </c>
      <c r="H453" s="3547"/>
      <c r="I453" s="3191">
        <f t="shared" si="77"/>
        <v>1</v>
      </c>
      <c r="J453" s="3547"/>
      <c r="K453" s="3191">
        <f t="shared" si="78"/>
        <v>1</v>
      </c>
      <c r="L453" s="3547"/>
      <c r="M453" s="3191">
        <f t="shared" si="79"/>
        <v>1</v>
      </c>
      <c r="N453" s="3547"/>
      <c r="O453" s="3191">
        <f t="shared" si="80"/>
        <v>1</v>
      </c>
      <c r="P453" s="3547"/>
      <c r="Q453" s="3191">
        <f t="shared" si="81"/>
        <v>1</v>
      </c>
      <c r="R453" s="2911">
        <f t="shared" si="82"/>
        <v>0</v>
      </c>
      <c r="S453" s="2965">
        <f t="shared" si="83"/>
        <v>0</v>
      </c>
    </row>
    <row r="454" spans="1:19">
      <c r="A454" s="3193"/>
      <c r="B454" s="3545"/>
      <c r="C454" s="3191">
        <f t="shared" si="74"/>
        <v>1</v>
      </c>
      <c r="D454" s="3547"/>
      <c r="E454" s="3191">
        <f t="shared" si="75"/>
        <v>0</v>
      </c>
      <c r="F454" s="3547"/>
      <c r="G454" s="3191">
        <f t="shared" si="76"/>
        <v>1</v>
      </c>
      <c r="H454" s="3547"/>
      <c r="I454" s="3191">
        <f t="shared" si="77"/>
        <v>1</v>
      </c>
      <c r="J454" s="3547"/>
      <c r="K454" s="3191">
        <f t="shared" si="78"/>
        <v>1</v>
      </c>
      <c r="L454" s="3547"/>
      <c r="M454" s="3191">
        <f t="shared" si="79"/>
        <v>1</v>
      </c>
      <c r="N454" s="3547"/>
      <c r="O454" s="3191">
        <f t="shared" si="80"/>
        <v>1</v>
      </c>
      <c r="P454" s="3547"/>
      <c r="Q454" s="3191">
        <f t="shared" si="81"/>
        <v>1</v>
      </c>
      <c r="R454" s="2911">
        <f t="shared" si="82"/>
        <v>0</v>
      </c>
      <c r="S454" s="2965">
        <f t="shared" si="83"/>
        <v>0</v>
      </c>
    </row>
    <row r="455" spans="1:19">
      <c r="A455" s="3193"/>
      <c r="B455" s="3545"/>
      <c r="C455" s="3191">
        <f t="shared" si="74"/>
        <v>1</v>
      </c>
      <c r="D455" s="3547"/>
      <c r="E455" s="3191">
        <f t="shared" si="75"/>
        <v>0</v>
      </c>
      <c r="F455" s="3547"/>
      <c r="G455" s="3191">
        <f t="shared" si="76"/>
        <v>1</v>
      </c>
      <c r="H455" s="3547"/>
      <c r="I455" s="3191">
        <f t="shared" si="77"/>
        <v>1</v>
      </c>
      <c r="J455" s="3547"/>
      <c r="K455" s="3191">
        <f t="shared" si="78"/>
        <v>1</v>
      </c>
      <c r="L455" s="3547"/>
      <c r="M455" s="3191">
        <f t="shared" si="79"/>
        <v>1</v>
      </c>
      <c r="N455" s="3547"/>
      <c r="O455" s="3191">
        <f t="shared" si="80"/>
        <v>1</v>
      </c>
      <c r="P455" s="3547"/>
      <c r="Q455" s="3191">
        <f t="shared" si="81"/>
        <v>1</v>
      </c>
      <c r="R455" s="2911">
        <f t="shared" si="82"/>
        <v>0</v>
      </c>
      <c r="S455" s="2965">
        <f t="shared" si="83"/>
        <v>0</v>
      </c>
    </row>
    <row r="456" spans="1:19">
      <c r="A456" s="3193"/>
      <c r="B456" s="3545"/>
      <c r="C456" s="3191">
        <f t="shared" si="74"/>
        <v>1</v>
      </c>
      <c r="D456" s="3547"/>
      <c r="E456" s="3191">
        <f t="shared" si="75"/>
        <v>0</v>
      </c>
      <c r="F456" s="3547"/>
      <c r="G456" s="3191">
        <f t="shared" si="76"/>
        <v>1</v>
      </c>
      <c r="H456" s="3547"/>
      <c r="I456" s="3191">
        <f t="shared" si="77"/>
        <v>1</v>
      </c>
      <c r="J456" s="3547"/>
      <c r="K456" s="3191">
        <f t="shared" si="78"/>
        <v>1</v>
      </c>
      <c r="L456" s="3547"/>
      <c r="M456" s="3191">
        <f t="shared" si="79"/>
        <v>1</v>
      </c>
      <c r="N456" s="3547"/>
      <c r="O456" s="3191">
        <f t="shared" si="80"/>
        <v>1</v>
      </c>
      <c r="P456" s="3547"/>
      <c r="Q456" s="3191">
        <f t="shared" si="81"/>
        <v>1</v>
      </c>
      <c r="R456" s="2911">
        <f t="shared" si="82"/>
        <v>0</v>
      </c>
      <c r="S456" s="2965">
        <f t="shared" si="83"/>
        <v>0</v>
      </c>
    </row>
    <row r="457" spans="1:19">
      <c r="A457" s="3193"/>
      <c r="B457" s="3545"/>
      <c r="C457" s="3191">
        <f t="shared" si="74"/>
        <v>1</v>
      </c>
      <c r="D457" s="3547"/>
      <c r="E457" s="3191">
        <f t="shared" si="75"/>
        <v>0</v>
      </c>
      <c r="F457" s="3547"/>
      <c r="G457" s="3191">
        <f t="shared" si="76"/>
        <v>1</v>
      </c>
      <c r="H457" s="3547"/>
      <c r="I457" s="3191">
        <f t="shared" si="77"/>
        <v>1</v>
      </c>
      <c r="J457" s="3547"/>
      <c r="K457" s="3191">
        <f t="shared" si="78"/>
        <v>1</v>
      </c>
      <c r="L457" s="3547"/>
      <c r="M457" s="3191">
        <f t="shared" si="79"/>
        <v>1</v>
      </c>
      <c r="N457" s="3547"/>
      <c r="O457" s="3191">
        <f t="shared" si="80"/>
        <v>1</v>
      </c>
      <c r="P457" s="3547"/>
      <c r="Q457" s="3191">
        <f t="shared" si="81"/>
        <v>1</v>
      </c>
      <c r="R457" s="2911">
        <f t="shared" si="82"/>
        <v>0</v>
      </c>
      <c r="S457" s="2965">
        <f t="shared" si="83"/>
        <v>0</v>
      </c>
    </row>
    <row r="458" spans="1:19">
      <c r="A458" s="3193"/>
      <c r="B458" s="3545"/>
      <c r="C458" s="3191">
        <f t="shared" si="74"/>
        <v>1</v>
      </c>
      <c r="D458" s="3547"/>
      <c r="E458" s="3191">
        <f t="shared" si="75"/>
        <v>0</v>
      </c>
      <c r="F458" s="3547"/>
      <c r="G458" s="3191">
        <f t="shared" si="76"/>
        <v>1</v>
      </c>
      <c r="H458" s="3547"/>
      <c r="I458" s="3191">
        <f t="shared" si="77"/>
        <v>1</v>
      </c>
      <c r="J458" s="3547"/>
      <c r="K458" s="3191">
        <f t="shared" si="78"/>
        <v>1</v>
      </c>
      <c r="L458" s="3547"/>
      <c r="M458" s="3191">
        <f t="shared" si="79"/>
        <v>1</v>
      </c>
      <c r="N458" s="3547"/>
      <c r="O458" s="3191">
        <f t="shared" si="80"/>
        <v>1</v>
      </c>
      <c r="P458" s="3547"/>
      <c r="Q458" s="3191">
        <f t="shared" si="81"/>
        <v>1</v>
      </c>
      <c r="R458" s="2911">
        <f t="shared" si="82"/>
        <v>0</v>
      </c>
      <c r="S458" s="2965">
        <f t="shared" si="83"/>
        <v>0</v>
      </c>
    </row>
    <row r="459" spans="1:19">
      <c r="A459" s="3193"/>
      <c r="B459" s="3545"/>
      <c r="C459" s="3191">
        <f t="shared" si="74"/>
        <v>1</v>
      </c>
      <c r="D459" s="3547"/>
      <c r="E459" s="3191">
        <f t="shared" si="75"/>
        <v>0</v>
      </c>
      <c r="F459" s="3547"/>
      <c r="G459" s="3191">
        <f t="shared" si="76"/>
        <v>1</v>
      </c>
      <c r="H459" s="3547"/>
      <c r="I459" s="3191">
        <f t="shared" si="77"/>
        <v>1</v>
      </c>
      <c r="J459" s="3547"/>
      <c r="K459" s="3191">
        <f t="shared" si="78"/>
        <v>1</v>
      </c>
      <c r="L459" s="3547"/>
      <c r="M459" s="3191">
        <f t="shared" si="79"/>
        <v>1</v>
      </c>
      <c r="N459" s="3547"/>
      <c r="O459" s="3191">
        <f t="shared" si="80"/>
        <v>1</v>
      </c>
      <c r="P459" s="3547"/>
      <c r="Q459" s="3191">
        <f t="shared" si="81"/>
        <v>1</v>
      </c>
      <c r="R459" s="2911">
        <f t="shared" si="82"/>
        <v>0</v>
      </c>
      <c r="S459" s="2965">
        <f t="shared" si="83"/>
        <v>0</v>
      </c>
    </row>
    <row r="460" spans="1:19">
      <c r="A460" s="3193"/>
      <c r="B460" s="3545"/>
      <c r="C460" s="3191">
        <f t="shared" si="74"/>
        <v>1</v>
      </c>
      <c r="D460" s="3547"/>
      <c r="E460" s="3191">
        <f t="shared" si="75"/>
        <v>0</v>
      </c>
      <c r="F460" s="3547"/>
      <c r="G460" s="3191">
        <f t="shared" si="76"/>
        <v>1</v>
      </c>
      <c r="H460" s="3547"/>
      <c r="I460" s="3191">
        <f t="shared" si="77"/>
        <v>1</v>
      </c>
      <c r="J460" s="3547"/>
      <c r="K460" s="3191">
        <f t="shared" si="78"/>
        <v>1</v>
      </c>
      <c r="L460" s="3547"/>
      <c r="M460" s="3191">
        <f t="shared" si="79"/>
        <v>1</v>
      </c>
      <c r="N460" s="3547"/>
      <c r="O460" s="3191">
        <f t="shared" si="80"/>
        <v>1</v>
      </c>
      <c r="P460" s="3547"/>
      <c r="Q460" s="3191">
        <f t="shared" si="81"/>
        <v>1</v>
      </c>
      <c r="R460" s="2911">
        <f t="shared" si="82"/>
        <v>0</v>
      </c>
      <c r="S460" s="2965">
        <f t="shared" si="83"/>
        <v>0</v>
      </c>
    </row>
    <row r="461" spans="1:19">
      <c r="A461" s="3193"/>
      <c r="B461" s="3545"/>
      <c r="C461" s="3191">
        <f t="shared" si="74"/>
        <v>1</v>
      </c>
      <c r="D461" s="3547"/>
      <c r="E461" s="3191">
        <f t="shared" si="75"/>
        <v>0</v>
      </c>
      <c r="F461" s="3547"/>
      <c r="G461" s="3191">
        <f t="shared" si="76"/>
        <v>1</v>
      </c>
      <c r="H461" s="3547"/>
      <c r="I461" s="3191">
        <f t="shared" si="77"/>
        <v>1</v>
      </c>
      <c r="J461" s="3547"/>
      <c r="K461" s="3191">
        <f t="shared" si="78"/>
        <v>1</v>
      </c>
      <c r="L461" s="3547"/>
      <c r="M461" s="3191">
        <f t="shared" si="79"/>
        <v>1</v>
      </c>
      <c r="N461" s="3547"/>
      <c r="O461" s="3191">
        <f t="shared" si="80"/>
        <v>1</v>
      </c>
      <c r="P461" s="3547"/>
      <c r="Q461" s="3191">
        <f t="shared" si="81"/>
        <v>1</v>
      </c>
      <c r="R461" s="2911">
        <f t="shared" si="82"/>
        <v>0</v>
      </c>
      <c r="S461" s="2965">
        <f t="shared" si="83"/>
        <v>0</v>
      </c>
    </row>
    <row r="462" spans="1:19">
      <c r="A462" s="3193"/>
      <c r="B462" s="3545"/>
      <c r="C462" s="3191">
        <f t="shared" si="74"/>
        <v>1</v>
      </c>
      <c r="D462" s="3547"/>
      <c r="E462" s="3191">
        <f t="shared" si="75"/>
        <v>0</v>
      </c>
      <c r="F462" s="3547"/>
      <c r="G462" s="3191">
        <f t="shared" si="76"/>
        <v>1</v>
      </c>
      <c r="H462" s="3547"/>
      <c r="I462" s="3191">
        <f t="shared" si="77"/>
        <v>1</v>
      </c>
      <c r="J462" s="3547"/>
      <c r="K462" s="3191">
        <f t="shared" si="78"/>
        <v>1</v>
      </c>
      <c r="L462" s="3547"/>
      <c r="M462" s="3191">
        <f t="shared" si="79"/>
        <v>1</v>
      </c>
      <c r="N462" s="3547"/>
      <c r="O462" s="3191">
        <f t="shared" si="80"/>
        <v>1</v>
      </c>
      <c r="P462" s="3547"/>
      <c r="Q462" s="3191">
        <f t="shared" si="81"/>
        <v>1</v>
      </c>
      <c r="R462" s="2911">
        <f t="shared" si="82"/>
        <v>0</v>
      </c>
      <c r="S462" s="2965">
        <f t="shared" si="83"/>
        <v>0</v>
      </c>
    </row>
    <row r="463" spans="1:19">
      <c r="A463" s="3193"/>
      <c r="B463" s="3545"/>
      <c r="C463" s="3191">
        <f t="shared" si="74"/>
        <v>1</v>
      </c>
      <c r="D463" s="3547"/>
      <c r="E463" s="3191">
        <f t="shared" si="75"/>
        <v>0</v>
      </c>
      <c r="F463" s="3547"/>
      <c r="G463" s="3191">
        <f t="shared" si="76"/>
        <v>1</v>
      </c>
      <c r="H463" s="3547"/>
      <c r="I463" s="3191">
        <f t="shared" si="77"/>
        <v>1</v>
      </c>
      <c r="J463" s="3547"/>
      <c r="K463" s="3191">
        <f t="shared" si="78"/>
        <v>1</v>
      </c>
      <c r="L463" s="3547"/>
      <c r="M463" s="3191">
        <f t="shared" si="79"/>
        <v>1</v>
      </c>
      <c r="N463" s="3547"/>
      <c r="O463" s="3191">
        <f t="shared" si="80"/>
        <v>1</v>
      </c>
      <c r="P463" s="3547"/>
      <c r="Q463" s="3191">
        <f t="shared" si="81"/>
        <v>1</v>
      </c>
      <c r="R463" s="2911">
        <f t="shared" si="82"/>
        <v>0</v>
      </c>
      <c r="S463" s="2965">
        <f t="shared" si="83"/>
        <v>0</v>
      </c>
    </row>
    <row r="464" spans="1:19">
      <c r="A464" s="3193"/>
      <c r="B464" s="3545"/>
      <c r="C464" s="3191">
        <f t="shared" si="74"/>
        <v>1</v>
      </c>
      <c r="D464" s="3547"/>
      <c r="E464" s="3191">
        <f t="shared" si="75"/>
        <v>0</v>
      </c>
      <c r="F464" s="3547"/>
      <c r="G464" s="3191">
        <f t="shared" si="76"/>
        <v>1</v>
      </c>
      <c r="H464" s="3547"/>
      <c r="I464" s="3191">
        <f t="shared" si="77"/>
        <v>1</v>
      </c>
      <c r="J464" s="3547"/>
      <c r="K464" s="3191">
        <f t="shared" si="78"/>
        <v>1</v>
      </c>
      <c r="L464" s="3547"/>
      <c r="M464" s="3191">
        <f t="shared" si="79"/>
        <v>1</v>
      </c>
      <c r="N464" s="3547"/>
      <c r="O464" s="3191">
        <f t="shared" si="80"/>
        <v>1</v>
      </c>
      <c r="P464" s="3547"/>
      <c r="Q464" s="3191">
        <f t="shared" si="81"/>
        <v>1</v>
      </c>
      <c r="R464" s="2911">
        <f t="shared" si="82"/>
        <v>0</v>
      </c>
      <c r="S464" s="2965">
        <f t="shared" si="83"/>
        <v>0</v>
      </c>
    </row>
    <row r="465" spans="1:19">
      <c r="A465" s="3193"/>
      <c r="B465" s="3545"/>
      <c r="C465" s="3191">
        <f t="shared" si="74"/>
        <v>1</v>
      </c>
      <c r="D465" s="3547"/>
      <c r="E465" s="3191">
        <f t="shared" si="75"/>
        <v>0</v>
      </c>
      <c r="F465" s="3547"/>
      <c r="G465" s="3191">
        <f t="shared" si="76"/>
        <v>1</v>
      </c>
      <c r="H465" s="3547"/>
      <c r="I465" s="3191">
        <f t="shared" si="77"/>
        <v>1</v>
      </c>
      <c r="J465" s="3547"/>
      <c r="K465" s="3191">
        <f t="shared" si="78"/>
        <v>1</v>
      </c>
      <c r="L465" s="3547"/>
      <c r="M465" s="3191">
        <f t="shared" si="79"/>
        <v>1</v>
      </c>
      <c r="N465" s="3547"/>
      <c r="O465" s="3191">
        <f t="shared" si="80"/>
        <v>1</v>
      </c>
      <c r="P465" s="3547"/>
      <c r="Q465" s="3191">
        <f t="shared" si="81"/>
        <v>1</v>
      </c>
      <c r="R465" s="2911">
        <f t="shared" si="82"/>
        <v>0</v>
      </c>
      <c r="S465" s="2965">
        <f t="shared" si="83"/>
        <v>0</v>
      </c>
    </row>
    <row r="466" spans="1:19">
      <c r="A466" s="3193"/>
      <c r="B466" s="3545"/>
      <c r="C466" s="3191">
        <f t="shared" si="74"/>
        <v>1</v>
      </c>
      <c r="D466" s="3547"/>
      <c r="E466" s="3191">
        <f t="shared" si="75"/>
        <v>0</v>
      </c>
      <c r="F466" s="3547"/>
      <c r="G466" s="3191">
        <f t="shared" si="76"/>
        <v>1</v>
      </c>
      <c r="H466" s="3547"/>
      <c r="I466" s="3191">
        <f t="shared" si="77"/>
        <v>1</v>
      </c>
      <c r="J466" s="3547"/>
      <c r="K466" s="3191">
        <f t="shared" si="78"/>
        <v>1</v>
      </c>
      <c r="L466" s="3547"/>
      <c r="M466" s="3191">
        <f t="shared" si="79"/>
        <v>1</v>
      </c>
      <c r="N466" s="3547"/>
      <c r="O466" s="3191">
        <f t="shared" si="80"/>
        <v>1</v>
      </c>
      <c r="P466" s="3547"/>
      <c r="Q466" s="3191">
        <f t="shared" si="81"/>
        <v>1</v>
      </c>
      <c r="R466" s="2911">
        <f t="shared" si="82"/>
        <v>0</v>
      </c>
      <c r="S466" s="2965">
        <f t="shared" si="83"/>
        <v>0</v>
      </c>
    </row>
    <row r="467" spans="1:19">
      <c r="A467" s="3193"/>
      <c r="B467" s="3545"/>
      <c r="C467" s="3191">
        <f t="shared" si="74"/>
        <v>1</v>
      </c>
      <c r="D467" s="3547"/>
      <c r="E467" s="3191">
        <f t="shared" si="75"/>
        <v>0</v>
      </c>
      <c r="F467" s="3547"/>
      <c r="G467" s="3191">
        <f t="shared" si="76"/>
        <v>1</v>
      </c>
      <c r="H467" s="3547"/>
      <c r="I467" s="3191">
        <f t="shared" si="77"/>
        <v>1</v>
      </c>
      <c r="J467" s="3547"/>
      <c r="K467" s="3191">
        <f t="shared" si="78"/>
        <v>1</v>
      </c>
      <c r="L467" s="3547"/>
      <c r="M467" s="3191">
        <f t="shared" si="79"/>
        <v>1</v>
      </c>
      <c r="N467" s="3547"/>
      <c r="O467" s="3191">
        <f t="shared" si="80"/>
        <v>1</v>
      </c>
      <c r="P467" s="3547"/>
      <c r="Q467" s="3191">
        <f t="shared" si="81"/>
        <v>1</v>
      </c>
      <c r="R467" s="2911">
        <f t="shared" si="82"/>
        <v>0</v>
      </c>
      <c r="S467" s="2965">
        <f t="shared" si="83"/>
        <v>0</v>
      </c>
    </row>
    <row r="468" spans="1:19">
      <c r="A468" s="3193"/>
      <c r="B468" s="3545"/>
      <c r="C468" s="3191">
        <f t="shared" si="74"/>
        <v>1</v>
      </c>
      <c r="D468" s="3547"/>
      <c r="E468" s="3191">
        <f t="shared" si="75"/>
        <v>0</v>
      </c>
      <c r="F468" s="3547"/>
      <c r="G468" s="3191">
        <f t="shared" si="76"/>
        <v>1</v>
      </c>
      <c r="H468" s="3547"/>
      <c r="I468" s="3191">
        <f t="shared" si="77"/>
        <v>1</v>
      </c>
      <c r="J468" s="3547"/>
      <c r="K468" s="3191">
        <f t="shared" si="78"/>
        <v>1</v>
      </c>
      <c r="L468" s="3547"/>
      <c r="M468" s="3191">
        <f t="shared" si="79"/>
        <v>1</v>
      </c>
      <c r="N468" s="3547"/>
      <c r="O468" s="3191">
        <f t="shared" si="80"/>
        <v>1</v>
      </c>
      <c r="P468" s="3547"/>
      <c r="Q468" s="3191">
        <f t="shared" si="81"/>
        <v>1</v>
      </c>
      <c r="R468" s="2911">
        <f t="shared" si="82"/>
        <v>0</v>
      </c>
      <c r="S468" s="2965">
        <f t="shared" ref="S468:S497" si="84">ROUND(R468*B468/10000,0)</f>
        <v>0</v>
      </c>
    </row>
    <row r="469" spans="1:19">
      <c r="A469" s="3193"/>
      <c r="B469" s="3545"/>
      <c r="C469" s="3191">
        <f t="shared" si="74"/>
        <v>1</v>
      </c>
      <c r="D469" s="3547"/>
      <c r="E469" s="3191">
        <f t="shared" si="75"/>
        <v>0</v>
      </c>
      <c r="F469" s="3547"/>
      <c r="G469" s="3191">
        <f t="shared" si="76"/>
        <v>1</v>
      </c>
      <c r="H469" s="3547"/>
      <c r="I469" s="3191">
        <f t="shared" si="77"/>
        <v>1</v>
      </c>
      <c r="J469" s="3547"/>
      <c r="K469" s="3191">
        <f t="shared" si="78"/>
        <v>1</v>
      </c>
      <c r="L469" s="3547"/>
      <c r="M469" s="3191">
        <f t="shared" si="79"/>
        <v>1</v>
      </c>
      <c r="N469" s="3547"/>
      <c r="O469" s="3191">
        <f t="shared" si="80"/>
        <v>1</v>
      </c>
      <c r="P469" s="3547"/>
      <c r="Q469" s="3191">
        <f t="shared" si="81"/>
        <v>1</v>
      </c>
      <c r="R469" s="2911">
        <f t="shared" si="82"/>
        <v>0</v>
      </c>
      <c r="S469" s="2965">
        <f t="shared" si="84"/>
        <v>0</v>
      </c>
    </row>
    <row r="470" spans="1:19">
      <c r="A470" s="3193"/>
      <c r="B470" s="3545"/>
      <c r="C470" s="3191">
        <f t="shared" si="74"/>
        <v>1</v>
      </c>
      <c r="D470" s="3547"/>
      <c r="E470" s="3191">
        <f t="shared" si="75"/>
        <v>0</v>
      </c>
      <c r="F470" s="3547"/>
      <c r="G470" s="3191">
        <f t="shared" si="76"/>
        <v>1</v>
      </c>
      <c r="H470" s="3547"/>
      <c r="I470" s="3191">
        <f t="shared" si="77"/>
        <v>1</v>
      </c>
      <c r="J470" s="3547"/>
      <c r="K470" s="3191">
        <f t="shared" si="78"/>
        <v>1</v>
      </c>
      <c r="L470" s="3547"/>
      <c r="M470" s="3191">
        <f t="shared" si="79"/>
        <v>1</v>
      </c>
      <c r="N470" s="3547"/>
      <c r="O470" s="3191">
        <f t="shared" si="80"/>
        <v>1</v>
      </c>
      <c r="P470" s="3547"/>
      <c r="Q470" s="3191">
        <f t="shared" si="81"/>
        <v>1</v>
      </c>
      <c r="R470" s="2911">
        <f t="shared" si="82"/>
        <v>0</v>
      </c>
      <c r="S470" s="2965">
        <f t="shared" si="84"/>
        <v>0</v>
      </c>
    </row>
    <row r="471" spans="1:19">
      <c r="A471" s="3193"/>
      <c r="B471" s="3545"/>
      <c r="C471" s="3191">
        <f t="shared" si="74"/>
        <v>1</v>
      </c>
      <c r="D471" s="3547"/>
      <c r="E471" s="3191">
        <f t="shared" si="75"/>
        <v>0</v>
      </c>
      <c r="F471" s="3547"/>
      <c r="G471" s="3191">
        <f t="shared" si="76"/>
        <v>1</v>
      </c>
      <c r="H471" s="3547"/>
      <c r="I471" s="3191">
        <f t="shared" si="77"/>
        <v>1</v>
      </c>
      <c r="J471" s="3547"/>
      <c r="K471" s="3191">
        <f t="shared" si="78"/>
        <v>1</v>
      </c>
      <c r="L471" s="3547"/>
      <c r="M471" s="3191">
        <f t="shared" si="79"/>
        <v>1</v>
      </c>
      <c r="N471" s="3547"/>
      <c r="O471" s="3191">
        <f t="shared" si="80"/>
        <v>1</v>
      </c>
      <c r="P471" s="3547"/>
      <c r="Q471" s="3191">
        <f t="shared" si="81"/>
        <v>1</v>
      </c>
      <c r="R471" s="2911">
        <f t="shared" si="82"/>
        <v>0</v>
      </c>
      <c r="S471" s="2965">
        <f t="shared" si="84"/>
        <v>0</v>
      </c>
    </row>
    <row r="472" spans="1:19">
      <c r="A472" s="3193"/>
      <c r="B472" s="3545"/>
      <c r="C472" s="3191">
        <f t="shared" si="74"/>
        <v>1</v>
      </c>
      <c r="D472" s="3547"/>
      <c r="E472" s="3191">
        <f t="shared" si="75"/>
        <v>0</v>
      </c>
      <c r="F472" s="3547"/>
      <c r="G472" s="3191">
        <f t="shared" si="76"/>
        <v>1</v>
      </c>
      <c r="H472" s="3547"/>
      <c r="I472" s="3191">
        <f t="shared" si="77"/>
        <v>1</v>
      </c>
      <c r="J472" s="3547"/>
      <c r="K472" s="3191">
        <f t="shared" si="78"/>
        <v>1</v>
      </c>
      <c r="L472" s="3547"/>
      <c r="M472" s="3191">
        <f t="shared" si="79"/>
        <v>1</v>
      </c>
      <c r="N472" s="3547"/>
      <c r="O472" s="3191">
        <f t="shared" si="80"/>
        <v>1</v>
      </c>
      <c r="P472" s="3547"/>
      <c r="Q472" s="3191">
        <f t="shared" si="81"/>
        <v>1</v>
      </c>
      <c r="R472" s="2911">
        <f t="shared" si="82"/>
        <v>0</v>
      </c>
      <c r="S472" s="2965">
        <f t="shared" si="84"/>
        <v>0</v>
      </c>
    </row>
    <row r="473" spans="1:19">
      <c r="A473" s="3193"/>
      <c r="B473" s="3545"/>
      <c r="C473" s="3191">
        <f t="shared" si="74"/>
        <v>1</v>
      </c>
      <c r="D473" s="3547"/>
      <c r="E473" s="3191">
        <f t="shared" si="75"/>
        <v>0</v>
      </c>
      <c r="F473" s="3547"/>
      <c r="G473" s="3191">
        <f t="shared" si="76"/>
        <v>1</v>
      </c>
      <c r="H473" s="3547"/>
      <c r="I473" s="3191">
        <f t="shared" si="77"/>
        <v>1</v>
      </c>
      <c r="J473" s="3547"/>
      <c r="K473" s="3191">
        <f t="shared" si="78"/>
        <v>1</v>
      </c>
      <c r="L473" s="3547"/>
      <c r="M473" s="3191">
        <f t="shared" si="79"/>
        <v>1</v>
      </c>
      <c r="N473" s="3547"/>
      <c r="O473" s="3191">
        <f t="shared" si="80"/>
        <v>1</v>
      </c>
      <c r="P473" s="3547"/>
      <c r="Q473" s="3191">
        <f t="shared" si="81"/>
        <v>1</v>
      </c>
      <c r="R473" s="2911">
        <f t="shared" si="82"/>
        <v>0</v>
      </c>
      <c r="S473" s="2965">
        <f t="shared" si="84"/>
        <v>0</v>
      </c>
    </row>
    <row r="474" spans="1:19">
      <c r="A474" s="3193"/>
      <c r="B474" s="3545"/>
      <c r="C474" s="3191">
        <f t="shared" ref="C474:C524" si="85">IF(B474="",1,(LOOKUP(B474,$3:$3,$4:$4)-LOOKUP($B$24,$3:$3,$4:$4)+100)/100)</f>
        <v>1</v>
      </c>
      <c r="D474" s="3547"/>
      <c r="E474" s="3191">
        <f t="shared" ref="E474:E524" si="86">(SUMIF($5:$5,D474,$6:$6)-SUMIF($5:$5,$D$24,$6:$6)+100)/100</f>
        <v>0</v>
      </c>
      <c r="F474" s="3547"/>
      <c r="G474" s="3191">
        <f t="shared" ref="G474:G524" si="87">(SUMIF($7:$7,F474,$8:$8)-SUMIF($7:$7,$F$24,$8:$8)+100)/100</f>
        <v>1</v>
      </c>
      <c r="H474" s="3547"/>
      <c r="I474" s="3191">
        <f t="shared" ref="I474:I524" si="88">(SUMIF($9:$9,H474,$10:$10)-SUMIF($9:$9,$H$24,$10:$10)+100)/100</f>
        <v>1</v>
      </c>
      <c r="J474" s="3547"/>
      <c r="K474" s="3191">
        <f t="shared" ref="K474:K524" si="89">(SUMIF($11:$11,J474,$12:$12)-SUMIF($11:$11,$J$24,$12:$12)+100)/100</f>
        <v>1</v>
      </c>
      <c r="L474" s="3547"/>
      <c r="M474" s="3191">
        <f t="shared" ref="M474:M524" si="90">(SUMIF($13:$13,L474,$14:$14)-SUMIF($13:$13,$L$24,$14:$14)+100)/100</f>
        <v>1</v>
      </c>
      <c r="N474" s="3547"/>
      <c r="O474" s="3191">
        <f t="shared" ref="O474:O524" si="91">(SUMIF($15:$15,N474,$16:$16)-SUMIF($15:$15,$N$24,$16:$16)+100)/100</f>
        <v>1</v>
      </c>
      <c r="P474" s="3547"/>
      <c r="Q474" s="3191">
        <f t="shared" ref="Q474:Q524" si="92">(SUMIF($17:$17,P474,$18:$18)-SUMIF($17:$17,$P$24,$18:$18)+100)/100</f>
        <v>1</v>
      </c>
      <c r="R474" s="2911">
        <f t="shared" ref="R474:R524" si="93">IF(B474="",0,ROUND($R$24*C474*E474*G474*I474*K474*M474*O474*Q474,0))</f>
        <v>0</v>
      </c>
      <c r="S474" s="2965">
        <f t="shared" si="84"/>
        <v>0</v>
      </c>
    </row>
    <row r="475" spans="1:19">
      <c r="A475" s="3193"/>
      <c r="B475" s="3545"/>
      <c r="C475" s="3191">
        <f t="shared" si="85"/>
        <v>1</v>
      </c>
      <c r="D475" s="3547"/>
      <c r="E475" s="3191">
        <f t="shared" si="86"/>
        <v>0</v>
      </c>
      <c r="F475" s="3547"/>
      <c r="G475" s="3191">
        <f t="shared" si="87"/>
        <v>1</v>
      </c>
      <c r="H475" s="3547"/>
      <c r="I475" s="3191">
        <f t="shared" si="88"/>
        <v>1</v>
      </c>
      <c r="J475" s="3547"/>
      <c r="K475" s="3191">
        <f t="shared" si="89"/>
        <v>1</v>
      </c>
      <c r="L475" s="3547"/>
      <c r="M475" s="3191">
        <f t="shared" si="90"/>
        <v>1</v>
      </c>
      <c r="N475" s="3547"/>
      <c r="O475" s="3191">
        <f t="shared" si="91"/>
        <v>1</v>
      </c>
      <c r="P475" s="3547"/>
      <c r="Q475" s="3191">
        <f t="shared" si="92"/>
        <v>1</v>
      </c>
      <c r="R475" s="2911">
        <f t="shared" si="93"/>
        <v>0</v>
      </c>
      <c r="S475" s="2965">
        <f t="shared" si="84"/>
        <v>0</v>
      </c>
    </row>
    <row r="476" spans="1:19">
      <c r="A476" s="3193"/>
      <c r="B476" s="3545"/>
      <c r="C476" s="3191">
        <f t="shared" si="85"/>
        <v>1</v>
      </c>
      <c r="D476" s="3547"/>
      <c r="E476" s="3191">
        <f t="shared" si="86"/>
        <v>0</v>
      </c>
      <c r="F476" s="3547"/>
      <c r="G476" s="3191">
        <f t="shared" si="87"/>
        <v>1</v>
      </c>
      <c r="H476" s="3547"/>
      <c r="I476" s="3191">
        <f t="shared" si="88"/>
        <v>1</v>
      </c>
      <c r="J476" s="3547"/>
      <c r="K476" s="3191">
        <f t="shared" si="89"/>
        <v>1</v>
      </c>
      <c r="L476" s="3547"/>
      <c r="M476" s="3191">
        <f t="shared" si="90"/>
        <v>1</v>
      </c>
      <c r="N476" s="3547"/>
      <c r="O476" s="3191">
        <f t="shared" si="91"/>
        <v>1</v>
      </c>
      <c r="P476" s="3547"/>
      <c r="Q476" s="3191">
        <f t="shared" si="92"/>
        <v>1</v>
      </c>
      <c r="R476" s="2911">
        <f t="shared" si="93"/>
        <v>0</v>
      </c>
      <c r="S476" s="2965">
        <f t="shared" si="84"/>
        <v>0</v>
      </c>
    </row>
    <row r="477" spans="1:19">
      <c r="A477" s="3193"/>
      <c r="B477" s="3545"/>
      <c r="C477" s="3191">
        <f t="shared" si="85"/>
        <v>1</v>
      </c>
      <c r="D477" s="3547"/>
      <c r="E477" s="3191">
        <f t="shared" si="86"/>
        <v>0</v>
      </c>
      <c r="F477" s="3547"/>
      <c r="G477" s="3191">
        <f t="shared" si="87"/>
        <v>1</v>
      </c>
      <c r="H477" s="3547"/>
      <c r="I477" s="3191">
        <f t="shared" si="88"/>
        <v>1</v>
      </c>
      <c r="J477" s="3547"/>
      <c r="K477" s="3191">
        <f t="shared" si="89"/>
        <v>1</v>
      </c>
      <c r="L477" s="3547"/>
      <c r="M477" s="3191">
        <f t="shared" si="90"/>
        <v>1</v>
      </c>
      <c r="N477" s="3547"/>
      <c r="O477" s="3191">
        <f t="shared" si="91"/>
        <v>1</v>
      </c>
      <c r="P477" s="3547"/>
      <c r="Q477" s="3191">
        <f t="shared" si="92"/>
        <v>1</v>
      </c>
      <c r="R477" s="2911">
        <f t="shared" si="93"/>
        <v>0</v>
      </c>
      <c r="S477" s="2965">
        <f t="shared" si="84"/>
        <v>0</v>
      </c>
    </row>
    <row r="478" spans="1:19">
      <c r="A478" s="3193"/>
      <c r="B478" s="3545"/>
      <c r="C478" s="3191">
        <f t="shared" si="85"/>
        <v>1</v>
      </c>
      <c r="D478" s="3547"/>
      <c r="E478" s="3191">
        <f t="shared" si="86"/>
        <v>0</v>
      </c>
      <c r="F478" s="3547"/>
      <c r="G478" s="3191">
        <f t="shared" si="87"/>
        <v>1</v>
      </c>
      <c r="H478" s="3547"/>
      <c r="I478" s="3191">
        <f t="shared" si="88"/>
        <v>1</v>
      </c>
      <c r="J478" s="3547"/>
      <c r="K478" s="3191">
        <f t="shared" si="89"/>
        <v>1</v>
      </c>
      <c r="L478" s="3547"/>
      <c r="M478" s="3191">
        <f t="shared" si="90"/>
        <v>1</v>
      </c>
      <c r="N478" s="3547"/>
      <c r="O478" s="3191">
        <f t="shared" si="91"/>
        <v>1</v>
      </c>
      <c r="P478" s="3547"/>
      <c r="Q478" s="3191">
        <f t="shared" si="92"/>
        <v>1</v>
      </c>
      <c r="R478" s="2911">
        <f t="shared" si="93"/>
        <v>0</v>
      </c>
      <c r="S478" s="2965">
        <f t="shared" si="84"/>
        <v>0</v>
      </c>
    </row>
    <row r="479" spans="1:19">
      <c r="A479" s="3193"/>
      <c r="B479" s="3545"/>
      <c r="C479" s="3191">
        <f t="shared" si="85"/>
        <v>1</v>
      </c>
      <c r="D479" s="3547"/>
      <c r="E479" s="3191">
        <f t="shared" si="86"/>
        <v>0</v>
      </c>
      <c r="F479" s="3547"/>
      <c r="G479" s="3191">
        <f t="shared" si="87"/>
        <v>1</v>
      </c>
      <c r="H479" s="3547"/>
      <c r="I479" s="3191">
        <f t="shared" si="88"/>
        <v>1</v>
      </c>
      <c r="J479" s="3547"/>
      <c r="K479" s="3191">
        <f t="shared" si="89"/>
        <v>1</v>
      </c>
      <c r="L479" s="3547"/>
      <c r="M479" s="3191">
        <f t="shared" si="90"/>
        <v>1</v>
      </c>
      <c r="N479" s="3547"/>
      <c r="O479" s="3191">
        <f t="shared" si="91"/>
        <v>1</v>
      </c>
      <c r="P479" s="3547"/>
      <c r="Q479" s="3191">
        <f t="shared" si="92"/>
        <v>1</v>
      </c>
      <c r="R479" s="2911">
        <f t="shared" si="93"/>
        <v>0</v>
      </c>
      <c r="S479" s="2965">
        <f t="shared" si="84"/>
        <v>0</v>
      </c>
    </row>
    <row r="480" spans="1:19">
      <c r="A480" s="3193"/>
      <c r="B480" s="3545"/>
      <c r="C480" s="3191">
        <f t="shared" si="85"/>
        <v>1</v>
      </c>
      <c r="D480" s="3547"/>
      <c r="E480" s="3191">
        <f t="shared" si="86"/>
        <v>0</v>
      </c>
      <c r="F480" s="3547"/>
      <c r="G480" s="3191">
        <f t="shared" si="87"/>
        <v>1</v>
      </c>
      <c r="H480" s="3547"/>
      <c r="I480" s="3191">
        <f t="shared" si="88"/>
        <v>1</v>
      </c>
      <c r="J480" s="3547"/>
      <c r="K480" s="3191">
        <f t="shared" si="89"/>
        <v>1</v>
      </c>
      <c r="L480" s="3547"/>
      <c r="M480" s="3191">
        <f t="shared" si="90"/>
        <v>1</v>
      </c>
      <c r="N480" s="3547"/>
      <c r="O480" s="3191">
        <f t="shared" si="91"/>
        <v>1</v>
      </c>
      <c r="P480" s="3547"/>
      <c r="Q480" s="3191">
        <f t="shared" si="92"/>
        <v>1</v>
      </c>
      <c r="R480" s="2911">
        <f t="shared" si="93"/>
        <v>0</v>
      </c>
      <c r="S480" s="2965">
        <f t="shared" si="84"/>
        <v>0</v>
      </c>
    </row>
    <row r="481" spans="1:19">
      <c r="A481" s="3193"/>
      <c r="B481" s="3545"/>
      <c r="C481" s="3191">
        <f t="shared" si="85"/>
        <v>1</v>
      </c>
      <c r="D481" s="3547"/>
      <c r="E481" s="3191">
        <f t="shared" si="86"/>
        <v>0</v>
      </c>
      <c r="F481" s="3547"/>
      <c r="G481" s="3191">
        <f t="shared" si="87"/>
        <v>1</v>
      </c>
      <c r="H481" s="3547"/>
      <c r="I481" s="3191">
        <f t="shared" si="88"/>
        <v>1</v>
      </c>
      <c r="J481" s="3547"/>
      <c r="K481" s="3191">
        <f t="shared" si="89"/>
        <v>1</v>
      </c>
      <c r="L481" s="3547"/>
      <c r="M481" s="3191">
        <f t="shared" si="90"/>
        <v>1</v>
      </c>
      <c r="N481" s="3547"/>
      <c r="O481" s="3191">
        <f t="shared" si="91"/>
        <v>1</v>
      </c>
      <c r="P481" s="3547"/>
      <c r="Q481" s="3191">
        <f t="shared" si="92"/>
        <v>1</v>
      </c>
      <c r="R481" s="2911">
        <f t="shared" si="93"/>
        <v>0</v>
      </c>
      <c r="S481" s="2965">
        <f t="shared" si="84"/>
        <v>0</v>
      </c>
    </row>
    <row r="482" spans="1:19">
      <c r="A482" s="3193"/>
      <c r="B482" s="3545"/>
      <c r="C482" s="3191">
        <f t="shared" si="85"/>
        <v>1</v>
      </c>
      <c r="D482" s="3547"/>
      <c r="E482" s="3191">
        <f t="shared" si="86"/>
        <v>0</v>
      </c>
      <c r="F482" s="3547"/>
      <c r="G482" s="3191">
        <f t="shared" si="87"/>
        <v>1</v>
      </c>
      <c r="H482" s="3547"/>
      <c r="I482" s="3191">
        <f t="shared" si="88"/>
        <v>1</v>
      </c>
      <c r="J482" s="3547"/>
      <c r="K482" s="3191">
        <f t="shared" si="89"/>
        <v>1</v>
      </c>
      <c r="L482" s="3547"/>
      <c r="M482" s="3191">
        <f t="shared" si="90"/>
        <v>1</v>
      </c>
      <c r="N482" s="3547"/>
      <c r="O482" s="3191">
        <f t="shared" si="91"/>
        <v>1</v>
      </c>
      <c r="P482" s="3547"/>
      <c r="Q482" s="3191">
        <f t="shared" si="92"/>
        <v>1</v>
      </c>
      <c r="R482" s="2911">
        <f t="shared" si="93"/>
        <v>0</v>
      </c>
      <c r="S482" s="2965">
        <f t="shared" si="84"/>
        <v>0</v>
      </c>
    </row>
    <row r="483" spans="1:19">
      <c r="A483" s="3193"/>
      <c r="B483" s="3545"/>
      <c r="C483" s="3191">
        <f t="shared" si="85"/>
        <v>1</v>
      </c>
      <c r="D483" s="3547"/>
      <c r="E483" s="3191">
        <f t="shared" si="86"/>
        <v>0</v>
      </c>
      <c r="F483" s="3547"/>
      <c r="G483" s="3191">
        <f t="shared" si="87"/>
        <v>1</v>
      </c>
      <c r="H483" s="3547"/>
      <c r="I483" s="3191">
        <f t="shared" si="88"/>
        <v>1</v>
      </c>
      <c r="J483" s="3547"/>
      <c r="K483" s="3191">
        <f t="shared" si="89"/>
        <v>1</v>
      </c>
      <c r="L483" s="3547"/>
      <c r="M483" s="3191">
        <f t="shared" si="90"/>
        <v>1</v>
      </c>
      <c r="N483" s="3547"/>
      <c r="O483" s="3191">
        <f t="shared" si="91"/>
        <v>1</v>
      </c>
      <c r="P483" s="3547"/>
      <c r="Q483" s="3191">
        <f t="shared" si="92"/>
        <v>1</v>
      </c>
      <c r="R483" s="2911">
        <f t="shared" si="93"/>
        <v>0</v>
      </c>
      <c r="S483" s="2965">
        <f t="shared" si="84"/>
        <v>0</v>
      </c>
    </row>
    <row r="484" spans="1:19">
      <c r="A484" s="3193"/>
      <c r="B484" s="3545"/>
      <c r="C484" s="3191">
        <f t="shared" si="85"/>
        <v>1</v>
      </c>
      <c r="D484" s="3547"/>
      <c r="E484" s="3191">
        <f t="shared" si="86"/>
        <v>0</v>
      </c>
      <c r="F484" s="3547"/>
      <c r="G484" s="3191">
        <f t="shared" si="87"/>
        <v>1</v>
      </c>
      <c r="H484" s="3547"/>
      <c r="I484" s="3191">
        <f t="shared" si="88"/>
        <v>1</v>
      </c>
      <c r="J484" s="3547"/>
      <c r="K484" s="3191">
        <f t="shared" si="89"/>
        <v>1</v>
      </c>
      <c r="L484" s="3547"/>
      <c r="M484" s="3191">
        <f t="shared" si="90"/>
        <v>1</v>
      </c>
      <c r="N484" s="3547"/>
      <c r="O484" s="3191">
        <f t="shared" si="91"/>
        <v>1</v>
      </c>
      <c r="P484" s="3547"/>
      <c r="Q484" s="3191">
        <f t="shared" si="92"/>
        <v>1</v>
      </c>
      <c r="R484" s="2911">
        <f t="shared" si="93"/>
        <v>0</v>
      </c>
      <c r="S484" s="2965">
        <f t="shared" si="84"/>
        <v>0</v>
      </c>
    </row>
    <row r="485" spans="1:19">
      <c r="A485" s="3193"/>
      <c r="B485" s="3545"/>
      <c r="C485" s="3191">
        <f t="shared" si="85"/>
        <v>1</v>
      </c>
      <c r="D485" s="3547"/>
      <c r="E485" s="3191">
        <f t="shared" si="86"/>
        <v>0</v>
      </c>
      <c r="F485" s="3547"/>
      <c r="G485" s="3191">
        <f t="shared" si="87"/>
        <v>1</v>
      </c>
      <c r="H485" s="3547"/>
      <c r="I485" s="3191">
        <f t="shared" si="88"/>
        <v>1</v>
      </c>
      <c r="J485" s="3547"/>
      <c r="K485" s="3191">
        <f t="shared" si="89"/>
        <v>1</v>
      </c>
      <c r="L485" s="3547"/>
      <c r="M485" s="3191">
        <f t="shared" si="90"/>
        <v>1</v>
      </c>
      <c r="N485" s="3547"/>
      <c r="O485" s="3191">
        <f t="shared" si="91"/>
        <v>1</v>
      </c>
      <c r="P485" s="3547"/>
      <c r="Q485" s="3191">
        <f t="shared" si="92"/>
        <v>1</v>
      </c>
      <c r="R485" s="2911">
        <f t="shared" si="93"/>
        <v>0</v>
      </c>
      <c r="S485" s="2965">
        <f t="shared" si="84"/>
        <v>0</v>
      </c>
    </row>
    <row r="486" spans="1:19">
      <c r="A486" s="3193"/>
      <c r="B486" s="3545"/>
      <c r="C486" s="3191">
        <f t="shared" si="85"/>
        <v>1</v>
      </c>
      <c r="D486" s="3547"/>
      <c r="E486" s="3191">
        <f t="shared" si="86"/>
        <v>0</v>
      </c>
      <c r="F486" s="3547"/>
      <c r="G486" s="3191">
        <f t="shared" si="87"/>
        <v>1</v>
      </c>
      <c r="H486" s="3547"/>
      <c r="I486" s="3191">
        <f t="shared" si="88"/>
        <v>1</v>
      </c>
      <c r="J486" s="3547"/>
      <c r="K486" s="3191">
        <f t="shared" si="89"/>
        <v>1</v>
      </c>
      <c r="L486" s="3547"/>
      <c r="M486" s="3191">
        <f t="shared" si="90"/>
        <v>1</v>
      </c>
      <c r="N486" s="3547"/>
      <c r="O486" s="3191">
        <f t="shared" si="91"/>
        <v>1</v>
      </c>
      <c r="P486" s="3547"/>
      <c r="Q486" s="3191">
        <f t="shared" si="92"/>
        <v>1</v>
      </c>
      <c r="R486" s="2911">
        <f t="shared" si="93"/>
        <v>0</v>
      </c>
      <c r="S486" s="2965">
        <f t="shared" si="84"/>
        <v>0</v>
      </c>
    </row>
    <row r="487" spans="1:19">
      <c r="A487" s="3193"/>
      <c r="B487" s="3545"/>
      <c r="C487" s="3191">
        <f t="shared" si="85"/>
        <v>1</v>
      </c>
      <c r="D487" s="3547"/>
      <c r="E487" s="3191">
        <f t="shared" si="86"/>
        <v>0</v>
      </c>
      <c r="F487" s="3547"/>
      <c r="G487" s="3191">
        <f t="shared" si="87"/>
        <v>1</v>
      </c>
      <c r="H487" s="3547"/>
      <c r="I487" s="3191">
        <f t="shared" si="88"/>
        <v>1</v>
      </c>
      <c r="J487" s="3547"/>
      <c r="K487" s="3191">
        <f t="shared" si="89"/>
        <v>1</v>
      </c>
      <c r="L487" s="3547"/>
      <c r="M487" s="3191">
        <f t="shared" si="90"/>
        <v>1</v>
      </c>
      <c r="N487" s="3547"/>
      <c r="O487" s="3191">
        <f t="shared" si="91"/>
        <v>1</v>
      </c>
      <c r="P487" s="3547"/>
      <c r="Q487" s="3191">
        <f t="shared" si="92"/>
        <v>1</v>
      </c>
      <c r="R487" s="2911">
        <f t="shared" si="93"/>
        <v>0</v>
      </c>
      <c r="S487" s="2965">
        <f t="shared" si="84"/>
        <v>0</v>
      </c>
    </row>
    <row r="488" spans="1:19">
      <c r="A488" s="3193"/>
      <c r="B488" s="3545"/>
      <c r="C488" s="3191">
        <f t="shared" si="85"/>
        <v>1</v>
      </c>
      <c r="D488" s="3547"/>
      <c r="E488" s="3191">
        <f t="shared" si="86"/>
        <v>0</v>
      </c>
      <c r="F488" s="3547"/>
      <c r="G488" s="3191">
        <f t="shared" si="87"/>
        <v>1</v>
      </c>
      <c r="H488" s="3547"/>
      <c r="I488" s="3191">
        <f t="shared" si="88"/>
        <v>1</v>
      </c>
      <c r="J488" s="3547"/>
      <c r="K488" s="3191">
        <f t="shared" si="89"/>
        <v>1</v>
      </c>
      <c r="L488" s="3547"/>
      <c r="M488" s="3191">
        <f t="shared" si="90"/>
        <v>1</v>
      </c>
      <c r="N488" s="3547"/>
      <c r="O488" s="3191">
        <f t="shared" si="91"/>
        <v>1</v>
      </c>
      <c r="P488" s="3547"/>
      <c r="Q488" s="3191">
        <f t="shared" si="92"/>
        <v>1</v>
      </c>
      <c r="R488" s="2911">
        <f t="shared" si="93"/>
        <v>0</v>
      </c>
      <c r="S488" s="2965">
        <f t="shared" si="84"/>
        <v>0</v>
      </c>
    </row>
    <row r="489" spans="1:19">
      <c r="A489" s="3193"/>
      <c r="B489" s="3545"/>
      <c r="C489" s="3191">
        <f t="shared" si="85"/>
        <v>1</v>
      </c>
      <c r="D489" s="3547"/>
      <c r="E489" s="3191">
        <f t="shared" si="86"/>
        <v>0</v>
      </c>
      <c r="F489" s="3547"/>
      <c r="G489" s="3191">
        <f t="shared" si="87"/>
        <v>1</v>
      </c>
      <c r="H489" s="3547"/>
      <c r="I489" s="3191">
        <f t="shared" si="88"/>
        <v>1</v>
      </c>
      <c r="J489" s="3547"/>
      <c r="K489" s="3191">
        <f t="shared" si="89"/>
        <v>1</v>
      </c>
      <c r="L489" s="3547"/>
      <c r="M489" s="3191">
        <f t="shared" si="90"/>
        <v>1</v>
      </c>
      <c r="N489" s="3547"/>
      <c r="O489" s="3191">
        <f t="shared" si="91"/>
        <v>1</v>
      </c>
      <c r="P489" s="3547"/>
      <c r="Q489" s="3191">
        <f t="shared" si="92"/>
        <v>1</v>
      </c>
      <c r="R489" s="2911">
        <f t="shared" si="93"/>
        <v>0</v>
      </c>
      <c r="S489" s="2965">
        <f t="shared" si="84"/>
        <v>0</v>
      </c>
    </row>
    <row r="490" spans="1:19">
      <c r="A490" s="3193"/>
      <c r="B490" s="3545"/>
      <c r="C490" s="3191">
        <f t="shared" si="85"/>
        <v>1</v>
      </c>
      <c r="D490" s="3547"/>
      <c r="E490" s="3191">
        <f t="shared" si="86"/>
        <v>0</v>
      </c>
      <c r="F490" s="3547"/>
      <c r="G490" s="3191">
        <f t="shared" si="87"/>
        <v>1</v>
      </c>
      <c r="H490" s="3547"/>
      <c r="I490" s="3191">
        <f t="shared" si="88"/>
        <v>1</v>
      </c>
      <c r="J490" s="3547"/>
      <c r="K490" s="3191">
        <f t="shared" si="89"/>
        <v>1</v>
      </c>
      <c r="L490" s="3547"/>
      <c r="M490" s="3191">
        <f t="shared" si="90"/>
        <v>1</v>
      </c>
      <c r="N490" s="3547"/>
      <c r="O490" s="3191">
        <f t="shared" si="91"/>
        <v>1</v>
      </c>
      <c r="P490" s="3547"/>
      <c r="Q490" s="3191">
        <f t="shared" si="92"/>
        <v>1</v>
      </c>
      <c r="R490" s="2911">
        <f t="shared" si="93"/>
        <v>0</v>
      </c>
      <c r="S490" s="2965">
        <f t="shared" si="84"/>
        <v>0</v>
      </c>
    </row>
    <row r="491" spans="1:19">
      <c r="A491" s="3193"/>
      <c r="B491" s="3545"/>
      <c r="C491" s="3191">
        <f t="shared" si="85"/>
        <v>1</v>
      </c>
      <c r="D491" s="3547"/>
      <c r="E491" s="3191">
        <f t="shared" si="86"/>
        <v>0</v>
      </c>
      <c r="F491" s="3547"/>
      <c r="G491" s="3191">
        <f t="shared" si="87"/>
        <v>1</v>
      </c>
      <c r="H491" s="3547"/>
      <c r="I491" s="3191">
        <f t="shared" si="88"/>
        <v>1</v>
      </c>
      <c r="J491" s="3547"/>
      <c r="K491" s="3191">
        <f t="shared" si="89"/>
        <v>1</v>
      </c>
      <c r="L491" s="3547"/>
      <c r="M491" s="3191">
        <f t="shared" si="90"/>
        <v>1</v>
      </c>
      <c r="N491" s="3547"/>
      <c r="O491" s="3191">
        <f t="shared" si="91"/>
        <v>1</v>
      </c>
      <c r="P491" s="3547"/>
      <c r="Q491" s="3191">
        <f t="shared" si="92"/>
        <v>1</v>
      </c>
      <c r="R491" s="2911">
        <f t="shared" si="93"/>
        <v>0</v>
      </c>
      <c r="S491" s="2965">
        <f t="shared" si="84"/>
        <v>0</v>
      </c>
    </row>
    <row r="492" spans="1:19">
      <c r="A492" s="3193"/>
      <c r="B492" s="3545"/>
      <c r="C492" s="3191">
        <f t="shared" si="85"/>
        <v>1</v>
      </c>
      <c r="D492" s="3547"/>
      <c r="E492" s="3191">
        <f t="shared" si="86"/>
        <v>0</v>
      </c>
      <c r="F492" s="3547"/>
      <c r="G492" s="3191">
        <f t="shared" si="87"/>
        <v>1</v>
      </c>
      <c r="H492" s="3547"/>
      <c r="I492" s="3191">
        <f t="shared" si="88"/>
        <v>1</v>
      </c>
      <c r="J492" s="3547"/>
      <c r="K492" s="3191">
        <f t="shared" si="89"/>
        <v>1</v>
      </c>
      <c r="L492" s="3547"/>
      <c r="M492" s="3191">
        <f t="shared" si="90"/>
        <v>1</v>
      </c>
      <c r="N492" s="3547"/>
      <c r="O492" s="3191">
        <f t="shared" si="91"/>
        <v>1</v>
      </c>
      <c r="P492" s="3547"/>
      <c r="Q492" s="3191">
        <f t="shared" si="92"/>
        <v>1</v>
      </c>
      <c r="R492" s="2911">
        <f t="shared" si="93"/>
        <v>0</v>
      </c>
      <c r="S492" s="2965">
        <f t="shared" si="84"/>
        <v>0</v>
      </c>
    </row>
    <row r="493" spans="1:19">
      <c r="A493" s="3193"/>
      <c r="B493" s="3545"/>
      <c r="C493" s="3191">
        <f t="shared" si="85"/>
        <v>1</v>
      </c>
      <c r="D493" s="3547"/>
      <c r="E493" s="3191">
        <f t="shared" si="86"/>
        <v>0</v>
      </c>
      <c r="F493" s="3547"/>
      <c r="G493" s="3191">
        <f t="shared" si="87"/>
        <v>1</v>
      </c>
      <c r="H493" s="3547"/>
      <c r="I493" s="3191">
        <f t="shared" si="88"/>
        <v>1</v>
      </c>
      <c r="J493" s="3547"/>
      <c r="K493" s="3191">
        <f t="shared" si="89"/>
        <v>1</v>
      </c>
      <c r="L493" s="3547"/>
      <c r="M493" s="3191">
        <f t="shared" si="90"/>
        <v>1</v>
      </c>
      <c r="N493" s="3547"/>
      <c r="O493" s="3191">
        <f t="shared" si="91"/>
        <v>1</v>
      </c>
      <c r="P493" s="3547"/>
      <c r="Q493" s="3191">
        <f t="shared" si="92"/>
        <v>1</v>
      </c>
      <c r="R493" s="2911">
        <f t="shared" si="93"/>
        <v>0</v>
      </c>
      <c r="S493" s="2965">
        <f t="shared" si="84"/>
        <v>0</v>
      </c>
    </row>
    <row r="494" spans="1:19">
      <c r="A494" s="3193"/>
      <c r="B494" s="3545"/>
      <c r="C494" s="3191">
        <f t="shared" si="85"/>
        <v>1</v>
      </c>
      <c r="D494" s="3547"/>
      <c r="E494" s="3191">
        <f t="shared" si="86"/>
        <v>0</v>
      </c>
      <c r="F494" s="3547"/>
      <c r="G494" s="3191">
        <f t="shared" si="87"/>
        <v>1</v>
      </c>
      <c r="H494" s="3547"/>
      <c r="I494" s="3191">
        <f t="shared" si="88"/>
        <v>1</v>
      </c>
      <c r="J494" s="3547"/>
      <c r="K494" s="3191">
        <f t="shared" si="89"/>
        <v>1</v>
      </c>
      <c r="L494" s="3547"/>
      <c r="M494" s="3191">
        <f t="shared" si="90"/>
        <v>1</v>
      </c>
      <c r="N494" s="3547"/>
      <c r="O494" s="3191">
        <f t="shared" si="91"/>
        <v>1</v>
      </c>
      <c r="P494" s="3547"/>
      <c r="Q494" s="3191">
        <f t="shared" si="92"/>
        <v>1</v>
      </c>
      <c r="R494" s="2911">
        <f t="shared" si="93"/>
        <v>0</v>
      </c>
      <c r="S494" s="2965">
        <f t="shared" si="84"/>
        <v>0</v>
      </c>
    </row>
    <row r="495" spans="1:19">
      <c r="A495" s="3193"/>
      <c r="B495" s="3545"/>
      <c r="C495" s="3191">
        <f t="shared" si="85"/>
        <v>1</v>
      </c>
      <c r="D495" s="3547"/>
      <c r="E495" s="3191">
        <f t="shared" si="86"/>
        <v>0</v>
      </c>
      <c r="F495" s="3547"/>
      <c r="G495" s="3191">
        <f t="shared" si="87"/>
        <v>1</v>
      </c>
      <c r="H495" s="3547"/>
      <c r="I495" s="3191">
        <f t="shared" si="88"/>
        <v>1</v>
      </c>
      <c r="J495" s="3547"/>
      <c r="K495" s="3191">
        <f t="shared" si="89"/>
        <v>1</v>
      </c>
      <c r="L495" s="3547"/>
      <c r="M495" s="3191">
        <f t="shared" si="90"/>
        <v>1</v>
      </c>
      <c r="N495" s="3547"/>
      <c r="O495" s="3191">
        <f t="shared" si="91"/>
        <v>1</v>
      </c>
      <c r="P495" s="3547"/>
      <c r="Q495" s="3191">
        <f t="shared" si="92"/>
        <v>1</v>
      </c>
      <c r="R495" s="2911">
        <f t="shared" si="93"/>
        <v>0</v>
      </c>
      <c r="S495" s="2965">
        <f t="shared" si="84"/>
        <v>0</v>
      </c>
    </row>
    <row r="496" spans="1:19">
      <c r="A496" s="3193"/>
      <c r="B496" s="3545"/>
      <c r="C496" s="3191">
        <f t="shared" si="85"/>
        <v>1</v>
      </c>
      <c r="D496" s="3547"/>
      <c r="E496" s="3191">
        <f t="shared" si="86"/>
        <v>0</v>
      </c>
      <c r="F496" s="3547"/>
      <c r="G496" s="3191">
        <f t="shared" si="87"/>
        <v>1</v>
      </c>
      <c r="H496" s="3547"/>
      <c r="I496" s="3191">
        <f t="shared" si="88"/>
        <v>1</v>
      </c>
      <c r="J496" s="3547"/>
      <c r="K496" s="3191">
        <f t="shared" si="89"/>
        <v>1</v>
      </c>
      <c r="L496" s="3547"/>
      <c r="M496" s="3191">
        <f t="shared" si="90"/>
        <v>1</v>
      </c>
      <c r="N496" s="3547"/>
      <c r="O496" s="3191">
        <f t="shared" si="91"/>
        <v>1</v>
      </c>
      <c r="P496" s="3547"/>
      <c r="Q496" s="3191">
        <f t="shared" si="92"/>
        <v>1</v>
      </c>
      <c r="R496" s="2911">
        <f t="shared" si="93"/>
        <v>0</v>
      </c>
      <c r="S496" s="2965">
        <f t="shared" si="84"/>
        <v>0</v>
      </c>
    </row>
    <row r="497" spans="1:19">
      <c r="A497" s="3193"/>
      <c r="B497" s="3545"/>
      <c r="C497" s="3191">
        <f t="shared" si="85"/>
        <v>1</v>
      </c>
      <c r="D497" s="3547"/>
      <c r="E497" s="3191">
        <f t="shared" si="86"/>
        <v>0</v>
      </c>
      <c r="F497" s="3547"/>
      <c r="G497" s="3191">
        <f t="shared" si="87"/>
        <v>1</v>
      </c>
      <c r="H497" s="3547"/>
      <c r="I497" s="3191">
        <f t="shared" si="88"/>
        <v>1</v>
      </c>
      <c r="J497" s="3547"/>
      <c r="K497" s="3191">
        <f t="shared" si="89"/>
        <v>1</v>
      </c>
      <c r="L497" s="3547"/>
      <c r="M497" s="3191">
        <f t="shared" si="90"/>
        <v>1</v>
      </c>
      <c r="N497" s="3547"/>
      <c r="O497" s="3191">
        <f t="shared" si="91"/>
        <v>1</v>
      </c>
      <c r="P497" s="3547"/>
      <c r="Q497" s="3191">
        <f t="shared" si="92"/>
        <v>1</v>
      </c>
      <c r="R497" s="2911">
        <f t="shared" si="93"/>
        <v>0</v>
      </c>
      <c r="S497" s="2965">
        <f t="shared" si="84"/>
        <v>0</v>
      </c>
    </row>
    <row r="498" spans="1:19">
      <c r="A498" s="3193"/>
      <c r="B498" s="3545"/>
      <c r="C498" s="3191">
        <f t="shared" si="85"/>
        <v>1</v>
      </c>
      <c r="D498" s="3547"/>
      <c r="E498" s="3191">
        <f t="shared" si="86"/>
        <v>0</v>
      </c>
      <c r="F498" s="3547"/>
      <c r="G498" s="3191">
        <f t="shared" si="87"/>
        <v>1</v>
      </c>
      <c r="H498" s="3547"/>
      <c r="I498" s="3191">
        <f t="shared" si="88"/>
        <v>1</v>
      </c>
      <c r="J498" s="3547"/>
      <c r="K498" s="3191">
        <f t="shared" si="89"/>
        <v>1</v>
      </c>
      <c r="L498" s="3547"/>
      <c r="M498" s="3191">
        <f t="shared" si="90"/>
        <v>1</v>
      </c>
      <c r="N498" s="3547"/>
      <c r="O498" s="3191">
        <f t="shared" si="91"/>
        <v>1</v>
      </c>
      <c r="P498" s="3547"/>
      <c r="Q498" s="3191">
        <f t="shared" si="92"/>
        <v>1</v>
      </c>
      <c r="R498" s="2911">
        <f t="shared" si="93"/>
        <v>0</v>
      </c>
      <c r="S498" s="2965">
        <f t="shared" ref="S498:S524" si="94">ROUND(R498*B498/10000,0)</f>
        <v>0</v>
      </c>
    </row>
    <row r="499" spans="1:19">
      <c r="A499" s="3193"/>
      <c r="B499" s="3545"/>
      <c r="C499" s="3191">
        <f t="shared" si="85"/>
        <v>1</v>
      </c>
      <c r="D499" s="3547"/>
      <c r="E499" s="3191">
        <f t="shared" si="86"/>
        <v>0</v>
      </c>
      <c r="F499" s="3547"/>
      <c r="G499" s="3191">
        <f t="shared" si="87"/>
        <v>1</v>
      </c>
      <c r="H499" s="3547"/>
      <c r="I499" s="3191">
        <f t="shared" si="88"/>
        <v>1</v>
      </c>
      <c r="J499" s="3547"/>
      <c r="K499" s="3191">
        <f t="shared" si="89"/>
        <v>1</v>
      </c>
      <c r="L499" s="3547"/>
      <c r="M499" s="3191">
        <f t="shared" si="90"/>
        <v>1</v>
      </c>
      <c r="N499" s="3547"/>
      <c r="O499" s="3191">
        <f t="shared" si="91"/>
        <v>1</v>
      </c>
      <c r="P499" s="3547"/>
      <c r="Q499" s="3191">
        <f t="shared" si="92"/>
        <v>1</v>
      </c>
      <c r="R499" s="2911">
        <f t="shared" si="93"/>
        <v>0</v>
      </c>
      <c r="S499" s="2965">
        <f t="shared" si="94"/>
        <v>0</v>
      </c>
    </row>
    <row r="500" spans="1:19">
      <c r="A500" s="3193"/>
      <c r="B500" s="3545"/>
      <c r="C500" s="3191">
        <f t="shared" si="85"/>
        <v>1</v>
      </c>
      <c r="D500" s="3547"/>
      <c r="E500" s="3191">
        <f t="shared" si="86"/>
        <v>0</v>
      </c>
      <c r="F500" s="3547"/>
      <c r="G500" s="3191">
        <f t="shared" si="87"/>
        <v>1</v>
      </c>
      <c r="H500" s="3547"/>
      <c r="I500" s="3191">
        <f t="shared" si="88"/>
        <v>1</v>
      </c>
      <c r="J500" s="3547"/>
      <c r="K500" s="3191">
        <f t="shared" si="89"/>
        <v>1</v>
      </c>
      <c r="L500" s="3547"/>
      <c r="M500" s="3191">
        <f t="shared" si="90"/>
        <v>1</v>
      </c>
      <c r="N500" s="3547"/>
      <c r="O500" s="3191">
        <f t="shared" si="91"/>
        <v>1</v>
      </c>
      <c r="P500" s="3547"/>
      <c r="Q500" s="3191">
        <f t="shared" si="92"/>
        <v>1</v>
      </c>
      <c r="R500" s="2911">
        <f t="shared" si="93"/>
        <v>0</v>
      </c>
      <c r="S500" s="2965">
        <f t="shared" si="94"/>
        <v>0</v>
      </c>
    </row>
    <row r="501" spans="1:19">
      <c r="A501" s="3193"/>
      <c r="B501" s="3545"/>
      <c r="C501" s="3191">
        <f t="shared" si="85"/>
        <v>1</v>
      </c>
      <c r="D501" s="3547"/>
      <c r="E501" s="3191">
        <f t="shared" si="86"/>
        <v>0</v>
      </c>
      <c r="F501" s="3547"/>
      <c r="G501" s="3191">
        <f t="shared" si="87"/>
        <v>1</v>
      </c>
      <c r="H501" s="3547"/>
      <c r="I501" s="3191">
        <f t="shared" si="88"/>
        <v>1</v>
      </c>
      <c r="J501" s="3547"/>
      <c r="K501" s="3191">
        <f t="shared" si="89"/>
        <v>1</v>
      </c>
      <c r="L501" s="3547"/>
      <c r="M501" s="3191">
        <f t="shared" si="90"/>
        <v>1</v>
      </c>
      <c r="N501" s="3547"/>
      <c r="O501" s="3191">
        <f t="shared" si="91"/>
        <v>1</v>
      </c>
      <c r="P501" s="3547"/>
      <c r="Q501" s="3191">
        <f t="shared" si="92"/>
        <v>1</v>
      </c>
      <c r="R501" s="2911">
        <f t="shared" si="93"/>
        <v>0</v>
      </c>
      <c r="S501" s="2965">
        <f t="shared" si="94"/>
        <v>0</v>
      </c>
    </row>
    <row r="502" spans="1:19">
      <c r="A502" s="3193"/>
      <c r="B502" s="3545"/>
      <c r="C502" s="3191">
        <f t="shared" si="85"/>
        <v>1</v>
      </c>
      <c r="D502" s="3547"/>
      <c r="E502" s="3191">
        <f t="shared" si="86"/>
        <v>0</v>
      </c>
      <c r="F502" s="3547"/>
      <c r="G502" s="3191">
        <f t="shared" si="87"/>
        <v>1</v>
      </c>
      <c r="H502" s="3547"/>
      <c r="I502" s="3191">
        <f t="shared" si="88"/>
        <v>1</v>
      </c>
      <c r="J502" s="3547"/>
      <c r="K502" s="3191">
        <f t="shared" si="89"/>
        <v>1</v>
      </c>
      <c r="L502" s="3547"/>
      <c r="M502" s="3191">
        <f t="shared" si="90"/>
        <v>1</v>
      </c>
      <c r="N502" s="3547"/>
      <c r="O502" s="3191">
        <f t="shared" si="91"/>
        <v>1</v>
      </c>
      <c r="P502" s="3547"/>
      <c r="Q502" s="3191">
        <f t="shared" si="92"/>
        <v>1</v>
      </c>
      <c r="R502" s="2911">
        <f t="shared" si="93"/>
        <v>0</v>
      </c>
      <c r="S502" s="2965">
        <f t="shared" si="94"/>
        <v>0</v>
      </c>
    </row>
    <row r="503" spans="1:19">
      <c r="A503" s="3193"/>
      <c r="B503" s="3545"/>
      <c r="C503" s="3191">
        <f t="shared" si="85"/>
        <v>1</v>
      </c>
      <c r="D503" s="3547"/>
      <c r="E503" s="3191">
        <f t="shared" si="86"/>
        <v>0</v>
      </c>
      <c r="F503" s="3547"/>
      <c r="G503" s="3191">
        <f t="shared" si="87"/>
        <v>1</v>
      </c>
      <c r="H503" s="3547"/>
      <c r="I503" s="3191">
        <f t="shared" si="88"/>
        <v>1</v>
      </c>
      <c r="J503" s="3547"/>
      <c r="K503" s="3191">
        <f t="shared" si="89"/>
        <v>1</v>
      </c>
      <c r="L503" s="3547"/>
      <c r="M503" s="3191">
        <f t="shared" si="90"/>
        <v>1</v>
      </c>
      <c r="N503" s="3547"/>
      <c r="O503" s="3191">
        <f t="shared" si="91"/>
        <v>1</v>
      </c>
      <c r="P503" s="3547"/>
      <c r="Q503" s="3191">
        <f t="shared" si="92"/>
        <v>1</v>
      </c>
      <c r="R503" s="2911">
        <f t="shared" si="93"/>
        <v>0</v>
      </c>
      <c r="S503" s="2965">
        <f t="shared" si="94"/>
        <v>0</v>
      </c>
    </row>
    <row r="504" spans="1:19">
      <c r="A504" s="3193"/>
      <c r="B504" s="3545"/>
      <c r="C504" s="3191">
        <f t="shared" si="85"/>
        <v>1</v>
      </c>
      <c r="D504" s="3547"/>
      <c r="E504" s="3191">
        <f t="shared" si="86"/>
        <v>0</v>
      </c>
      <c r="F504" s="3547"/>
      <c r="G504" s="3191">
        <f t="shared" si="87"/>
        <v>1</v>
      </c>
      <c r="H504" s="3547"/>
      <c r="I504" s="3191">
        <f t="shared" si="88"/>
        <v>1</v>
      </c>
      <c r="J504" s="3547"/>
      <c r="K504" s="3191">
        <f t="shared" si="89"/>
        <v>1</v>
      </c>
      <c r="L504" s="3547"/>
      <c r="M504" s="3191">
        <f t="shared" si="90"/>
        <v>1</v>
      </c>
      <c r="N504" s="3547"/>
      <c r="O504" s="3191">
        <f t="shared" si="91"/>
        <v>1</v>
      </c>
      <c r="P504" s="3547"/>
      <c r="Q504" s="3191">
        <f t="shared" si="92"/>
        <v>1</v>
      </c>
      <c r="R504" s="2911">
        <f t="shared" si="93"/>
        <v>0</v>
      </c>
      <c r="S504" s="2965">
        <f t="shared" si="94"/>
        <v>0</v>
      </c>
    </row>
    <row r="505" spans="1:19">
      <c r="A505" s="3193"/>
      <c r="B505" s="3545"/>
      <c r="C505" s="3191">
        <f t="shared" si="85"/>
        <v>1</v>
      </c>
      <c r="D505" s="3547"/>
      <c r="E505" s="3191">
        <f t="shared" si="86"/>
        <v>0</v>
      </c>
      <c r="F505" s="3547"/>
      <c r="G505" s="3191">
        <f t="shared" si="87"/>
        <v>1</v>
      </c>
      <c r="H505" s="3547"/>
      <c r="I505" s="3191">
        <f t="shared" si="88"/>
        <v>1</v>
      </c>
      <c r="J505" s="3547"/>
      <c r="K505" s="3191">
        <f t="shared" si="89"/>
        <v>1</v>
      </c>
      <c r="L505" s="3547"/>
      <c r="M505" s="3191">
        <f t="shared" si="90"/>
        <v>1</v>
      </c>
      <c r="N505" s="3547"/>
      <c r="O505" s="3191">
        <f t="shared" si="91"/>
        <v>1</v>
      </c>
      <c r="P505" s="3547"/>
      <c r="Q505" s="3191">
        <f t="shared" si="92"/>
        <v>1</v>
      </c>
      <c r="R505" s="2911">
        <f t="shared" si="93"/>
        <v>0</v>
      </c>
      <c r="S505" s="2965">
        <f t="shared" si="94"/>
        <v>0</v>
      </c>
    </row>
    <row r="506" spans="1:19">
      <c r="A506" s="3193"/>
      <c r="B506" s="3545"/>
      <c r="C506" s="3191">
        <f t="shared" si="85"/>
        <v>1</v>
      </c>
      <c r="D506" s="3547"/>
      <c r="E506" s="3191">
        <f t="shared" si="86"/>
        <v>0</v>
      </c>
      <c r="F506" s="3547"/>
      <c r="G506" s="3191">
        <f t="shared" si="87"/>
        <v>1</v>
      </c>
      <c r="H506" s="3547"/>
      <c r="I506" s="3191">
        <f t="shared" si="88"/>
        <v>1</v>
      </c>
      <c r="J506" s="3547"/>
      <c r="K506" s="3191">
        <f t="shared" si="89"/>
        <v>1</v>
      </c>
      <c r="L506" s="3547"/>
      <c r="M506" s="3191">
        <f t="shared" si="90"/>
        <v>1</v>
      </c>
      <c r="N506" s="3547"/>
      <c r="O506" s="3191">
        <f t="shared" si="91"/>
        <v>1</v>
      </c>
      <c r="P506" s="3547"/>
      <c r="Q506" s="3191">
        <f t="shared" si="92"/>
        <v>1</v>
      </c>
      <c r="R506" s="2911">
        <f t="shared" si="93"/>
        <v>0</v>
      </c>
      <c r="S506" s="2965">
        <f t="shared" si="94"/>
        <v>0</v>
      </c>
    </row>
    <row r="507" spans="1:19">
      <c r="A507" s="3193"/>
      <c r="B507" s="3545"/>
      <c r="C507" s="3191">
        <f t="shared" si="85"/>
        <v>1</v>
      </c>
      <c r="D507" s="3547"/>
      <c r="E507" s="3191">
        <f t="shared" si="86"/>
        <v>0</v>
      </c>
      <c r="F507" s="3547"/>
      <c r="G507" s="3191">
        <f t="shared" si="87"/>
        <v>1</v>
      </c>
      <c r="H507" s="3547"/>
      <c r="I507" s="3191">
        <f t="shared" si="88"/>
        <v>1</v>
      </c>
      <c r="J507" s="3547"/>
      <c r="K507" s="3191">
        <f t="shared" si="89"/>
        <v>1</v>
      </c>
      <c r="L507" s="3547"/>
      <c r="M507" s="3191">
        <f t="shared" si="90"/>
        <v>1</v>
      </c>
      <c r="N507" s="3547"/>
      <c r="O507" s="3191">
        <f t="shared" si="91"/>
        <v>1</v>
      </c>
      <c r="P507" s="3547"/>
      <c r="Q507" s="3191">
        <f t="shared" si="92"/>
        <v>1</v>
      </c>
      <c r="R507" s="2911">
        <f t="shared" si="93"/>
        <v>0</v>
      </c>
      <c r="S507" s="2965">
        <f t="shared" si="94"/>
        <v>0</v>
      </c>
    </row>
    <row r="508" spans="1:19">
      <c r="A508" s="3193"/>
      <c r="B508" s="3545"/>
      <c r="C508" s="3191">
        <f t="shared" si="85"/>
        <v>1</v>
      </c>
      <c r="D508" s="3547"/>
      <c r="E508" s="3191">
        <f t="shared" si="86"/>
        <v>0</v>
      </c>
      <c r="F508" s="3547"/>
      <c r="G508" s="3191">
        <f t="shared" si="87"/>
        <v>1</v>
      </c>
      <c r="H508" s="3547"/>
      <c r="I508" s="3191">
        <f t="shared" si="88"/>
        <v>1</v>
      </c>
      <c r="J508" s="3547"/>
      <c r="K508" s="3191">
        <f t="shared" si="89"/>
        <v>1</v>
      </c>
      <c r="L508" s="3547"/>
      <c r="M508" s="3191">
        <f t="shared" si="90"/>
        <v>1</v>
      </c>
      <c r="N508" s="3547"/>
      <c r="O508" s="3191">
        <f t="shared" si="91"/>
        <v>1</v>
      </c>
      <c r="P508" s="3547"/>
      <c r="Q508" s="3191">
        <f t="shared" si="92"/>
        <v>1</v>
      </c>
      <c r="R508" s="2911">
        <f t="shared" si="93"/>
        <v>0</v>
      </c>
      <c r="S508" s="2965">
        <f t="shared" si="94"/>
        <v>0</v>
      </c>
    </row>
    <row r="509" spans="1:19">
      <c r="A509" s="3193"/>
      <c r="B509" s="3545"/>
      <c r="C509" s="3191">
        <f t="shared" si="85"/>
        <v>1</v>
      </c>
      <c r="D509" s="3547"/>
      <c r="E509" s="3191">
        <f t="shared" si="86"/>
        <v>0</v>
      </c>
      <c r="F509" s="3547"/>
      <c r="G509" s="3191">
        <f t="shared" si="87"/>
        <v>1</v>
      </c>
      <c r="H509" s="3547"/>
      <c r="I509" s="3191">
        <f t="shared" si="88"/>
        <v>1</v>
      </c>
      <c r="J509" s="3547"/>
      <c r="K509" s="3191">
        <f t="shared" si="89"/>
        <v>1</v>
      </c>
      <c r="L509" s="3547"/>
      <c r="M509" s="3191">
        <f t="shared" si="90"/>
        <v>1</v>
      </c>
      <c r="N509" s="3547"/>
      <c r="O509" s="3191">
        <f t="shared" si="91"/>
        <v>1</v>
      </c>
      <c r="P509" s="3547"/>
      <c r="Q509" s="3191">
        <f t="shared" si="92"/>
        <v>1</v>
      </c>
      <c r="R509" s="2911">
        <f t="shared" si="93"/>
        <v>0</v>
      </c>
      <c r="S509" s="2965">
        <f t="shared" si="94"/>
        <v>0</v>
      </c>
    </row>
    <row r="510" spans="1:19">
      <c r="A510" s="3193"/>
      <c r="B510" s="3545"/>
      <c r="C510" s="3191">
        <f t="shared" si="85"/>
        <v>1</v>
      </c>
      <c r="D510" s="3547"/>
      <c r="E510" s="3191">
        <f t="shared" si="86"/>
        <v>0</v>
      </c>
      <c r="F510" s="3547"/>
      <c r="G510" s="3191">
        <f t="shared" si="87"/>
        <v>1</v>
      </c>
      <c r="H510" s="3547"/>
      <c r="I510" s="3191">
        <f t="shared" si="88"/>
        <v>1</v>
      </c>
      <c r="J510" s="3547"/>
      <c r="K510" s="3191">
        <f t="shared" si="89"/>
        <v>1</v>
      </c>
      <c r="L510" s="3547"/>
      <c r="M510" s="3191">
        <f t="shared" si="90"/>
        <v>1</v>
      </c>
      <c r="N510" s="3547"/>
      <c r="O510" s="3191">
        <f t="shared" si="91"/>
        <v>1</v>
      </c>
      <c r="P510" s="3547"/>
      <c r="Q510" s="3191">
        <f t="shared" si="92"/>
        <v>1</v>
      </c>
      <c r="R510" s="2911">
        <f t="shared" si="93"/>
        <v>0</v>
      </c>
      <c r="S510" s="2965">
        <f t="shared" si="94"/>
        <v>0</v>
      </c>
    </row>
    <row r="511" spans="1:19">
      <c r="A511" s="3193"/>
      <c r="B511" s="3545"/>
      <c r="C511" s="3191">
        <f t="shared" si="85"/>
        <v>1</v>
      </c>
      <c r="D511" s="3547"/>
      <c r="E511" s="3191">
        <f t="shared" si="86"/>
        <v>0</v>
      </c>
      <c r="F511" s="3547"/>
      <c r="G511" s="3191">
        <f t="shared" si="87"/>
        <v>1</v>
      </c>
      <c r="H511" s="3547"/>
      <c r="I511" s="3191">
        <f t="shared" si="88"/>
        <v>1</v>
      </c>
      <c r="J511" s="3547"/>
      <c r="K511" s="3191">
        <f t="shared" si="89"/>
        <v>1</v>
      </c>
      <c r="L511" s="3547"/>
      <c r="M511" s="3191">
        <f t="shared" si="90"/>
        <v>1</v>
      </c>
      <c r="N511" s="3547"/>
      <c r="O511" s="3191">
        <f t="shared" si="91"/>
        <v>1</v>
      </c>
      <c r="P511" s="3547"/>
      <c r="Q511" s="3191">
        <f t="shared" si="92"/>
        <v>1</v>
      </c>
      <c r="R511" s="2911">
        <f t="shared" si="93"/>
        <v>0</v>
      </c>
      <c r="S511" s="2965">
        <f t="shared" si="94"/>
        <v>0</v>
      </c>
    </row>
    <row r="512" spans="1:19">
      <c r="A512" s="3193"/>
      <c r="B512" s="3545"/>
      <c r="C512" s="3191">
        <f t="shared" si="85"/>
        <v>1</v>
      </c>
      <c r="D512" s="3547"/>
      <c r="E512" s="3191">
        <f t="shared" si="86"/>
        <v>0</v>
      </c>
      <c r="F512" s="3547"/>
      <c r="G512" s="3191">
        <f t="shared" si="87"/>
        <v>1</v>
      </c>
      <c r="H512" s="3547"/>
      <c r="I512" s="3191">
        <f t="shared" si="88"/>
        <v>1</v>
      </c>
      <c r="J512" s="3547"/>
      <c r="K512" s="3191">
        <f t="shared" si="89"/>
        <v>1</v>
      </c>
      <c r="L512" s="3547"/>
      <c r="M512" s="3191">
        <f t="shared" si="90"/>
        <v>1</v>
      </c>
      <c r="N512" s="3547"/>
      <c r="O512" s="3191">
        <f t="shared" si="91"/>
        <v>1</v>
      </c>
      <c r="P512" s="3547"/>
      <c r="Q512" s="3191">
        <f t="shared" si="92"/>
        <v>1</v>
      </c>
      <c r="R512" s="2911">
        <f t="shared" si="93"/>
        <v>0</v>
      </c>
      <c r="S512" s="2965">
        <f t="shared" si="94"/>
        <v>0</v>
      </c>
    </row>
    <row r="513" spans="1:19">
      <c r="A513" s="3193"/>
      <c r="B513" s="3545"/>
      <c r="C513" s="3191">
        <f t="shared" si="85"/>
        <v>1</v>
      </c>
      <c r="D513" s="3547"/>
      <c r="E513" s="3191">
        <f t="shared" si="86"/>
        <v>0</v>
      </c>
      <c r="F513" s="3547"/>
      <c r="G513" s="3191">
        <f t="shared" si="87"/>
        <v>1</v>
      </c>
      <c r="H513" s="3547"/>
      <c r="I513" s="3191">
        <f t="shared" si="88"/>
        <v>1</v>
      </c>
      <c r="J513" s="3547"/>
      <c r="K513" s="3191">
        <f t="shared" si="89"/>
        <v>1</v>
      </c>
      <c r="L513" s="3547"/>
      <c r="M513" s="3191">
        <f t="shared" si="90"/>
        <v>1</v>
      </c>
      <c r="N513" s="3547"/>
      <c r="O513" s="3191">
        <f t="shared" si="91"/>
        <v>1</v>
      </c>
      <c r="P513" s="3547"/>
      <c r="Q513" s="3191">
        <f t="shared" si="92"/>
        <v>1</v>
      </c>
      <c r="R513" s="2911">
        <f t="shared" si="93"/>
        <v>0</v>
      </c>
      <c r="S513" s="2965">
        <f t="shared" si="94"/>
        <v>0</v>
      </c>
    </row>
    <row r="514" spans="1:19">
      <c r="A514" s="3193"/>
      <c r="B514" s="3545"/>
      <c r="C514" s="3191">
        <f t="shared" si="85"/>
        <v>1</v>
      </c>
      <c r="D514" s="3547"/>
      <c r="E514" s="3191">
        <f t="shared" si="86"/>
        <v>0</v>
      </c>
      <c r="F514" s="3547"/>
      <c r="G514" s="3191">
        <f t="shared" si="87"/>
        <v>1</v>
      </c>
      <c r="H514" s="3547"/>
      <c r="I514" s="3191">
        <f t="shared" si="88"/>
        <v>1</v>
      </c>
      <c r="J514" s="3547"/>
      <c r="K514" s="3191">
        <f t="shared" si="89"/>
        <v>1</v>
      </c>
      <c r="L514" s="3547"/>
      <c r="M514" s="3191">
        <f t="shared" si="90"/>
        <v>1</v>
      </c>
      <c r="N514" s="3547"/>
      <c r="O514" s="3191">
        <f t="shared" si="91"/>
        <v>1</v>
      </c>
      <c r="P514" s="3547"/>
      <c r="Q514" s="3191">
        <f t="shared" si="92"/>
        <v>1</v>
      </c>
      <c r="R514" s="2911">
        <f t="shared" si="93"/>
        <v>0</v>
      </c>
      <c r="S514" s="2965">
        <f t="shared" si="94"/>
        <v>0</v>
      </c>
    </row>
    <row r="515" spans="1:19">
      <c r="A515" s="3193"/>
      <c r="B515" s="3545"/>
      <c r="C515" s="3191">
        <f t="shared" si="85"/>
        <v>1</v>
      </c>
      <c r="D515" s="3547"/>
      <c r="E515" s="3191">
        <f t="shared" si="86"/>
        <v>0</v>
      </c>
      <c r="F515" s="3547"/>
      <c r="G515" s="3191">
        <f t="shared" si="87"/>
        <v>1</v>
      </c>
      <c r="H515" s="3547"/>
      <c r="I515" s="3191">
        <f t="shared" si="88"/>
        <v>1</v>
      </c>
      <c r="J515" s="3547"/>
      <c r="K515" s="3191">
        <f t="shared" si="89"/>
        <v>1</v>
      </c>
      <c r="L515" s="3547"/>
      <c r="M515" s="3191">
        <f t="shared" si="90"/>
        <v>1</v>
      </c>
      <c r="N515" s="3547"/>
      <c r="O515" s="3191">
        <f t="shared" si="91"/>
        <v>1</v>
      </c>
      <c r="P515" s="3547"/>
      <c r="Q515" s="3191">
        <f t="shared" si="92"/>
        <v>1</v>
      </c>
      <c r="R515" s="2911">
        <f t="shared" si="93"/>
        <v>0</v>
      </c>
      <c r="S515" s="2965">
        <f t="shared" si="94"/>
        <v>0</v>
      </c>
    </row>
    <row r="516" spans="1:19">
      <c r="A516" s="3193"/>
      <c r="B516" s="3545"/>
      <c r="C516" s="3191">
        <f t="shared" si="85"/>
        <v>1</v>
      </c>
      <c r="D516" s="3547"/>
      <c r="E516" s="3191">
        <f t="shared" si="86"/>
        <v>0</v>
      </c>
      <c r="F516" s="3547"/>
      <c r="G516" s="3191">
        <f t="shared" si="87"/>
        <v>1</v>
      </c>
      <c r="H516" s="3547"/>
      <c r="I516" s="3191">
        <f t="shared" si="88"/>
        <v>1</v>
      </c>
      <c r="J516" s="3547"/>
      <c r="K516" s="3191">
        <f t="shared" si="89"/>
        <v>1</v>
      </c>
      <c r="L516" s="3547"/>
      <c r="M516" s="3191">
        <f t="shared" si="90"/>
        <v>1</v>
      </c>
      <c r="N516" s="3547"/>
      <c r="O516" s="3191">
        <f t="shared" si="91"/>
        <v>1</v>
      </c>
      <c r="P516" s="3547"/>
      <c r="Q516" s="3191">
        <f t="shared" si="92"/>
        <v>1</v>
      </c>
      <c r="R516" s="2911">
        <f t="shared" si="93"/>
        <v>0</v>
      </c>
      <c r="S516" s="2965">
        <f t="shared" si="94"/>
        <v>0</v>
      </c>
    </row>
    <row r="517" spans="1:19">
      <c r="A517" s="3193"/>
      <c r="B517" s="3545"/>
      <c r="C517" s="3191">
        <f t="shared" si="85"/>
        <v>1</v>
      </c>
      <c r="D517" s="3547"/>
      <c r="E517" s="3191">
        <f t="shared" si="86"/>
        <v>0</v>
      </c>
      <c r="F517" s="3547"/>
      <c r="G517" s="3191">
        <f t="shared" si="87"/>
        <v>1</v>
      </c>
      <c r="H517" s="3547"/>
      <c r="I517" s="3191">
        <f t="shared" si="88"/>
        <v>1</v>
      </c>
      <c r="J517" s="3547"/>
      <c r="K517" s="3191">
        <f t="shared" si="89"/>
        <v>1</v>
      </c>
      <c r="L517" s="3547"/>
      <c r="M517" s="3191">
        <f t="shared" si="90"/>
        <v>1</v>
      </c>
      <c r="N517" s="3547"/>
      <c r="O517" s="3191">
        <f t="shared" si="91"/>
        <v>1</v>
      </c>
      <c r="P517" s="3547"/>
      <c r="Q517" s="3191">
        <f t="shared" si="92"/>
        <v>1</v>
      </c>
      <c r="R517" s="2911">
        <f t="shared" si="93"/>
        <v>0</v>
      </c>
      <c r="S517" s="2965">
        <f t="shared" si="94"/>
        <v>0</v>
      </c>
    </row>
    <row r="518" spans="1:19">
      <c r="A518" s="3193"/>
      <c r="B518" s="3545"/>
      <c r="C518" s="3191">
        <f t="shared" si="85"/>
        <v>1</v>
      </c>
      <c r="D518" s="3547"/>
      <c r="E518" s="3191">
        <f t="shared" si="86"/>
        <v>0</v>
      </c>
      <c r="F518" s="3547"/>
      <c r="G518" s="3191">
        <f t="shared" si="87"/>
        <v>1</v>
      </c>
      <c r="H518" s="3547"/>
      <c r="I518" s="3191">
        <f t="shared" si="88"/>
        <v>1</v>
      </c>
      <c r="J518" s="3547"/>
      <c r="K518" s="3191">
        <f t="shared" si="89"/>
        <v>1</v>
      </c>
      <c r="L518" s="3547"/>
      <c r="M518" s="3191">
        <f t="shared" si="90"/>
        <v>1</v>
      </c>
      <c r="N518" s="3547"/>
      <c r="O518" s="3191">
        <f t="shared" si="91"/>
        <v>1</v>
      </c>
      <c r="P518" s="3547"/>
      <c r="Q518" s="3191">
        <f t="shared" si="92"/>
        <v>1</v>
      </c>
      <c r="R518" s="2911">
        <f t="shared" si="93"/>
        <v>0</v>
      </c>
      <c r="S518" s="2965">
        <f t="shared" si="94"/>
        <v>0</v>
      </c>
    </row>
    <row r="519" spans="1:19">
      <c r="A519" s="3193"/>
      <c r="B519" s="3545"/>
      <c r="C519" s="3191">
        <f t="shared" si="85"/>
        <v>1</v>
      </c>
      <c r="D519" s="3547"/>
      <c r="E519" s="3191">
        <f t="shared" si="86"/>
        <v>0</v>
      </c>
      <c r="F519" s="3547"/>
      <c r="G519" s="3191">
        <f t="shared" si="87"/>
        <v>1</v>
      </c>
      <c r="H519" s="3547"/>
      <c r="I519" s="3191">
        <f t="shared" si="88"/>
        <v>1</v>
      </c>
      <c r="J519" s="3547"/>
      <c r="K519" s="3191">
        <f t="shared" si="89"/>
        <v>1</v>
      </c>
      <c r="L519" s="3547"/>
      <c r="M519" s="3191">
        <f t="shared" si="90"/>
        <v>1</v>
      </c>
      <c r="N519" s="3547"/>
      <c r="O519" s="3191">
        <f t="shared" si="91"/>
        <v>1</v>
      </c>
      <c r="P519" s="3547"/>
      <c r="Q519" s="3191">
        <f t="shared" si="92"/>
        <v>1</v>
      </c>
      <c r="R519" s="2911">
        <f t="shared" si="93"/>
        <v>0</v>
      </c>
      <c r="S519" s="2965">
        <f t="shared" si="94"/>
        <v>0</v>
      </c>
    </row>
    <row r="520" spans="1:19">
      <c r="A520" s="3193"/>
      <c r="B520" s="3545"/>
      <c r="C520" s="3191">
        <f t="shared" si="85"/>
        <v>1</v>
      </c>
      <c r="D520" s="3547"/>
      <c r="E520" s="3191">
        <f t="shared" si="86"/>
        <v>0</v>
      </c>
      <c r="F520" s="3547"/>
      <c r="G520" s="3191">
        <f t="shared" si="87"/>
        <v>1</v>
      </c>
      <c r="H520" s="3547"/>
      <c r="I520" s="3191">
        <f t="shared" si="88"/>
        <v>1</v>
      </c>
      <c r="J520" s="3547"/>
      <c r="K520" s="3191">
        <f t="shared" si="89"/>
        <v>1</v>
      </c>
      <c r="L520" s="3547"/>
      <c r="M520" s="3191">
        <f t="shared" si="90"/>
        <v>1</v>
      </c>
      <c r="N520" s="3547"/>
      <c r="O520" s="3191">
        <f t="shared" si="91"/>
        <v>1</v>
      </c>
      <c r="P520" s="3547"/>
      <c r="Q520" s="3191">
        <f t="shared" si="92"/>
        <v>1</v>
      </c>
      <c r="R520" s="2911">
        <f t="shared" si="93"/>
        <v>0</v>
      </c>
      <c r="S520" s="2965">
        <f t="shared" si="94"/>
        <v>0</v>
      </c>
    </row>
    <row r="521" spans="1:19">
      <c r="A521" s="3193"/>
      <c r="B521" s="3545"/>
      <c r="C521" s="3191">
        <f t="shared" si="85"/>
        <v>1</v>
      </c>
      <c r="D521" s="3547"/>
      <c r="E521" s="3191">
        <f t="shared" si="86"/>
        <v>0</v>
      </c>
      <c r="F521" s="3547"/>
      <c r="G521" s="3191">
        <f t="shared" si="87"/>
        <v>1</v>
      </c>
      <c r="H521" s="3547"/>
      <c r="I521" s="3191">
        <f t="shared" si="88"/>
        <v>1</v>
      </c>
      <c r="J521" s="3547"/>
      <c r="K521" s="3191">
        <f t="shared" si="89"/>
        <v>1</v>
      </c>
      <c r="L521" s="3547"/>
      <c r="M521" s="3191">
        <f t="shared" si="90"/>
        <v>1</v>
      </c>
      <c r="N521" s="3547"/>
      <c r="O521" s="3191">
        <f t="shared" si="91"/>
        <v>1</v>
      </c>
      <c r="P521" s="3547"/>
      <c r="Q521" s="3191">
        <f t="shared" si="92"/>
        <v>1</v>
      </c>
      <c r="R521" s="2911">
        <f t="shared" si="93"/>
        <v>0</v>
      </c>
      <c r="S521" s="2965">
        <f t="shared" si="94"/>
        <v>0</v>
      </c>
    </row>
    <row r="522" spans="1:19">
      <c r="A522" s="3193"/>
      <c r="B522" s="3545"/>
      <c r="C522" s="3191">
        <f t="shared" si="85"/>
        <v>1</v>
      </c>
      <c r="D522" s="3547"/>
      <c r="E522" s="3191">
        <f t="shared" si="86"/>
        <v>0</v>
      </c>
      <c r="F522" s="3547"/>
      <c r="G522" s="3191">
        <f t="shared" si="87"/>
        <v>1</v>
      </c>
      <c r="H522" s="3547"/>
      <c r="I522" s="3191">
        <f t="shared" si="88"/>
        <v>1</v>
      </c>
      <c r="J522" s="3547"/>
      <c r="K522" s="3191">
        <f t="shared" si="89"/>
        <v>1</v>
      </c>
      <c r="L522" s="3547"/>
      <c r="M522" s="3191">
        <f t="shared" si="90"/>
        <v>1</v>
      </c>
      <c r="N522" s="3547"/>
      <c r="O522" s="3191">
        <f t="shared" si="91"/>
        <v>1</v>
      </c>
      <c r="P522" s="3547"/>
      <c r="Q522" s="3191">
        <f t="shared" si="92"/>
        <v>1</v>
      </c>
      <c r="R522" s="2911">
        <f t="shared" si="93"/>
        <v>0</v>
      </c>
      <c r="S522" s="2965">
        <f t="shared" si="94"/>
        <v>0</v>
      </c>
    </row>
    <row r="523" spans="1:19">
      <c r="A523" s="3193"/>
      <c r="B523" s="3545"/>
      <c r="C523" s="3191">
        <f t="shared" si="85"/>
        <v>1</v>
      </c>
      <c r="D523" s="3547"/>
      <c r="E523" s="3191">
        <f t="shared" si="86"/>
        <v>0</v>
      </c>
      <c r="F523" s="3547"/>
      <c r="G523" s="3191">
        <f t="shared" si="87"/>
        <v>1</v>
      </c>
      <c r="H523" s="3547"/>
      <c r="I523" s="3191">
        <f t="shared" si="88"/>
        <v>1</v>
      </c>
      <c r="J523" s="3547"/>
      <c r="K523" s="3191">
        <f t="shared" si="89"/>
        <v>1</v>
      </c>
      <c r="L523" s="3547"/>
      <c r="M523" s="3191">
        <f t="shared" si="90"/>
        <v>1</v>
      </c>
      <c r="N523" s="3547"/>
      <c r="O523" s="3191">
        <f t="shared" si="91"/>
        <v>1</v>
      </c>
      <c r="P523" s="3547"/>
      <c r="Q523" s="3191">
        <f t="shared" si="92"/>
        <v>1</v>
      </c>
      <c r="R523" s="2911">
        <f t="shared" si="93"/>
        <v>0</v>
      </c>
      <c r="S523" s="2965">
        <f t="shared" si="94"/>
        <v>0</v>
      </c>
    </row>
    <row r="524" spans="1:19">
      <c r="A524" s="3193"/>
      <c r="B524" s="3545"/>
      <c r="C524" s="3191">
        <f t="shared" si="85"/>
        <v>1</v>
      </c>
      <c r="D524" s="3547"/>
      <c r="E524" s="3191">
        <f t="shared" si="86"/>
        <v>0</v>
      </c>
      <c r="F524" s="3547"/>
      <c r="G524" s="3191">
        <f t="shared" si="87"/>
        <v>1</v>
      </c>
      <c r="H524" s="3547"/>
      <c r="I524" s="3191">
        <f t="shared" si="88"/>
        <v>1</v>
      </c>
      <c r="J524" s="3547"/>
      <c r="K524" s="3191">
        <f t="shared" si="89"/>
        <v>1</v>
      </c>
      <c r="L524" s="3547"/>
      <c r="M524" s="3191">
        <f t="shared" si="90"/>
        <v>1</v>
      </c>
      <c r="N524" s="3547"/>
      <c r="O524" s="3191">
        <f t="shared" si="91"/>
        <v>1</v>
      </c>
      <c r="P524" s="3547"/>
      <c r="Q524" s="3191">
        <f t="shared" si="92"/>
        <v>1</v>
      </c>
      <c r="R524" s="2911">
        <f t="shared" si="93"/>
        <v>0</v>
      </c>
      <c r="S524" s="296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37" workbookViewId="0">
      <selection activeCell="S70" sqref="S70"/>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I13:K60"/>
  <sheetViews>
    <sheetView topLeftCell="A31" workbookViewId="0">
      <selection activeCell="L63" sqref="L63"/>
    </sheetView>
  </sheetViews>
  <sheetFormatPr defaultRowHeight="13.5"/>
  <cols>
    <col min="9" max="9" width="9.5" bestFit="1" customWidth="1"/>
  </cols>
  <sheetData>
    <row r="13" spans="9:11">
      <c r="I13" s="1122" t="s">
        <v>3847</v>
      </c>
    </row>
    <row r="14" spans="9:11">
      <c r="I14">
        <v>634228</v>
      </c>
      <c r="J14">
        <v>286</v>
      </c>
      <c r="K14">
        <f>I14/J14/365</f>
        <v>6.0755627933710121</v>
      </c>
    </row>
    <row r="37" spans="9:11">
      <c r="I37" s="1122" t="s">
        <v>3847</v>
      </c>
    </row>
    <row r="38" spans="9:11">
      <c r="I38">
        <v>14704568</v>
      </c>
      <c r="J38">
        <v>14852.29</v>
      </c>
      <c r="K38">
        <f>I38/J38/365</f>
        <v>2.7124765050529498</v>
      </c>
    </row>
    <row r="59" spans="9:11">
      <c r="I59" s="1122" t="s">
        <v>3847</v>
      </c>
    </row>
    <row r="60" spans="9:11">
      <c r="I60">
        <v>2414928</v>
      </c>
      <c r="J60">
        <v>2325.85</v>
      </c>
      <c r="K60">
        <f>I60/J60/365</f>
        <v>2.84465511356726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22" workbookViewId="0">
      <selection activeCell="U25" sqref="U25"/>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1744</v>
      </c>
      <c r="C1" s="879" t="s">
        <v>1580</v>
      </c>
      <c r="D1" s="880"/>
      <c r="E1" s="2613"/>
      <c r="F1" s="1433"/>
      <c r="G1" s="890" t="s">
        <v>1685</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1437</v>
      </c>
      <c r="B2" s="3124">
        <f>IF(C2="含税",D2,ROUND(D2/(1+F3),0))</f>
        <v>0</v>
      </c>
      <c r="C2" s="3025"/>
      <c r="D2" s="3168" t="b">
        <f>IF(E1="项目模式",IF(E2="——",ROUND(C43*D3/10000,0),ROUND(C43*D3/10000,0)-F2),IF(E1="单套模式",IF(E2="——",ROUND(C43*D3/10000,4),ROUND(C43*D3/10000,4)-F2)))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1439</v>
      </c>
      <c r="B3" s="3125">
        <f>IF(E2="——",C43,ROUND(B2*10000/D3,0))</f>
        <v>0</v>
      </c>
      <c r="C3" s="252" t="s">
        <v>1686</v>
      </c>
      <c r="D3" s="3125">
        <f>IF(D1="",'数据-汇总表'!E3,SUMIF('数据-汇总表'!$C19:$C33,D1,'数据-汇总表'!$E19:$E33))</f>
        <v>1048.8</v>
      </c>
      <c r="E3" s="3033" t="s">
        <v>3519</v>
      </c>
      <c r="F3" s="3034">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643"/>
      <c r="M4" s="644"/>
      <c r="N4" s="644"/>
      <c r="O4" s="644"/>
      <c r="P4" s="4459" t="s">
        <v>1693</v>
      </c>
      <c r="Q4" s="4460"/>
      <c r="R4" s="4441" t="s">
        <v>1689</v>
      </c>
      <c r="S4" s="4442"/>
      <c r="T4" s="4441" t="s">
        <v>1690</v>
      </c>
      <c r="U4" s="4442"/>
      <c r="V4" s="4467" t="s">
        <v>1691</v>
      </c>
      <c r="W4" s="4467"/>
      <c r="X4" s="981"/>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643"/>
      <c r="M5" s="644"/>
      <c r="N5" s="644"/>
      <c r="O5" s="644"/>
      <c r="P5" s="4461"/>
      <c r="Q5" s="4462"/>
      <c r="R5" s="4443"/>
      <c r="S5" s="4444"/>
      <c r="T5" s="4443"/>
      <c r="U5" s="4444"/>
      <c r="V5" s="4467"/>
      <c r="W5" s="4467"/>
      <c r="X5" s="981"/>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643"/>
      <c r="M6" s="644"/>
      <c r="N6" s="644"/>
      <c r="O6" s="644"/>
      <c r="P6" s="4463"/>
      <c r="Q6" s="4464"/>
      <c r="R6" s="4443"/>
      <c r="S6" s="4444"/>
      <c r="T6" s="4465"/>
      <c r="U6" s="4466"/>
      <c r="V6" s="4467"/>
      <c r="W6" s="4467"/>
      <c r="X6" s="981"/>
      <c r="Y6" s="4474"/>
      <c r="Z6" s="4475"/>
      <c r="AA6" s="4438"/>
      <c r="AB6" s="4438"/>
      <c r="AC6" s="4438"/>
    </row>
    <row r="7" spans="1:29" s="61" customFormat="1" ht="15.75" thickBot="1">
      <c r="A7" s="260" t="s">
        <v>1597</v>
      </c>
      <c r="B7" s="261"/>
      <c r="C7" s="262">
        <f>'数据-取费表'!B2</f>
        <v>46044</v>
      </c>
      <c r="D7" s="3172">
        <v>100</v>
      </c>
      <c r="E7" s="263"/>
      <c r="F7" s="3184">
        <f>SUMIF(52:52,YEAR(E7)&amp;"-"&amp;MONTH(E7),53:53)</f>
        <v>0</v>
      </c>
      <c r="G7" s="263"/>
      <c r="H7" s="3170">
        <f>SUMIF(52:52,YEAR(G7)&amp;"-"&amp;MONTH(G7),53:53)</f>
        <v>0</v>
      </c>
      <c r="I7" s="263"/>
      <c r="J7" s="3170">
        <f>SUMIF(52:52,YEAR(I7)&amp;"-"&amp;MONTH(I7),53:53)</f>
        <v>0</v>
      </c>
      <c r="K7" s="35"/>
      <c r="L7" s="645"/>
      <c r="M7" s="646"/>
      <c r="N7" s="646"/>
      <c r="O7" s="646"/>
      <c r="P7" s="4468" t="s">
        <v>1598</v>
      </c>
      <c r="Q7" s="4476"/>
      <c r="R7" s="3516" t="s">
        <v>13</v>
      </c>
      <c r="S7" s="3517">
        <f t="shared" ref="S7:S15" si="0">F7</f>
        <v>0</v>
      </c>
      <c r="T7" s="3516" t="s">
        <v>13</v>
      </c>
      <c r="U7" s="3517">
        <f t="shared" ref="U7:U15" si="1">H7</f>
        <v>0</v>
      </c>
      <c r="V7" s="3516" t="s">
        <v>13</v>
      </c>
      <c r="W7" s="3517">
        <f t="shared" ref="W7:W15" si="2">J7</f>
        <v>0</v>
      </c>
      <c r="X7" s="512"/>
      <c r="Y7" s="4439" t="s">
        <v>1598</v>
      </c>
      <c r="Z7" s="4440"/>
      <c r="AA7" s="41" t="e">
        <f>D7/F7</f>
        <v>#DIV/0!</v>
      </c>
      <c r="AB7" s="41" t="e">
        <f>D7/H7</f>
        <v>#DIV/0!</v>
      </c>
      <c r="AC7" s="41" t="e">
        <f>D7/J7</f>
        <v>#DIV/0!</v>
      </c>
    </row>
    <row r="8" spans="1:29" s="61" customFormat="1" ht="15.75" thickBot="1">
      <c r="A8" s="260" t="s">
        <v>1599</v>
      </c>
      <c r="B8" s="261"/>
      <c r="C8" s="264"/>
      <c r="D8" s="3172">
        <v>100</v>
      </c>
      <c r="E8" s="264"/>
      <c r="F8" s="3748">
        <f>SUMIF(55:55,E8,56:56)-SUMIF(55:55,C8,56:56)+100</f>
        <v>100</v>
      </c>
      <c r="G8" s="264"/>
      <c r="H8" s="3760">
        <f>SUMIF(55:55,G8,56:56)-SUMIF(55:55,C8,56:56)+100</f>
        <v>100</v>
      </c>
      <c r="I8" s="264"/>
      <c r="J8" s="3760">
        <f>SUMIF(55:55,I8,56:56)-SUMIF(55:55,C8,56:56)+100</f>
        <v>100</v>
      </c>
      <c r="K8" s="35"/>
      <c r="L8" s="645"/>
      <c r="M8" s="646"/>
      <c r="N8" s="646"/>
      <c r="O8" s="646"/>
      <c r="P8" s="4468" t="s">
        <v>1601</v>
      </c>
      <c r="Q8" s="4469"/>
      <c r="R8" s="3516" t="s">
        <v>13</v>
      </c>
      <c r="S8" s="3517">
        <f t="shared" si="0"/>
        <v>100</v>
      </c>
      <c r="T8" s="3516" t="s">
        <v>13</v>
      </c>
      <c r="U8" s="3517">
        <f t="shared" si="1"/>
        <v>100</v>
      </c>
      <c r="V8" s="3516" t="s">
        <v>13</v>
      </c>
      <c r="W8" s="3517">
        <f t="shared" si="2"/>
        <v>100</v>
      </c>
      <c r="X8" s="512"/>
      <c r="Y8" s="4439" t="s">
        <v>1601</v>
      </c>
      <c r="Z8" s="4440"/>
      <c r="AA8" s="41">
        <f t="shared" ref="AA8:AA40" si="3">D8/F8</f>
        <v>1</v>
      </c>
      <c r="AB8" s="41">
        <f t="shared" ref="AB8:AB40" si="4">D8/H8</f>
        <v>1</v>
      </c>
      <c r="AC8" s="41">
        <f t="shared" ref="AC8:AC40" si="5">D8/J8</f>
        <v>1</v>
      </c>
    </row>
    <row r="9" spans="1:29" s="61" customFormat="1">
      <c r="A9" s="265" t="s">
        <v>1602</v>
      </c>
      <c r="B9" s="47" t="s">
        <v>1603</v>
      </c>
      <c r="C9" s="266"/>
      <c r="D9" s="3173">
        <v>100</v>
      </c>
      <c r="E9" s="268"/>
      <c r="F9" s="3749">
        <f>SUMIF(57:57,E9,58:58)-SUMIF(57:57,C9,58:58)+100</f>
        <v>100</v>
      </c>
      <c r="G9" s="267"/>
      <c r="H9" s="3749">
        <f>SUMIF(57:57,G9,58:58)-SUMIF(57:57,C9,58:58)+100</f>
        <v>100</v>
      </c>
      <c r="I9" s="267"/>
      <c r="J9" s="3749">
        <f>SUMIF(57:57,I9,58:58)-SUMIF(57:57,C9,58:58)+100</f>
        <v>100</v>
      </c>
      <c r="K9" s="35"/>
      <c r="L9" s="645"/>
      <c r="M9" s="646"/>
      <c r="N9" s="646"/>
      <c r="O9" s="647"/>
      <c r="P9" s="4480" t="s">
        <v>1604</v>
      </c>
      <c r="Q9" s="1787" t="str">
        <f t="shared" ref="Q9:Q15" si="6">B9</f>
        <v>用途</v>
      </c>
      <c r="R9" s="3516" t="s">
        <v>13</v>
      </c>
      <c r="S9" s="3517">
        <f t="shared" si="0"/>
        <v>100</v>
      </c>
      <c r="T9" s="3516" t="s">
        <v>13</v>
      </c>
      <c r="U9" s="3517">
        <f t="shared" si="1"/>
        <v>100</v>
      </c>
      <c r="V9" s="3516" t="s">
        <v>13</v>
      </c>
      <c r="W9" s="3517">
        <f t="shared" si="2"/>
        <v>100</v>
      </c>
      <c r="X9" s="512"/>
      <c r="Y9" s="4454" t="s">
        <v>1605</v>
      </c>
      <c r="Z9" s="41" t="str">
        <f t="shared" ref="Z9:Z15" si="7">Q9</f>
        <v>用途</v>
      </c>
      <c r="AA9" s="41">
        <f t="shared" si="3"/>
        <v>1</v>
      </c>
      <c r="AB9" s="41">
        <f t="shared" si="4"/>
        <v>1</v>
      </c>
      <c r="AC9" s="41">
        <f t="shared" si="5"/>
        <v>1</v>
      </c>
    </row>
    <row r="10" spans="1:29" s="271" customFormat="1" ht="27">
      <c r="A10" s="269"/>
      <c r="B10" s="270" t="s">
        <v>1606</v>
      </c>
      <c r="C10" s="2614"/>
      <c r="D10" s="3174">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480"/>
      <c r="Q10" s="1787" t="str">
        <f t="shared" si="6"/>
        <v>土地使用年限（年）</v>
      </c>
      <c r="R10" s="3516" t="s">
        <v>13</v>
      </c>
      <c r="S10" s="3517">
        <f t="shared" si="0"/>
        <v>100</v>
      </c>
      <c r="T10" s="3516" t="s">
        <v>13</v>
      </c>
      <c r="U10" s="3517">
        <f t="shared" si="1"/>
        <v>100</v>
      </c>
      <c r="V10" s="3516" t="s">
        <v>13</v>
      </c>
      <c r="W10" s="3517">
        <f t="shared" si="2"/>
        <v>100</v>
      </c>
      <c r="X10" s="512"/>
      <c r="Y10" s="4454"/>
      <c r="Z10" s="41" t="str">
        <f t="shared" si="7"/>
        <v>土地使用年限（年）</v>
      </c>
      <c r="AA10" s="41">
        <f t="shared" si="3"/>
        <v>1</v>
      </c>
      <c r="AB10" s="41">
        <f t="shared" si="4"/>
        <v>1</v>
      </c>
      <c r="AC10" s="41">
        <f t="shared" si="5"/>
        <v>1</v>
      </c>
    </row>
    <row r="11" spans="1:29" ht="15">
      <c r="A11" s="272"/>
      <c r="B11" s="270" t="s">
        <v>1607</v>
      </c>
      <c r="C11" s="273"/>
      <c r="D11" s="3174">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480"/>
      <c r="Q11" s="1787" t="str">
        <f t="shared" si="6"/>
        <v>容积率</v>
      </c>
      <c r="R11" s="3516" t="s">
        <v>13</v>
      </c>
      <c r="S11" s="3517">
        <f t="shared" si="0"/>
        <v>100</v>
      </c>
      <c r="T11" s="3516" t="s">
        <v>13</v>
      </c>
      <c r="U11" s="3517">
        <f t="shared" si="1"/>
        <v>100</v>
      </c>
      <c r="V11" s="3516" t="s">
        <v>13</v>
      </c>
      <c r="W11" s="3517">
        <f t="shared" si="2"/>
        <v>100</v>
      </c>
      <c r="X11" s="512"/>
      <c r="Y11" s="4454"/>
      <c r="Z11" s="41" t="str">
        <f t="shared" si="7"/>
        <v>容积率</v>
      </c>
      <c r="AA11" s="41">
        <f t="shared" si="3"/>
        <v>1</v>
      </c>
      <c r="AB11" s="41">
        <f t="shared" si="4"/>
        <v>1</v>
      </c>
      <c r="AC11" s="41">
        <f t="shared" si="5"/>
        <v>1</v>
      </c>
    </row>
    <row r="12" spans="1:29" s="61" customFormat="1" ht="15">
      <c r="A12" s="275"/>
      <c r="B12" s="328">
        <v>111</v>
      </c>
      <c r="C12" s="276"/>
      <c r="D12" s="3175">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480"/>
      <c r="Q12" s="1787">
        <f t="shared" si="6"/>
        <v>111</v>
      </c>
      <c r="R12" s="3516" t="s">
        <v>13</v>
      </c>
      <c r="S12" s="3517">
        <f t="shared" si="0"/>
        <v>100</v>
      </c>
      <c r="T12" s="3516" t="s">
        <v>13</v>
      </c>
      <c r="U12" s="3517">
        <f t="shared" si="1"/>
        <v>100</v>
      </c>
      <c r="V12" s="3516" t="s">
        <v>13</v>
      </c>
      <c r="W12" s="3517">
        <f t="shared" si="2"/>
        <v>100</v>
      </c>
      <c r="X12" s="512"/>
      <c r="Y12" s="4454"/>
      <c r="Z12" s="41">
        <f t="shared" si="7"/>
        <v>111</v>
      </c>
      <c r="AA12" s="41">
        <f>D12/F12</f>
        <v>1</v>
      </c>
      <c r="AB12" s="41">
        <f>D12/H12</f>
        <v>1</v>
      </c>
      <c r="AC12" s="41">
        <f>D12/J12</f>
        <v>1</v>
      </c>
    </row>
    <row r="13" spans="1:29" ht="15">
      <c r="A13" s="272"/>
      <c r="B13" s="328">
        <v>111</v>
      </c>
      <c r="C13" s="277"/>
      <c r="D13" s="3176">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480"/>
      <c r="Q13" s="1787">
        <f t="shared" si="6"/>
        <v>111</v>
      </c>
      <c r="R13" s="3516" t="s">
        <v>13</v>
      </c>
      <c r="S13" s="3517">
        <f t="shared" si="0"/>
        <v>100</v>
      </c>
      <c r="T13" s="3516" t="s">
        <v>13</v>
      </c>
      <c r="U13" s="3517">
        <f t="shared" si="1"/>
        <v>100</v>
      </c>
      <c r="V13" s="3516" t="s">
        <v>13</v>
      </c>
      <c r="W13" s="3517">
        <f t="shared" si="2"/>
        <v>100</v>
      </c>
      <c r="X13" s="512"/>
      <c r="Y13" s="4454"/>
      <c r="Z13" s="41">
        <f t="shared" si="7"/>
        <v>111</v>
      </c>
      <c r="AA13" s="41">
        <f t="shared" si="3"/>
        <v>1</v>
      </c>
      <c r="AB13" s="41">
        <f t="shared" si="4"/>
        <v>1</v>
      </c>
      <c r="AC13" s="41">
        <f t="shared" si="5"/>
        <v>1</v>
      </c>
    </row>
    <row r="14" spans="1:29" ht="15.75" thickBot="1">
      <c r="A14" s="278"/>
      <c r="B14" s="1441">
        <v>111</v>
      </c>
      <c r="C14" s="279"/>
      <c r="D14" s="3177">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480"/>
      <c r="Q14" s="1787">
        <f t="shared" si="6"/>
        <v>111</v>
      </c>
      <c r="R14" s="3516" t="s">
        <v>13</v>
      </c>
      <c r="S14" s="3517">
        <f t="shared" si="0"/>
        <v>100</v>
      </c>
      <c r="T14" s="3516" t="s">
        <v>13</v>
      </c>
      <c r="U14" s="3517">
        <f t="shared" si="1"/>
        <v>100</v>
      </c>
      <c r="V14" s="3516" t="s">
        <v>13</v>
      </c>
      <c r="W14" s="3517">
        <f t="shared" si="2"/>
        <v>100</v>
      </c>
      <c r="X14" s="512"/>
      <c r="Y14" s="4454"/>
      <c r="Z14" s="41">
        <f t="shared" si="7"/>
        <v>111</v>
      </c>
      <c r="AA14" s="41">
        <f t="shared" si="3"/>
        <v>1</v>
      </c>
      <c r="AB14" s="41">
        <f t="shared" si="4"/>
        <v>1</v>
      </c>
      <c r="AC14" s="41">
        <f t="shared" si="5"/>
        <v>1</v>
      </c>
    </row>
    <row r="15" spans="1:29" ht="15">
      <c r="A15" s="280" t="s">
        <v>1608</v>
      </c>
      <c r="B15" s="45" t="s">
        <v>1745</v>
      </c>
      <c r="C15" s="1504">
        <f>估价对象房地状况!G3</f>
        <v>0</v>
      </c>
      <c r="D15" s="3178">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529" t="s">
        <v>1609</v>
      </c>
      <c r="Q15" s="1587" t="str">
        <f t="shared" si="6"/>
        <v>产业集聚程度</v>
      </c>
      <c r="R15" s="3518" t="s">
        <v>13</v>
      </c>
      <c r="S15" s="3519">
        <f t="shared" si="0"/>
        <v>100</v>
      </c>
      <c r="T15" s="3518" t="s">
        <v>13</v>
      </c>
      <c r="U15" s="3519">
        <f t="shared" si="1"/>
        <v>100</v>
      </c>
      <c r="V15" s="3518" t="s">
        <v>13</v>
      </c>
      <c r="W15" s="3519">
        <f t="shared" si="2"/>
        <v>100</v>
      </c>
      <c r="X15" s="981"/>
      <c r="Y15" s="4482" t="s">
        <v>1609</v>
      </c>
      <c r="Z15" s="979" t="str">
        <f t="shared" si="7"/>
        <v>产业集聚程度</v>
      </c>
      <c r="AA15" s="979">
        <f t="shared" si="3"/>
        <v>1</v>
      </c>
      <c r="AB15" s="979">
        <f t="shared" si="4"/>
        <v>1</v>
      </c>
      <c r="AC15" s="979">
        <f t="shared" si="5"/>
        <v>1</v>
      </c>
    </row>
    <row r="16" spans="1:29" ht="15">
      <c r="A16" s="272"/>
      <c r="B16" s="283"/>
      <c r="C16" s="284"/>
      <c r="D16" s="3179"/>
      <c r="E16" s="284"/>
      <c r="F16" s="3763"/>
      <c r="G16" s="284"/>
      <c r="H16" s="3753"/>
      <c r="I16" s="284"/>
      <c r="J16" s="3752"/>
      <c r="K16" s="418"/>
      <c r="L16" s="653"/>
      <c r="M16" s="644"/>
      <c r="N16" s="644"/>
      <c r="O16" s="652"/>
      <c r="P16" s="4530"/>
      <c r="Q16" s="1587"/>
      <c r="R16" s="3518"/>
      <c r="S16" s="3519"/>
      <c r="T16" s="3518"/>
      <c r="U16" s="3519"/>
      <c r="V16" s="3518"/>
      <c r="W16" s="3519"/>
      <c r="X16" s="981"/>
      <c r="Y16" s="4483"/>
      <c r="Z16" s="979"/>
      <c r="AA16" s="979">
        <v>1</v>
      </c>
      <c r="AB16" s="979">
        <v>1</v>
      </c>
      <c r="AC16" s="979">
        <v>1</v>
      </c>
    </row>
    <row r="17" spans="1:29" ht="15">
      <c r="A17" s="272"/>
      <c r="B17" s="287" t="s">
        <v>1243</v>
      </c>
      <c r="C17" s="1444">
        <f>估价对象房地状况!G4</f>
        <v>0</v>
      </c>
      <c r="D17" s="3180">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530"/>
      <c r="Q17" s="1587" t="str">
        <f>B17</f>
        <v>交通便捷度</v>
      </c>
      <c r="R17" s="3518" t="s">
        <v>13</v>
      </c>
      <c r="S17" s="3519">
        <f>F17</f>
        <v>100</v>
      </c>
      <c r="T17" s="3518" t="s">
        <v>13</v>
      </c>
      <c r="U17" s="3519">
        <f>H17</f>
        <v>100</v>
      </c>
      <c r="V17" s="3518" t="s">
        <v>13</v>
      </c>
      <c r="W17" s="3519">
        <f>J17</f>
        <v>100</v>
      </c>
      <c r="X17" s="981"/>
      <c r="Y17" s="4483"/>
      <c r="Z17" s="979" t="str">
        <f>Q17</f>
        <v>交通便捷度</v>
      </c>
      <c r="AA17" s="979">
        <f t="shared" si="3"/>
        <v>1</v>
      </c>
      <c r="AB17" s="979">
        <f t="shared" si="4"/>
        <v>1</v>
      </c>
      <c r="AC17" s="979">
        <f t="shared" si="5"/>
        <v>1</v>
      </c>
    </row>
    <row r="18" spans="1:29" ht="15">
      <c r="A18" s="272"/>
      <c r="B18" s="290"/>
      <c r="C18" s="1445"/>
      <c r="D18" s="3180"/>
      <c r="E18" s="1447"/>
      <c r="F18" s="3764"/>
      <c r="G18" s="1446"/>
      <c r="H18" s="3752"/>
      <c r="I18" s="1447"/>
      <c r="J18" s="3752"/>
      <c r="K18" s="418"/>
      <c r="L18" s="653"/>
      <c r="M18" s="644"/>
      <c r="N18" s="644"/>
      <c r="O18" s="652"/>
      <c r="P18" s="4530"/>
      <c r="Q18" s="1587"/>
      <c r="R18" s="3518"/>
      <c r="S18" s="3519"/>
      <c r="T18" s="3518"/>
      <c r="U18" s="3519"/>
      <c r="V18" s="3518"/>
      <c r="W18" s="3519"/>
      <c r="X18" s="981"/>
      <c r="Y18" s="4483"/>
      <c r="Z18" s="979"/>
      <c r="AA18" s="979">
        <v>1</v>
      </c>
      <c r="AB18" s="979">
        <v>1</v>
      </c>
      <c r="AC18" s="979">
        <v>1</v>
      </c>
    </row>
    <row r="19" spans="1:29" ht="15">
      <c r="A19" s="272"/>
      <c r="B19" s="287" t="s">
        <v>1730</v>
      </c>
      <c r="C19" s="1444">
        <f>估价对象房地状况!G5</f>
        <v>0</v>
      </c>
      <c r="D19" s="3181">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530"/>
      <c r="Q19" s="1587" t="str">
        <f>B19</f>
        <v>公共配套设施</v>
      </c>
      <c r="R19" s="3518" t="s">
        <v>13</v>
      </c>
      <c r="S19" s="3519">
        <f>F19</f>
        <v>100</v>
      </c>
      <c r="T19" s="3518" t="s">
        <v>13</v>
      </c>
      <c r="U19" s="3519">
        <f>H19</f>
        <v>100</v>
      </c>
      <c r="V19" s="3518" t="s">
        <v>13</v>
      </c>
      <c r="W19" s="3519">
        <f>J19</f>
        <v>100</v>
      </c>
      <c r="X19" s="981"/>
      <c r="Y19" s="4483"/>
      <c r="Z19" s="979" t="str">
        <f>Q19</f>
        <v>公共配套设施</v>
      </c>
      <c r="AA19" s="979">
        <f t="shared" si="3"/>
        <v>1</v>
      </c>
      <c r="AB19" s="979">
        <f t="shared" si="4"/>
        <v>1</v>
      </c>
      <c r="AC19" s="979">
        <f t="shared" si="5"/>
        <v>1</v>
      </c>
    </row>
    <row r="20" spans="1:29" ht="15">
      <c r="A20" s="272"/>
      <c r="B20" s="290"/>
      <c r="C20" s="284"/>
      <c r="D20" s="3179"/>
      <c r="E20" s="1443"/>
      <c r="F20" s="3763"/>
      <c r="G20" s="1442"/>
      <c r="H20" s="3752"/>
      <c r="I20" s="1443"/>
      <c r="J20" s="3752"/>
      <c r="K20" s="418"/>
      <c r="L20" s="653"/>
      <c r="M20" s="644"/>
      <c r="N20" s="644"/>
      <c r="O20" s="652"/>
      <c r="P20" s="4530"/>
      <c r="Q20" s="1587"/>
      <c r="R20" s="3518"/>
      <c r="S20" s="3519"/>
      <c r="T20" s="3518"/>
      <c r="U20" s="3519"/>
      <c r="V20" s="3518"/>
      <c r="W20" s="3519"/>
      <c r="X20" s="981"/>
      <c r="Y20" s="4483"/>
      <c r="Z20" s="979"/>
      <c r="AA20" s="979">
        <v>1</v>
      </c>
      <c r="AB20" s="979">
        <v>1</v>
      </c>
      <c r="AC20" s="979">
        <v>1</v>
      </c>
    </row>
    <row r="21" spans="1:29" ht="15">
      <c r="A21" s="272"/>
      <c r="B21" s="822" t="s">
        <v>1731</v>
      </c>
      <c r="C21" s="1444">
        <f>估价对象房地状况!G6</f>
        <v>0</v>
      </c>
      <c r="D21" s="3180">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530"/>
      <c r="Q21" s="1587" t="str">
        <f>B21</f>
        <v>基础设施水平</v>
      </c>
      <c r="R21" s="3518" t="s">
        <v>13</v>
      </c>
      <c r="S21" s="3519">
        <f>F21</f>
        <v>100</v>
      </c>
      <c r="T21" s="3518" t="s">
        <v>13</v>
      </c>
      <c r="U21" s="3519">
        <f>H21</f>
        <v>100</v>
      </c>
      <c r="V21" s="3518" t="s">
        <v>13</v>
      </c>
      <c r="W21" s="3519">
        <f>J21</f>
        <v>100</v>
      </c>
      <c r="X21" s="981"/>
      <c r="Y21" s="4483"/>
      <c r="Z21" s="979" t="str">
        <f>Q21</f>
        <v>基础设施水平</v>
      </c>
      <c r="AA21" s="979">
        <f t="shared" ref="AA21" si="8">D21/F21</f>
        <v>1</v>
      </c>
      <c r="AB21" s="979">
        <f t="shared" ref="AB21" si="9">D21/H21</f>
        <v>1</v>
      </c>
      <c r="AC21" s="979">
        <f t="shared" ref="AC21" si="10">D21/J21</f>
        <v>1</v>
      </c>
    </row>
    <row r="22" spans="1:29" ht="15">
      <c r="A22" s="272"/>
      <c r="B22" s="822"/>
      <c r="C22" s="1445"/>
      <c r="D22" s="3179"/>
      <c r="E22" s="284"/>
      <c r="F22" s="3763"/>
      <c r="G22" s="284"/>
      <c r="H22" s="3752"/>
      <c r="I22" s="284"/>
      <c r="J22" s="3752"/>
      <c r="K22" s="821"/>
      <c r="L22" s="653"/>
      <c r="M22" s="644"/>
      <c r="N22" s="644"/>
      <c r="O22" s="652"/>
      <c r="P22" s="4530"/>
      <c r="Q22" s="1587"/>
      <c r="R22" s="3518"/>
      <c r="S22" s="3519"/>
      <c r="T22" s="3518"/>
      <c r="U22" s="3519"/>
      <c r="V22" s="3518"/>
      <c r="W22" s="3519"/>
      <c r="X22" s="981"/>
      <c r="Y22" s="4483"/>
      <c r="Z22" s="979"/>
      <c r="AA22" s="979">
        <v>1</v>
      </c>
      <c r="AB22" s="979">
        <v>1</v>
      </c>
      <c r="AC22" s="979">
        <v>1</v>
      </c>
    </row>
    <row r="23" spans="1:29" ht="15">
      <c r="A23" s="272"/>
      <c r="B23" s="287" t="s">
        <v>1732</v>
      </c>
      <c r="C23" s="1444">
        <f>估价对象房地状况!G7</f>
        <v>0</v>
      </c>
      <c r="D23" s="3180">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530"/>
      <c r="Q23" s="1587" t="str">
        <f>B23</f>
        <v>环境质量</v>
      </c>
      <c r="R23" s="3518" t="s">
        <v>13</v>
      </c>
      <c r="S23" s="3519">
        <f>F23</f>
        <v>100</v>
      </c>
      <c r="T23" s="3518" t="s">
        <v>13</v>
      </c>
      <c r="U23" s="3519">
        <f>H23</f>
        <v>100</v>
      </c>
      <c r="V23" s="3518" t="s">
        <v>13</v>
      </c>
      <c r="W23" s="3519">
        <f>J23</f>
        <v>100</v>
      </c>
      <c r="X23" s="981"/>
      <c r="Y23" s="4483"/>
      <c r="Z23" s="979" t="str">
        <f>Q23</f>
        <v>环境质量</v>
      </c>
      <c r="AA23" s="979">
        <f t="shared" si="3"/>
        <v>1</v>
      </c>
      <c r="AB23" s="979">
        <f t="shared" si="4"/>
        <v>1</v>
      </c>
      <c r="AC23" s="979">
        <f t="shared" si="5"/>
        <v>1</v>
      </c>
    </row>
    <row r="24" spans="1:29" ht="15">
      <c r="A24" s="272"/>
      <c r="B24" s="822"/>
      <c r="C24" s="284"/>
      <c r="D24" s="3179"/>
      <c r="E24" s="1443"/>
      <c r="F24" s="3763"/>
      <c r="G24" s="1442"/>
      <c r="H24" s="3752"/>
      <c r="I24" s="1443"/>
      <c r="J24" s="3752"/>
      <c r="K24" s="418"/>
      <c r="L24" s="653"/>
      <c r="M24" s="644"/>
      <c r="N24" s="644"/>
      <c r="O24" s="652"/>
      <c r="P24" s="4530"/>
      <c r="Q24" s="1587"/>
      <c r="R24" s="3518"/>
      <c r="S24" s="3519"/>
      <c r="T24" s="3518"/>
      <c r="U24" s="3519"/>
      <c r="V24" s="3518"/>
      <c r="W24" s="3519"/>
      <c r="X24" s="981"/>
      <c r="Y24" s="4483"/>
      <c r="Z24" s="979"/>
      <c r="AA24" s="979">
        <v>1</v>
      </c>
      <c r="AB24" s="979">
        <v>1</v>
      </c>
      <c r="AC24" s="979">
        <v>1</v>
      </c>
    </row>
    <row r="25" spans="1:29" ht="15">
      <c r="A25" s="256"/>
      <c r="B25" s="824">
        <v>111</v>
      </c>
      <c r="C25" s="277">
        <v>111</v>
      </c>
      <c r="D25" s="3176">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530"/>
      <c r="Q25" s="1587">
        <f>B25</f>
        <v>111</v>
      </c>
      <c r="R25" s="3518" t="s">
        <v>13</v>
      </c>
      <c r="S25" s="3519">
        <f>F25</f>
        <v>100</v>
      </c>
      <c r="T25" s="3518" t="s">
        <v>13</v>
      </c>
      <c r="U25" s="3519">
        <f>H25</f>
        <v>100</v>
      </c>
      <c r="V25" s="3518" t="s">
        <v>13</v>
      </c>
      <c r="W25" s="3519">
        <f>J25</f>
        <v>100</v>
      </c>
      <c r="X25" s="981"/>
      <c r="Y25" s="4483"/>
      <c r="Z25" s="979">
        <f>Q25</f>
        <v>111</v>
      </c>
      <c r="AA25" s="979">
        <f t="shared" si="3"/>
        <v>1</v>
      </c>
      <c r="AB25" s="979">
        <f t="shared" si="4"/>
        <v>1</v>
      </c>
      <c r="AC25" s="979">
        <f t="shared" si="5"/>
        <v>1</v>
      </c>
    </row>
    <row r="26" spans="1:29" ht="15">
      <c r="A26" s="272"/>
      <c r="B26" s="824">
        <v>111</v>
      </c>
      <c r="C26" s="277">
        <v>111</v>
      </c>
      <c r="D26" s="3176">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530"/>
      <c r="Q26" s="1587">
        <f t="shared" ref="Q26:Q40" si="11">B26</f>
        <v>111</v>
      </c>
      <c r="R26" s="3518" t="s">
        <v>13</v>
      </c>
      <c r="S26" s="3519">
        <f>F26</f>
        <v>100</v>
      </c>
      <c r="T26" s="3518" t="s">
        <v>13</v>
      </c>
      <c r="U26" s="3519">
        <f>H26</f>
        <v>100</v>
      </c>
      <c r="V26" s="3518" t="s">
        <v>13</v>
      </c>
      <c r="W26" s="3519">
        <f>J26</f>
        <v>100</v>
      </c>
      <c r="X26" s="981"/>
      <c r="Y26" s="4483"/>
      <c r="Z26" s="979">
        <f>Q26</f>
        <v>111</v>
      </c>
      <c r="AA26" s="979">
        <f t="shared" si="3"/>
        <v>1</v>
      </c>
      <c r="AB26" s="979">
        <f t="shared" si="4"/>
        <v>1</v>
      </c>
      <c r="AC26" s="979">
        <f t="shared" si="5"/>
        <v>1</v>
      </c>
    </row>
    <row r="27" spans="1:29" s="61" customFormat="1" ht="15">
      <c r="A27" s="275"/>
      <c r="B27" s="824">
        <v>111</v>
      </c>
      <c r="C27" s="277">
        <v>111</v>
      </c>
      <c r="D27" s="3182">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530"/>
      <c r="Q27" s="1787">
        <f t="shared" si="11"/>
        <v>111</v>
      </c>
      <c r="R27" s="3516" t="s">
        <v>13</v>
      </c>
      <c r="S27" s="3517">
        <f>F27</f>
        <v>100</v>
      </c>
      <c r="T27" s="3516" t="s">
        <v>13</v>
      </c>
      <c r="U27" s="3517">
        <f>H27</f>
        <v>100</v>
      </c>
      <c r="V27" s="3516" t="s">
        <v>13</v>
      </c>
      <c r="W27" s="3517">
        <f>J27</f>
        <v>100</v>
      </c>
      <c r="X27" s="512"/>
      <c r="Y27" s="4483"/>
      <c r="Z27" s="41">
        <f>Q27</f>
        <v>111</v>
      </c>
      <c r="AA27" s="979">
        <f>D27/F27</f>
        <v>1</v>
      </c>
      <c r="AB27" s="979">
        <f>D27/H27</f>
        <v>1</v>
      </c>
      <c r="AC27" s="979">
        <f>D27/J27</f>
        <v>1</v>
      </c>
    </row>
    <row r="28" spans="1:29" ht="15.75" thickBot="1">
      <c r="A28" s="278"/>
      <c r="B28" s="824">
        <v>111</v>
      </c>
      <c r="C28" s="279">
        <v>111</v>
      </c>
      <c r="D28" s="3177">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530"/>
      <c r="Q28" s="1587">
        <f t="shared" si="11"/>
        <v>111</v>
      </c>
      <c r="R28" s="3518" t="s">
        <v>13</v>
      </c>
      <c r="S28" s="3519">
        <f t="shared" ref="S28:S40" si="12">F28</f>
        <v>100</v>
      </c>
      <c r="T28" s="3518" t="s">
        <v>13</v>
      </c>
      <c r="U28" s="3519">
        <f t="shared" ref="U28:U40" si="13">H28</f>
        <v>100</v>
      </c>
      <c r="V28" s="3518" t="s">
        <v>13</v>
      </c>
      <c r="W28" s="3519">
        <f t="shared" ref="W28:W40" si="14">J28</f>
        <v>100</v>
      </c>
      <c r="X28" s="981"/>
      <c r="Y28" s="4483"/>
      <c r="Z28" s="979">
        <f t="shared" ref="Z28:Z40" si="15">Q28</f>
        <v>111</v>
      </c>
      <c r="AA28" s="979">
        <f t="shared" si="3"/>
        <v>1</v>
      </c>
      <c r="AB28" s="979">
        <f t="shared" si="4"/>
        <v>1</v>
      </c>
      <c r="AC28" s="979">
        <f t="shared" si="5"/>
        <v>1</v>
      </c>
    </row>
    <row r="29" spans="1:29" ht="28.5">
      <c r="A29" s="294" t="s">
        <v>1612</v>
      </c>
      <c r="B29" s="47" t="s">
        <v>1735</v>
      </c>
      <c r="C29" s="1500"/>
      <c r="D29" s="3183">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531" t="s">
        <v>1614</v>
      </c>
      <c r="Q29" s="1587" t="str">
        <f t="shared" si="11"/>
        <v>建筑类型</v>
      </c>
      <c r="R29" s="3518" t="s">
        <v>13</v>
      </c>
      <c r="S29" s="3519">
        <f t="shared" si="12"/>
        <v>100</v>
      </c>
      <c r="T29" s="3518" t="s">
        <v>13</v>
      </c>
      <c r="U29" s="3519">
        <f t="shared" si="13"/>
        <v>100</v>
      </c>
      <c r="V29" s="3518" t="s">
        <v>13</v>
      </c>
      <c r="W29" s="3519">
        <f t="shared" si="14"/>
        <v>100</v>
      </c>
      <c r="X29" s="981"/>
      <c r="Y29" s="4487" t="s">
        <v>1614</v>
      </c>
      <c r="Z29" s="979" t="str">
        <f t="shared" si="15"/>
        <v>建筑类型</v>
      </c>
      <c r="AA29" s="979">
        <f t="shared" si="3"/>
        <v>1</v>
      </c>
      <c r="AB29" s="979">
        <f t="shared" si="4"/>
        <v>1</v>
      </c>
      <c r="AC29" s="979">
        <f t="shared" si="5"/>
        <v>1</v>
      </c>
    </row>
    <row r="30" spans="1:29" s="297" customFormat="1" ht="15">
      <c r="A30" s="295"/>
      <c r="B30" s="270" t="s">
        <v>1615</v>
      </c>
      <c r="C30" s="296"/>
      <c r="D30" s="3174">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532"/>
      <c r="Q30" s="409" t="str">
        <f t="shared" si="11"/>
        <v>项目建筑规模</v>
      </c>
      <c r="R30" s="3520" t="s">
        <v>13</v>
      </c>
      <c r="S30" s="3521" t="e">
        <f t="shared" si="12"/>
        <v>#N/A</v>
      </c>
      <c r="T30" s="3520" t="s">
        <v>13</v>
      </c>
      <c r="U30" s="3521" t="e">
        <f t="shared" si="13"/>
        <v>#N/A</v>
      </c>
      <c r="V30" s="3520" t="s">
        <v>13</v>
      </c>
      <c r="W30" s="3521" t="e">
        <f t="shared" si="14"/>
        <v>#N/A</v>
      </c>
      <c r="X30" s="517"/>
      <c r="Y30" s="4487"/>
      <c r="Z30" s="518" t="str">
        <f t="shared" si="15"/>
        <v>项目建筑规模</v>
      </c>
      <c r="AA30" s="979" t="e">
        <f t="shared" si="3"/>
        <v>#N/A</v>
      </c>
      <c r="AB30" s="979" t="e">
        <f t="shared" si="4"/>
        <v>#N/A</v>
      </c>
      <c r="AC30" s="979" t="e">
        <f t="shared" si="5"/>
        <v>#N/A</v>
      </c>
    </row>
    <row r="31" spans="1:29" ht="15">
      <c r="A31" s="298"/>
      <c r="B31" s="270" t="s">
        <v>1616</v>
      </c>
      <c r="C31" s="293"/>
      <c r="D31" s="3176">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532"/>
      <c r="Q31" s="1587" t="str">
        <f t="shared" si="11"/>
        <v>建筑结构</v>
      </c>
      <c r="R31" s="3518" t="s">
        <v>13</v>
      </c>
      <c r="S31" s="3519">
        <f t="shared" si="12"/>
        <v>100</v>
      </c>
      <c r="T31" s="3518" t="s">
        <v>13</v>
      </c>
      <c r="U31" s="3519">
        <f t="shared" si="13"/>
        <v>100</v>
      </c>
      <c r="V31" s="3518" t="s">
        <v>13</v>
      </c>
      <c r="W31" s="3519">
        <f t="shared" si="14"/>
        <v>100</v>
      </c>
      <c r="X31" s="981"/>
      <c r="Y31" s="4487"/>
      <c r="Z31" s="979" t="str">
        <f t="shared" si="15"/>
        <v>建筑结构</v>
      </c>
      <c r="AA31" s="979">
        <f t="shared" si="3"/>
        <v>1</v>
      </c>
      <c r="AB31" s="979">
        <f t="shared" si="4"/>
        <v>1</v>
      </c>
      <c r="AC31" s="979">
        <f t="shared" si="5"/>
        <v>1</v>
      </c>
    </row>
    <row r="32" spans="1:29" ht="15">
      <c r="A32" s="298"/>
      <c r="B32" s="270" t="s">
        <v>1703</v>
      </c>
      <c r="C32" s="293"/>
      <c r="D32" s="3176">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532"/>
      <c r="Q32" s="1587" t="str">
        <f t="shared" si="11"/>
        <v>公共部分装修</v>
      </c>
      <c r="R32" s="3518" t="s">
        <v>13</v>
      </c>
      <c r="S32" s="3519">
        <f t="shared" si="12"/>
        <v>100</v>
      </c>
      <c r="T32" s="3518" t="s">
        <v>13</v>
      </c>
      <c r="U32" s="3519">
        <f t="shared" si="13"/>
        <v>100</v>
      </c>
      <c r="V32" s="3518" t="s">
        <v>13</v>
      </c>
      <c r="W32" s="3519">
        <f t="shared" si="14"/>
        <v>100</v>
      </c>
      <c r="X32" s="981"/>
      <c r="Y32" s="4487"/>
      <c r="Z32" s="979" t="str">
        <f t="shared" si="15"/>
        <v>公共部分装修</v>
      </c>
      <c r="AA32" s="979">
        <f t="shared" si="3"/>
        <v>1</v>
      </c>
      <c r="AB32" s="979">
        <f t="shared" si="4"/>
        <v>1</v>
      </c>
      <c r="AC32" s="979">
        <f t="shared" si="5"/>
        <v>1</v>
      </c>
    </row>
    <row r="33" spans="1:29" ht="15">
      <c r="A33" s="298"/>
      <c r="B33" s="270" t="s">
        <v>1704</v>
      </c>
      <c r="C33" s="296"/>
      <c r="D33" s="3176">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532"/>
      <c r="Q33" s="1587" t="str">
        <f t="shared" si="11"/>
        <v>成新度</v>
      </c>
      <c r="R33" s="3518" t="s">
        <v>13</v>
      </c>
      <c r="S33" s="3519" t="e">
        <f t="shared" si="12"/>
        <v>#N/A</v>
      </c>
      <c r="T33" s="3518" t="s">
        <v>13</v>
      </c>
      <c r="U33" s="3519" t="e">
        <f t="shared" si="13"/>
        <v>#N/A</v>
      </c>
      <c r="V33" s="3518" t="s">
        <v>13</v>
      </c>
      <c r="W33" s="3519" t="e">
        <f t="shared" si="14"/>
        <v>#N/A</v>
      </c>
      <c r="X33" s="981"/>
      <c r="Y33" s="4487"/>
      <c r="Z33" s="979" t="str">
        <f t="shared" si="15"/>
        <v>成新度</v>
      </c>
      <c r="AA33" s="979" t="e">
        <f t="shared" si="3"/>
        <v>#N/A</v>
      </c>
      <c r="AB33" s="979" t="e">
        <f t="shared" si="4"/>
        <v>#N/A</v>
      </c>
      <c r="AC33" s="979" t="e">
        <f t="shared" si="5"/>
        <v>#N/A</v>
      </c>
    </row>
    <row r="34" spans="1:29" s="61" customFormat="1" ht="15">
      <c r="A34" s="299"/>
      <c r="B34" s="270" t="s">
        <v>1737</v>
      </c>
      <c r="C34" s="293"/>
      <c r="D34" s="3174">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532"/>
      <c r="Q34" s="1787" t="str">
        <f t="shared" si="11"/>
        <v>物业管理</v>
      </c>
      <c r="R34" s="3516" t="s">
        <v>13</v>
      </c>
      <c r="S34" s="3517">
        <f t="shared" si="12"/>
        <v>100</v>
      </c>
      <c r="T34" s="3516" t="s">
        <v>13</v>
      </c>
      <c r="U34" s="3517">
        <f t="shared" si="13"/>
        <v>100</v>
      </c>
      <c r="V34" s="3516" t="s">
        <v>13</v>
      </c>
      <c r="W34" s="3517">
        <f t="shared" si="14"/>
        <v>100</v>
      </c>
      <c r="X34" s="512"/>
      <c r="Y34" s="4487"/>
      <c r="Z34" s="41" t="str">
        <f t="shared" si="15"/>
        <v>物业管理</v>
      </c>
      <c r="AA34" s="41">
        <f t="shared" si="3"/>
        <v>1</v>
      </c>
      <c r="AB34" s="41">
        <f t="shared" si="4"/>
        <v>1</v>
      </c>
      <c r="AC34" s="41">
        <f t="shared" si="5"/>
        <v>1</v>
      </c>
    </row>
    <row r="35" spans="1:29" ht="15">
      <c r="A35" s="298"/>
      <c r="B35" s="270" t="s">
        <v>1705</v>
      </c>
      <c r="C35" s="293"/>
      <c r="D35" s="3176">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532" t="s">
        <v>1614</v>
      </c>
      <c r="Q35" s="1587" t="str">
        <f t="shared" si="11"/>
        <v>市政基础设施</v>
      </c>
      <c r="R35" s="3518" t="s">
        <v>13</v>
      </c>
      <c r="S35" s="3519">
        <f t="shared" si="12"/>
        <v>100</v>
      </c>
      <c r="T35" s="3518" t="s">
        <v>13</v>
      </c>
      <c r="U35" s="3519">
        <f t="shared" si="13"/>
        <v>100</v>
      </c>
      <c r="V35" s="3518" t="s">
        <v>13</v>
      </c>
      <c r="W35" s="3519">
        <f t="shared" si="14"/>
        <v>100</v>
      </c>
      <c r="X35" s="981"/>
      <c r="Y35" s="4487" t="s">
        <v>1614</v>
      </c>
      <c r="Z35" s="979" t="str">
        <f t="shared" si="15"/>
        <v>市政基础设施</v>
      </c>
      <c r="AA35" s="979">
        <f t="shared" si="3"/>
        <v>1</v>
      </c>
      <c r="AB35" s="979">
        <f t="shared" si="4"/>
        <v>1</v>
      </c>
      <c r="AC35" s="979">
        <f t="shared" si="5"/>
        <v>1</v>
      </c>
    </row>
    <row r="36" spans="1:29" ht="15">
      <c r="A36" s="298"/>
      <c r="B36" s="270" t="s">
        <v>1710</v>
      </c>
      <c r="C36" s="293"/>
      <c r="D36" s="3176">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532"/>
      <c r="Q36" s="1587" t="str">
        <f t="shared" si="11"/>
        <v>内部装修</v>
      </c>
      <c r="R36" s="3518" t="s">
        <v>13</v>
      </c>
      <c r="S36" s="3519">
        <f t="shared" si="12"/>
        <v>100</v>
      </c>
      <c r="T36" s="3518" t="s">
        <v>13</v>
      </c>
      <c r="U36" s="3519">
        <f t="shared" si="13"/>
        <v>100</v>
      </c>
      <c r="V36" s="3518" t="s">
        <v>13</v>
      </c>
      <c r="W36" s="3519">
        <f t="shared" si="14"/>
        <v>100</v>
      </c>
      <c r="X36" s="981"/>
      <c r="Y36" s="4487"/>
      <c r="Z36" s="979" t="str">
        <f t="shared" si="15"/>
        <v>内部装修</v>
      </c>
      <c r="AA36" s="979">
        <f t="shared" si="3"/>
        <v>1</v>
      </c>
      <c r="AB36" s="979">
        <f t="shared" si="4"/>
        <v>1</v>
      </c>
      <c r="AC36" s="979">
        <f t="shared" si="5"/>
        <v>1</v>
      </c>
    </row>
    <row r="37" spans="1:29" ht="15">
      <c r="A37" s="298"/>
      <c r="B37" s="270" t="s">
        <v>1746</v>
      </c>
      <c r="C37" s="419"/>
      <c r="D37" s="3176">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532"/>
      <c r="Q37" s="1587" t="str">
        <f t="shared" si="11"/>
        <v>内部装修状况</v>
      </c>
      <c r="R37" s="3518" t="s">
        <v>13</v>
      </c>
      <c r="S37" s="3519">
        <f t="shared" si="12"/>
        <v>100</v>
      </c>
      <c r="T37" s="3518" t="s">
        <v>13</v>
      </c>
      <c r="U37" s="3519">
        <f t="shared" si="13"/>
        <v>100</v>
      </c>
      <c r="V37" s="3518" t="s">
        <v>13</v>
      </c>
      <c r="W37" s="3519">
        <f t="shared" si="14"/>
        <v>100</v>
      </c>
      <c r="X37" s="981"/>
      <c r="Y37" s="4487"/>
      <c r="Z37" s="979" t="str">
        <f t="shared" si="15"/>
        <v>内部装修状况</v>
      </c>
      <c r="AA37" s="979">
        <f t="shared" si="3"/>
        <v>1</v>
      </c>
      <c r="AB37" s="979">
        <f t="shared" si="4"/>
        <v>1</v>
      </c>
      <c r="AC37" s="979">
        <f t="shared" si="5"/>
        <v>1</v>
      </c>
    </row>
    <row r="38" spans="1:29" s="297" customFormat="1" ht="15">
      <c r="A38" s="295"/>
      <c r="B38" s="824">
        <v>111</v>
      </c>
      <c r="C38" s="296"/>
      <c r="D38" s="3176">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532"/>
      <c r="Q38" s="409">
        <f t="shared" si="11"/>
        <v>111</v>
      </c>
      <c r="R38" s="3520" t="s">
        <v>13</v>
      </c>
      <c r="S38" s="3521">
        <f t="shared" si="12"/>
        <v>100</v>
      </c>
      <c r="T38" s="3520" t="s">
        <v>13</v>
      </c>
      <c r="U38" s="3521">
        <f t="shared" si="13"/>
        <v>100</v>
      </c>
      <c r="V38" s="3520" t="s">
        <v>13</v>
      </c>
      <c r="W38" s="3521">
        <f t="shared" si="14"/>
        <v>100</v>
      </c>
      <c r="X38" s="517"/>
      <c r="Y38" s="4487"/>
      <c r="Z38" s="518">
        <f t="shared" si="15"/>
        <v>111</v>
      </c>
      <c r="AA38" s="979">
        <f t="shared" si="3"/>
        <v>1</v>
      </c>
      <c r="AB38" s="979">
        <f t="shared" si="4"/>
        <v>1</v>
      </c>
      <c r="AC38" s="979">
        <f t="shared" si="5"/>
        <v>1</v>
      </c>
    </row>
    <row r="39" spans="1:29" ht="15">
      <c r="A39" s="298"/>
      <c r="B39" s="824">
        <v>111</v>
      </c>
      <c r="C39" s="296"/>
      <c r="D39" s="3176">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532"/>
      <c r="Q39" s="1587">
        <f t="shared" si="11"/>
        <v>111</v>
      </c>
      <c r="R39" s="3518" t="s">
        <v>13</v>
      </c>
      <c r="S39" s="3519">
        <f t="shared" si="12"/>
        <v>100</v>
      </c>
      <c r="T39" s="3518" t="s">
        <v>13</v>
      </c>
      <c r="U39" s="3519">
        <f t="shared" si="13"/>
        <v>100</v>
      </c>
      <c r="V39" s="3518" t="s">
        <v>13</v>
      </c>
      <c r="W39" s="3519">
        <f t="shared" si="14"/>
        <v>100</v>
      </c>
      <c r="X39" s="981"/>
      <c r="Y39" s="4487"/>
      <c r="Z39" s="979">
        <f t="shared" si="15"/>
        <v>111</v>
      </c>
      <c r="AA39" s="979">
        <f t="shared" si="3"/>
        <v>1</v>
      </c>
      <c r="AB39" s="979">
        <f t="shared" si="4"/>
        <v>1</v>
      </c>
      <c r="AC39" s="979">
        <f t="shared" si="5"/>
        <v>1</v>
      </c>
    </row>
    <row r="40" spans="1:29" ht="15.75" thickBot="1">
      <c r="A40" s="303"/>
      <c r="B40" s="1441">
        <v>111</v>
      </c>
      <c r="C40" s="279"/>
      <c r="D40" s="3177">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33"/>
      <c r="Q40" s="1587">
        <f t="shared" si="11"/>
        <v>111</v>
      </c>
      <c r="R40" s="3518" t="s">
        <v>13</v>
      </c>
      <c r="S40" s="3519">
        <f t="shared" si="12"/>
        <v>100</v>
      </c>
      <c r="T40" s="3518" t="s">
        <v>13</v>
      </c>
      <c r="U40" s="3519">
        <f t="shared" si="13"/>
        <v>100</v>
      </c>
      <c r="V40" s="3518" t="s">
        <v>13</v>
      </c>
      <c r="W40" s="3519">
        <f t="shared" si="14"/>
        <v>100</v>
      </c>
      <c r="X40" s="981"/>
      <c r="Y40" s="4488"/>
      <c r="Z40" s="979">
        <f t="shared" si="15"/>
        <v>111</v>
      </c>
      <c r="AA40" s="979">
        <f t="shared" si="3"/>
        <v>1</v>
      </c>
      <c r="AB40" s="979">
        <f t="shared" si="4"/>
        <v>1</v>
      </c>
      <c r="AC40" s="979">
        <f t="shared" si="5"/>
        <v>1</v>
      </c>
    </row>
    <row r="41" spans="1:29" ht="15">
      <c r="A41" s="304" t="s">
        <v>1626</v>
      </c>
      <c r="B41" s="305"/>
      <c r="C41" s="829" t="s">
        <v>0</v>
      </c>
      <c r="D41" s="306"/>
      <c r="E41" s="3166"/>
      <c r="F41" s="3510"/>
      <c r="G41" s="3594"/>
      <c r="H41" s="3512"/>
      <c r="I41" s="3166"/>
      <c r="J41" s="3512"/>
      <c r="K41" s="3106"/>
      <c r="L41" s="656"/>
      <c r="M41" s="644"/>
      <c r="N41" s="644"/>
      <c r="O41" s="644"/>
      <c r="P41" s="4480" t="str">
        <f>A41</f>
        <v>成交单价（元/平方米）</v>
      </c>
      <c r="Q41" s="4480"/>
      <c r="R41" s="4481">
        <f>E41</f>
        <v>0</v>
      </c>
      <c r="S41" s="4481"/>
      <c r="T41" s="4481">
        <f>G41</f>
        <v>0</v>
      </c>
      <c r="U41" s="4481"/>
      <c r="V41" s="4481">
        <f>I41</f>
        <v>0</v>
      </c>
      <c r="W41" s="4481"/>
      <c r="X41" s="283"/>
      <c r="Y41" s="519"/>
      <c r="Z41" s="283"/>
      <c r="AA41" s="283"/>
      <c r="AB41" s="283"/>
      <c r="AC41" s="283"/>
    </row>
    <row r="42" spans="1:29" ht="15.75" thickBot="1">
      <c r="A42" s="307" t="s">
        <v>1711</v>
      </c>
      <c r="B42" s="308"/>
      <c r="C42" s="3149" t="e">
        <f>R43</f>
        <v>#DIV/0!</v>
      </c>
      <c r="D42" s="1782" t="s">
        <v>2054</v>
      </c>
      <c r="E42" s="3151" t="e">
        <f>R42</f>
        <v>#DIV/0!</v>
      </c>
      <c r="F42" s="3044"/>
      <c r="G42" s="3149" t="e">
        <f>T42</f>
        <v>#DIV/0!</v>
      </c>
      <c r="H42" s="3044"/>
      <c r="I42" s="3151" t="e">
        <f>V42</f>
        <v>#DIV/0!</v>
      </c>
      <c r="J42" s="3044"/>
      <c r="K42" s="3099">
        <f>F42+H42+J42</f>
        <v>0</v>
      </c>
      <c r="L42" s="656"/>
      <c r="M42" s="644"/>
      <c r="N42" s="644"/>
      <c r="O42" s="644"/>
      <c r="P42" s="4480" t="str">
        <f>A42</f>
        <v>比较价值（元/平方米）</v>
      </c>
      <c r="Q42" s="4480"/>
      <c r="R42" s="4481" t="e">
        <f>IF(F1="售价",ROUND(PRODUCT(R41,AA7:AA40),0),ROUND(PRODUCT(R41,AA7:AA40),1))</f>
        <v>#DIV/0!</v>
      </c>
      <c r="S42" s="4481"/>
      <c r="T42" s="4481" t="e">
        <f>IF(F1="售价",ROUND(PRODUCT(T41,AB7:AB40),0),ROUND(PRODUCT(T41,AB7:AB40),1))</f>
        <v>#DIV/0!</v>
      </c>
      <c r="U42" s="4481"/>
      <c r="V42" s="4481" t="e">
        <f>IF(F1="售价",ROUND(PRODUCT(V41,AC7:AC40),0),ROUND(PRODUCT(V41,AC7:AC40),1))</f>
        <v>#DIV/0!</v>
      </c>
      <c r="W42" s="4481"/>
      <c r="X42" s="283"/>
      <c r="Y42" s="283"/>
      <c r="Z42" s="283"/>
      <c r="AA42" s="283"/>
      <c r="AB42" s="283"/>
      <c r="AC42" s="283"/>
    </row>
    <row r="43" spans="1:29" ht="15.75" thickBot="1">
      <c r="A43" s="309" t="s">
        <v>1712</v>
      </c>
      <c r="B43" s="310"/>
      <c r="C43" s="3167" t="e">
        <f>R43</f>
        <v>#DIV/0!</v>
      </c>
      <c r="D43" s="259"/>
      <c r="E43" s="259"/>
      <c r="F43" s="259"/>
      <c r="G43" s="259"/>
      <c r="H43" s="259"/>
      <c r="I43" s="259"/>
      <c r="J43" s="259"/>
      <c r="K43" s="520"/>
      <c r="L43" s="656"/>
      <c r="M43" s="644"/>
      <c r="N43" s="644"/>
      <c r="O43" s="644"/>
      <c r="P43" s="4477" t="str">
        <f>A43</f>
        <v>估价对象XX用房的比较价值（楼面单价，元/平方米）</v>
      </c>
      <c r="Q43" s="4478"/>
      <c r="R43" s="4479" t="e">
        <f>IF(F1="售价",ROUND(IF(D42="简单平均",AVERAGE(R42:V42),R42*F42+T42*H42+V42*J42),0),ROUND(IF(D42="简单平均",AVERAGE(R42:V42),R42*F42+T42*H42+V42*J42),1))</f>
        <v>#DIV/0!</v>
      </c>
      <c r="S43" s="4479"/>
      <c r="T43" s="4479"/>
      <c r="U43" s="4479"/>
      <c r="V43" s="4479"/>
      <c r="W43" s="4479"/>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1716</v>
      </c>
      <c r="B51" s="283"/>
      <c r="C51" s="505"/>
      <c r="D51" s="505"/>
      <c r="E51" s="505"/>
      <c r="F51" s="506"/>
      <c r="G51" s="506"/>
      <c r="H51" s="505"/>
      <c r="I51" s="505"/>
      <c r="J51" s="505"/>
      <c r="K51" s="670"/>
      <c r="L51" s="671"/>
      <c r="M51" s="669"/>
      <c r="N51" s="669"/>
      <c r="O51" s="669"/>
      <c r="P51" s="3554"/>
      <c r="Q51" s="3555"/>
    </row>
    <row r="52" spans="1:23" s="323" customFormat="1" ht="15">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1634</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1599</v>
      </c>
      <c r="B55" s="325"/>
      <c r="C55" s="337" t="s">
        <v>1694</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1637</v>
      </c>
      <c r="B57" s="340" t="s">
        <v>1603</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1606</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1644</v>
      </c>
      <c r="C72" s="386" t="s">
        <v>1639</v>
      </c>
      <c r="D72" s="386" t="s">
        <v>1640</v>
      </c>
      <c r="E72" s="386" t="s">
        <v>1641</v>
      </c>
      <c r="F72" s="386" t="s">
        <v>1642</v>
      </c>
      <c r="G72" s="386" t="s">
        <v>1643</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1645</v>
      </c>
      <c r="C74" s="386" t="s">
        <v>1639</v>
      </c>
      <c r="D74" s="386" t="s">
        <v>1640</v>
      </c>
      <c r="E74" s="386" t="s">
        <v>1641</v>
      </c>
      <c r="F74" s="386" t="s">
        <v>1642</v>
      </c>
      <c r="G74" s="386" t="s">
        <v>1643</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1731</v>
      </c>
      <c r="C76" s="453" t="s">
        <v>1717</v>
      </c>
      <c r="D76" s="453" t="s">
        <v>1718</v>
      </c>
      <c r="E76" s="453" t="s">
        <v>1719</v>
      </c>
      <c r="F76" s="453" t="s">
        <v>1720</v>
      </c>
      <c r="G76" s="453" t="s">
        <v>1721</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1740</v>
      </c>
      <c r="C78" s="386" t="s">
        <v>1639</v>
      </c>
      <c r="D78" s="386" t="s">
        <v>1640</v>
      </c>
      <c r="E78" s="386" t="s">
        <v>1641</v>
      </c>
      <c r="F78" s="386" t="s">
        <v>1642</v>
      </c>
      <c r="G78" s="386" t="s">
        <v>1643</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1612</v>
      </c>
      <c r="B88" s="340" t="s">
        <v>1654</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1656</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1658</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1659</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1660</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1662</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3233</v>
      </c>
      <c r="C1" s="879" t="s">
        <v>1580</v>
      </c>
      <c r="D1" s="880"/>
      <c r="E1" s="2613"/>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IF(C2="含税",D2,ROUND(D2/(1+H3),0))</f>
        <v>0</v>
      </c>
      <c r="C2" s="3025"/>
      <c r="D2" s="3168" t="b">
        <f>IF(E1="项目模式",IF(E2="——",IF(B37="元/平方米",ROUND(C39*D3/10000,0),ROUND(F3*C39/10000,0)),IF(B37="元/平方米",ROUND(C39*D3/10000,0),ROUND(F3*C39/10000,0))-F2),IF(E1="单套模式",IF(E2="——",IF(B37="元/平方米",ROUND(C39*D3/10000,0),ROUND(F3*C39/10000,0)),IF(B37="元/平方米",ROUND(C39*D3/10000,0),ROUND(F3*C39/10000,0))-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1439</v>
      </c>
      <c r="B3" s="3125" t="e">
        <f>IF(AND(E2="——",B37="元/平方米"),C39,ROUND(B2*10000/D3,0))</f>
        <v>#DIV/0!</v>
      </c>
      <c r="C3" s="252" t="s">
        <v>1686</v>
      </c>
      <c r="D3" s="3125">
        <f>SUMIF('数据-汇总表'!$C19:$C33,D1,'数据-汇总表'!$E19:$E33)</f>
        <v>0</v>
      </c>
      <c r="E3" s="252" t="s">
        <v>1750</v>
      </c>
      <c r="F3" s="413">
        <f>SUMIF('数据-取费表'!A5:A15,D1,'数据-取费表'!AH5:AH15)</f>
        <v>0</v>
      </c>
      <c r="G3" s="3033" t="s">
        <v>3519</v>
      </c>
      <c r="H3" s="3034">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2068"/>
      <c r="M4" s="2069"/>
      <c r="N4" s="2069"/>
      <c r="O4" s="2069"/>
      <c r="P4" s="4535" t="s">
        <v>1693</v>
      </c>
      <c r="Q4" s="4536"/>
      <c r="R4" s="4470" t="s">
        <v>1689</v>
      </c>
      <c r="S4" s="4471"/>
      <c r="T4" s="4470" t="s">
        <v>1690</v>
      </c>
      <c r="U4" s="4471"/>
      <c r="V4" s="4521" t="s">
        <v>1691</v>
      </c>
      <c r="W4" s="4521"/>
      <c r="X4" s="981"/>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2068"/>
      <c r="M5" s="2069"/>
      <c r="N5" s="2069"/>
      <c r="O5" s="2069"/>
      <c r="P5" s="4537"/>
      <c r="Q5" s="4538"/>
      <c r="R5" s="4472"/>
      <c r="S5" s="4473"/>
      <c r="T5" s="4472"/>
      <c r="U5" s="4473"/>
      <c r="V5" s="4521"/>
      <c r="W5" s="4521"/>
      <c r="X5" s="981"/>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2068"/>
      <c r="M6" s="2069"/>
      <c r="N6" s="2069"/>
      <c r="O6" s="2069"/>
      <c r="P6" s="4539"/>
      <c r="Q6" s="4540"/>
      <c r="R6" s="4472"/>
      <c r="S6" s="4473"/>
      <c r="T6" s="4474"/>
      <c r="U6" s="4475"/>
      <c r="V6" s="4521"/>
      <c r="W6" s="4521"/>
      <c r="X6" s="981"/>
      <c r="Y6" s="4474"/>
      <c r="Z6" s="4475"/>
      <c r="AA6" s="4438"/>
      <c r="AB6" s="4438"/>
      <c r="AC6" s="4438"/>
    </row>
    <row r="7" spans="1:29" s="61" customFormat="1" ht="15.75" thickBot="1">
      <c r="A7" s="260" t="s">
        <v>1597</v>
      </c>
      <c r="B7" s="261"/>
      <c r="C7" s="262">
        <f>'数据-取费表'!B2</f>
        <v>46044</v>
      </c>
      <c r="D7" s="3172">
        <v>100</v>
      </c>
      <c r="E7" s="263"/>
      <c r="F7" s="3184">
        <f>SUMIF(48:48,YEAR(E7)&amp;"-"&amp;MONTH(E7),49:49)</f>
        <v>0</v>
      </c>
      <c r="G7" s="263"/>
      <c r="H7" s="3170">
        <f>SUMIF(48:48,YEAR(G7)&amp;"-"&amp;MONTH(G7),49:49)</f>
        <v>0</v>
      </c>
      <c r="I7" s="263"/>
      <c r="J7" s="3170">
        <f>SUMIF(48:48,YEAR(I7)&amp;"-"&amp;MONTH(I7),49:49)</f>
        <v>0</v>
      </c>
      <c r="K7" s="35"/>
      <c r="L7" s="2070"/>
      <c r="M7" s="2021"/>
      <c r="N7" s="2021"/>
      <c r="O7" s="2021"/>
      <c r="P7" s="4439" t="s">
        <v>1598</v>
      </c>
      <c r="Q7" s="4541"/>
      <c r="R7" s="510" t="s">
        <v>13</v>
      </c>
      <c r="S7" s="511">
        <f t="shared" ref="S7:S14" si="0">F7</f>
        <v>0</v>
      </c>
      <c r="T7" s="510" t="s">
        <v>13</v>
      </c>
      <c r="U7" s="511">
        <f t="shared" ref="U7:U14" si="1">H7</f>
        <v>0</v>
      </c>
      <c r="V7" s="510" t="s">
        <v>13</v>
      </c>
      <c r="W7" s="511">
        <f t="shared" ref="W7:W14" si="2">J7</f>
        <v>0</v>
      </c>
      <c r="X7" s="512"/>
      <c r="Y7" s="4439" t="s">
        <v>1598</v>
      </c>
      <c r="Z7" s="4440"/>
      <c r="AA7" s="41" t="e">
        <f>D7/F7</f>
        <v>#DIV/0!</v>
      </c>
      <c r="AB7" s="41" t="e">
        <f>D7/H7</f>
        <v>#DIV/0!</v>
      </c>
      <c r="AC7" s="41" t="e">
        <f>D7/J7</f>
        <v>#DIV/0!</v>
      </c>
    </row>
    <row r="8" spans="1:29" s="61" customFormat="1" ht="15.75" thickBot="1">
      <c r="A8" s="260" t="s">
        <v>1599</v>
      </c>
      <c r="B8" s="261"/>
      <c r="C8" s="264"/>
      <c r="D8" s="3172">
        <v>100</v>
      </c>
      <c r="E8" s="264"/>
      <c r="F8" s="3748">
        <f>SUMIF(51:51,E8,52:52)-SUMIF(51:51,C8,52:52)+100</f>
        <v>100</v>
      </c>
      <c r="G8" s="264"/>
      <c r="H8" s="3760">
        <f>SUMIF(51:51,G8,52:52)-SUMIF(51:51,C8,52:52)+100</f>
        <v>100</v>
      </c>
      <c r="I8" s="264"/>
      <c r="J8" s="3760">
        <f>SUMIF(51:51,I8,52:52)-SUMIF(51:51,C8,52:52)+100</f>
        <v>100</v>
      </c>
      <c r="K8" s="35"/>
      <c r="L8" s="2070"/>
      <c r="M8" s="2021"/>
      <c r="N8" s="2021"/>
      <c r="O8" s="2021"/>
      <c r="P8" s="4439" t="s">
        <v>1601</v>
      </c>
      <c r="Q8" s="4440"/>
      <c r="R8" s="510" t="s">
        <v>13</v>
      </c>
      <c r="S8" s="511">
        <f t="shared" si="0"/>
        <v>100</v>
      </c>
      <c r="T8" s="510" t="s">
        <v>13</v>
      </c>
      <c r="U8" s="511">
        <f t="shared" si="1"/>
        <v>100</v>
      </c>
      <c r="V8" s="510" t="s">
        <v>13</v>
      </c>
      <c r="W8" s="511">
        <f t="shared" si="2"/>
        <v>100</v>
      </c>
      <c r="X8" s="512"/>
      <c r="Y8" s="4439" t="s">
        <v>1601</v>
      </c>
      <c r="Z8" s="4440"/>
      <c r="AA8" s="41">
        <f t="shared" ref="AA8:AA36" si="3">D8/F8</f>
        <v>1</v>
      </c>
      <c r="AB8" s="41">
        <f t="shared" ref="AB8:AB36" si="4">D8/H8</f>
        <v>1</v>
      </c>
      <c r="AC8" s="41">
        <f t="shared" ref="AC8:AC36" si="5">D8/J8</f>
        <v>1</v>
      </c>
    </row>
    <row r="9" spans="1:29" s="61" customFormat="1">
      <c r="A9" s="44" t="s">
        <v>1602</v>
      </c>
      <c r="B9" s="437" t="s">
        <v>1603</v>
      </c>
      <c r="C9" s="266"/>
      <c r="D9" s="3173">
        <v>100</v>
      </c>
      <c r="E9" s="268"/>
      <c r="F9" s="3749">
        <f>SUMIF(53:53,E9,54:54)-SUMIF(53:53,C9,54:54)+100</f>
        <v>100</v>
      </c>
      <c r="G9" s="267"/>
      <c r="H9" s="3749">
        <f>SUMIF(53:53,G9,54:54)-SUMIF(53:53,C9,54:54)+100</f>
        <v>100</v>
      </c>
      <c r="I9" s="267"/>
      <c r="J9" s="3749">
        <f>SUMIF(53:53,I9,54:54)-SUMIF(53:53,C9,54:54)+100</f>
        <v>100</v>
      </c>
      <c r="K9" s="35"/>
      <c r="L9" s="2070"/>
      <c r="M9" s="2021"/>
      <c r="N9" s="2021"/>
      <c r="O9" s="2021"/>
      <c r="P9" s="4534" t="s">
        <v>1604</v>
      </c>
      <c r="Q9" s="407" t="str">
        <f t="shared" ref="Q9:Q14" si="6">B9</f>
        <v>用途</v>
      </c>
      <c r="R9" s="510" t="s">
        <v>13</v>
      </c>
      <c r="S9" s="511">
        <f t="shared" si="0"/>
        <v>100</v>
      </c>
      <c r="T9" s="510" t="s">
        <v>13</v>
      </c>
      <c r="U9" s="511">
        <f t="shared" si="1"/>
        <v>100</v>
      </c>
      <c r="V9" s="510" t="s">
        <v>13</v>
      </c>
      <c r="W9" s="511">
        <f t="shared" si="2"/>
        <v>100</v>
      </c>
      <c r="X9" s="512"/>
      <c r="Y9" s="4454" t="s">
        <v>1605</v>
      </c>
      <c r="Z9" s="41" t="str">
        <f t="shared" ref="Z9:Z14" si="7">Q9</f>
        <v>用途</v>
      </c>
      <c r="AA9" s="41">
        <f t="shared" si="3"/>
        <v>1</v>
      </c>
      <c r="AB9" s="41">
        <f t="shared" si="4"/>
        <v>1</v>
      </c>
      <c r="AC9" s="41">
        <f t="shared" si="5"/>
        <v>1</v>
      </c>
    </row>
    <row r="10" spans="1:29" s="271" customFormat="1" ht="27">
      <c r="A10" s="438"/>
      <c r="B10" s="439" t="s">
        <v>1606</v>
      </c>
      <c r="C10" s="2614"/>
      <c r="D10" s="3174">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534"/>
      <c r="Q10" s="407" t="str">
        <f t="shared" si="6"/>
        <v>土地使用年限（年）</v>
      </c>
      <c r="R10" s="510" t="s">
        <v>13</v>
      </c>
      <c r="S10" s="511">
        <f t="shared" si="0"/>
        <v>100</v>
      </c>
      <c r="T10" s="510" t="s">
        <v>13</v>
      </c>
      <c r="U10" s="511">
        <f t="shared" si="1"/>
        <v>100</v>
      </c>
      <c r="V10" s="510" t="s">
        <v>13</v>
      </c>
      <c r="W10" s="511">
        <f t="shared" si="2"/>
        <v>100</v>
      </c>
      <c r="X10" s="512"/>
      <c r="Y10" s="4454"/>
      <c r="Z10" s="41" t="str">
        <f t="shared" si="7"/>
        <v>土地使用年限（年）</v>
      </c>
      <c r="AA10" s="41">
        <f t="shared" si="3"/>
        <v>1</v>
      </c>
      <c r="AB10" s="41">
        <f t="shared" si="4"/>
        <v>1</v>
      </c>
      <c r="AC10" s="41">
        <f t="shared" si="5"/>
        <v>1</v>
      </c>
    </row>
    <row r="11" spans="1:29" ht="15">
      <c r="A11" s="440"/>
      <c r="B11" s="441">
        <v>111</v>
      </c>
      <c r="C11" s="276"/>
      <c r="D11" s="3174">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534"/>
      <c r="Q11" s="407">
        <f t="shared" si="6"/>
        <v>111</v>
      </c>
      <c r="R11" s="510" t="s">
        <v>13</v>
      </c>
      <c r="S11" s="511">
        <f t="shared" si="0"/>
        <v>100</v>
      </c>
      <c r="T11" s="510" t="s">
        <v>13</v>
      </c>
      <c r="U11" s="511">
        <f t="shared" si="1"/>
        <v>100</v>
      </c>
      <c r="V11" s="510" t="s">
        <v>13</v>
      </c>
      <c r="W11" s="511">
        <f t="shared" si="2"/>
        <v>100</v>
      </c>
      <c r="X11" s="512"/>
      <c r="Y11" s="4454"/>
      <c r="Z11" s="41">
        <f t="shared" si="7"/>
        <v>111</v>
      </c>
      <c r="AA11" s="41">
        <f t="shared" si="3"/>
        <v>1</v>
      </c>
      <c r="AB11" s="41">
        <f t="shared" si="4"/>
        <v>1</v>
      </c>
      <c r="AC11" s="41">
        <f t="shared" si="5"/>
        <v>1</v>
      </c>
    </row>
    <row r="12" spans="1:29" s="61" customFormat="1" ht="15">
      <c r="A12" s="442"/>
      <c r="B12" s="441">
        <v>111</v>
      </c>
      <c r="C12" s="276"/>
      <c r="D12" s="3175">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534"/>
      <c r="Q12" s="407">
        <f t="shared" si="6"/>
        <v>111</v>
      </c>
      <c r="R12" s="510" t="s">
        <v>13</v>
      </c>
      <c r="S12" s="511">
        <f t="shared" si="0"/>
        <v>100</v>
      </c>
      <c r="T12" s="510" t="s">
        <v>13</v>
      </c>
      <c r="U12" s="511">
        <f t="shared" si="1"/>
        <v>100</v>
      </c>
      <c r="V12" s="510" t="s">
        <v>13</v>
      </c>
      <c r="W12" s="511">
        <f t="shared" si="2"/>
        <v>100</v>
      </c>
      <c r="X12" s="512"/>
      <c r="Y12" s="4454"/>
      <c r="Z12" s="41">
        <f t="shared" si="7"/>
        <v>111</v>
      </c>
      <c r="AA12" s="41">
        <f>D12/F12</f>
        <v>1</v>
      </c>
      <c r="AB12" s="41">
        <f>D12/H12</f>
        <v>1</v>
      </c>
      <c r="AC12" s="41">
        <f>D12/J12</f>
        <v>1</v>
      </c>
    </row>
    <row r="13" spans="1:29" ht="15.75" thickBot="1">
      <c r="A13" s="443"/>
      <c r="B13" s="441">
        <v>111</v>
      </c>
      <c r="C13" s="277"/>
      <c r="D13" s="3176">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534"/>
      <c r="Q13" s="407">
        <f t="shared" si="6"/>
        <v>111</v>
      </c>
      <c r="R13" s="510" t="s">
        <v>13</v>
      </c>
      <c r="S13" s="511">
        <f t="shared" si="0"/>
        <v>100</v>
      </c>
      <c r="T13" s="510" t="s">
        <v>13</v>
      </c>
      <c r="U13" s="511">
        <f t="shared" si="1"/>
        <v>100</v>
      </c>
      <c r="V13" s="510" t="s">
        <v>13</v>
      </c>
      <c r="W13" s="511">
        <f t="shared" si="2"/>
        <v>100</v>
      </c>
      <c r="X13" s="512"/>
      <c r="Y13" s="4454"/>
      <c r="Z13" s="41">
        <f t="shared" si="7"/>
        <v>111</v>
      </c>
      <c r="AA13" s="41">
        <f t="shared" si="3"/>
        <v>1</v>
      </c>
      <c r="AB13" s="41">
        <f t="shared" si="4"/>
        <v>1</v>
      </c>
      <c r="AC13" s="41">
        <f t="shared" si="5"/>
        <v>1</v>
      </c>
    </row>
    <row r="14" spans="1:29" ht="15">
      <c r="A14" s="253" t="s">
        <v>1608</v>
      </c>
      <c r="B14" s="428" t="s">
        <v>1751</v>
      </c>
      <c r="C14" s="1504">
        <f>IF(B1="工业",估价对象房地状况!G4,估价对象房地状况!C6)</f>
        <v>0</v>
      </c>
      <c r="D14" s="3178">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482" t="s">
        <v>1609</v>
      </c>
      <c r="Q14" s="978" t="str">
        <f t="shared" si="6"/>
        <v>交通便捷度</v>
      </c>
      <c r="R14" s="513" t="s">
        <v>13</v>
      </c>
      <c r="S14" s="514">
        <f t="shared" si="0"/>
        <v>100</v>
      </c>
      <c r="T14" s="513" t="s">
        <v>13</v>
      </c>
      <c r="U14" s="514">
        <f t="shared" si="1"/>
        <v>100</v>
      </c>
      <c r="V14" s="513" t="s">
        <v>13</v>
      </c>
      <c r="W14" s="514">
        <f t="shared" si="2"/>
        <v>100</v>
      </c>
      <c r="X14" s="981"/>
      <c r="Y14" s="4482" t="s">
        <v>1609</v>
      </c>
      <c r="Z14" s="979" t="str">
        <f t="shared" si="7"/>
        <v>交通便捷度</v>
      </c>
      <c r="AA14" s="979">
        <f t="shared" si="3"/>
        <v>1</v>
      </c>
      <c r="AB14" s="979">
        <f t="shared" si="4"/>
        <v>1</v>
      </c>
      <c r="AC14" s="979">
        <f t="shared" si="5"/>
        <v>1</v>
      </c>
    </row>
    <row r="15" spans="1:29" ht="15">
      <c r="A15" s="256"/>
      <c r="B15" s="444"/>
      <c r="C15" s="284"/>
      <c r="D15" s="3179"/>
      <c r="E15" s="284"/>
      <c r="F15" s="3763"/>
      <c r="G15" s="284"/>
      <c r="H15" s="3753"/>
      <c r="I15" s="284"/>
      <c r="J15" s="3752"/>
      <c r="K15" s="418"/>
      <c r="L15" s="2074"/>
      <c r="M15" s="2069"/>
      <c r="N15" s="2069"/>
      <c r="O15" s="2069"/>
      <c r="P15" s="4483"/>
      <c r="Q15" s="978"/>
      <c r="R15" s="513"/>
      <c r="S15" s="514"/>
      <c r="T15" s="513"/>
      <c r="U15" s="514"/>
      <c r="V15" s="513"/>
      <c r="W15" s="514"/>
      <c r="X15" s="981"/>
      <c r="Y15" s="4483"/>
      <c r="Z15" s="979"/>
      <c r="AA15" s="979">
        <v>1</v>
      </c>
      <c r="AB15" s="979">
        <v>1</v>
      </c>
      <c r="AC15" s="979">
        <v>1</v>
      </c>
    </row>
    <row r="16" spans="1:29" ht="15">
      <c r="A16" s="256"/>
      <c r="B16" s="430" t="s">
        <v>1730</v>
      </c>
      <c r="C16" s="1444">
        <f>IF(B1="工业",估价对象房地状况!G5,估价对象房地状况!C7)</f>
        <v>0</v>
      </c>
      <c r="D16" s="3181">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483"/>
      <c r="Q16" s="978" t="str">
        <f>B16</f>
        <v>公共配套设施</v>
      </c>
      <c r="R16" s="513" t="s">
        <v>13</v>
      </c>
      <c r="S16" s="514">
        <f>F16</f>
        <v>100</v>
      </c>
      <c r="T16" s="513" t="s">
        <v>13</v>
      </c>
      <c r="U16" s="514">
        <f>H16</f>
        <v>100</v>
      </c>
      <c r="V16" s="513" t="s">
        <v>13</v>
      </c>
      <c r="W16" s="514">
        <f>J16</f>
        <v>100</v>
      </c>
      <c r="X16" s="981"/>
      <c r="Y16" s="4483"/>
      <c r="Z16" s="979" t="str">
        <f>Q16</f>
        <v>公共配套设施</v>
      </c>
      <c r="AA16" s="979">
        <f t="shared" si="3"/>
        <v>1</v>
      </c>
      <c r="AB16" s="979">
        <f t="shared" si="4"/>
        <v>1</v>
      </c>
      <c r="AC16" s="979">
        <f t="shared" si="5"/>
        <v>1</v>
      </c>
    </row>
    <row r="17" spans="1:29" ht="15">
      <c r="A17" s="256"/>
      <c r="B17" s="431"/>
      <c r="C17" s="1445"/>
      <c r="D17" s="3179"/>
      <c r="E17" s="284"/>
      <c r="F17" s="3763"/>
      <c r="G17" s="284"/>
      <c r="H17" s="3752"/>
      <c r="I17" s="284"/>
      <c r="J17" s="3752"/>
      <c r="K17" s="418"/>
      <c r="L17" s="2074"/>
      <c r="M17" s="2069"/>
      <c r="N17" s="2069"/>
      <c r="O17" s="2069"/>
      <c r="P17" s="4483"/>
      <c r="Q17" s="978"/>
      <c r="R17" s="513"/>
      <c r="S17" s="514"/>
      <c r="T17" s="513"/>
      <c r="U17" s="514"/>
      <c r="V17" s="513"/>
      <c r="W17" s="514"/>
      <c r="X17" s="981"/>
      <c r="Y17" s="4483"/>
      <c r="Z17" s="979"/>
      <c r="AA17" s="979">
        <v>1</v>
      </c>
      <c r="AB17" s="979">
        <v>1</v>
      </c>
      <c r="AC17" s="979">
        <v>1</v>
      </c>
    </row>
    <row r="18" spans="1:29" ht="15">
      <c r="A18" s="256"/>
      <c r="B18" s="432" t="s">
        <v>1731</v>
      </c>
      <c r="C18" s="1444">
        <f>IF(B1="工业",估价对象房地状况!G6,估价对象房地状况!C8)</f>
        <v>0</v>
      </c>
      <c r="D18" s="3180">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483"/>
      <c r="Q18" s="978" t="str">
        <f>B18</f>
        <v>基础设施水平</v>
      </c>
      <c r="R18" s="513" t="s">
        <v>13</v>
      </c>
      <c r="S18" s="514">
        <f>F18</f>
        <v>100</v>
      </c>
      <c r="T18" s="513" t="s">
        <v>13</v>
      </c>
      <c r="U18" s="514">
        <f>H18</f>
        <v>100</v>
      </c>
      <c r="V18" s="513" t="s">
        <v>13</v>
      </c>
      <c r="W18" s="514">
        <f>J18</f>
        <v>100</v>
      </c>
      <c r="X18" s="981"/>
      <c r="Y18" s="4483"/>
      <c r="Z18" s="979" t="str">
        <f>Q18</f>
        <v>基础设施水平</v>
      </c>
      <c r="AA18" s="979">
        <f t="shared" ref="AA18" si="8">D18/F18</f>
        <v>1</v>
      </c>
      <c r="AB18" s="979">
        <f t="shared" ref="AB18" si="9">D18/H18</f>
        <v>1</v>
      </c>
      <c r="AC18" s="979">
        <f t="shared" ref="AC18" si="10">D18/J18</f>
        <v>1</v>
      </c>
    </row>
    <row r="19" spans="1:29" ht="15">
      <c r="A19" s="256"/>
      <c r="B19" s="432"/>
      <c r="C19" s="1445"/>
      <c r="D19" s="3180"/>
      <c r="E19" s="1445"/>
      <c r="F19" s="3764"/>
      <c r="G19" s="1445"/>
      <c r="H19" s="3752"/>
      <c r="I19" s="284"/>
      <c r="J19" s="3752"/>
      <c r="K19" s="821"/>
      <c r="L19" s="2074"/>
      <c r="M19" s="2069"/>
      <c r="N19" s="2069"/>
      <c r="O19" s="2069"/>
      <c r="P19" s="4483"/>
      <c r="Q19" s="978"/>
      <c r="R19" s="513"/>
      <c r="S19" s="514"/>
      <c r="T19" s="513"/>
      <c r="U19" s="514"/>
      <c r="V19" s="513"/>
      <c r="W19" s="514"/>
      <c r="X19" s="981"/>
      <c r="Y19" s="4483"/>
      <c r="Z19" s="979"/>
      <c r="AA19" s="979">
        <v>1</v>
      </c>
      <c r="AB19" s="979">
        <v>1</v>
      </c>
      <c r="AC19" s="979">
        <v>1</v>
      </c>
    </row>
    <row r="20" spans="1:29" ht="15">
      <c r="A20" s="256"/>
      <c r="B20" s="430" t="s">
        <v>1752</v>
      </c>
      <c r="C20" s="1444">
        <f>IF(B1="工业",估价对象房地状况!G7,估价对象房地状况!C9)</f>
        <v>0</v>
      </c>
      <c r="D20" s="3181">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483"/>
      <c r="Q20" s="978" t="str">
        <f>B20</f>
        <v>自然及人文环境</v>
      </c>
      <c r="R20" s="513" t="s">
        <v>13</v>
      </c>
      <c r="S20" s="514">
        <f>F20</f>
        <v>100</v>
      </c>
      <c r="T20" s="513" t="s">
        <v>13</v>
      </c>
      <c r="U20" s="514">
        <f>H20</f>
        <v>100</v>
      </c>
      <c r="V20" s="513" t="s">
        <v>13</v>
      </c>
      <c r="W20" s="514">
        <f>J20</f>
        <v>100</v>
      </c>
      <c r="X20" s="981"/>
      <c r="Y20" s="4483"/>
      <c r="Z20" s="979" t="str">
        <f>Q20</f>
        <v>自然及人文环境</v>
      </c>
      <c r="AA20" s="979">
        <f t="shared" si="3"/>
        <v>1</v>
      </c>
      <c r="AB20" s="979">
        <f t="shared" si="4"/>
        <v>1</v>
      </c>
      <c r="AC20" s="979">
        <f t="shared" si="5"/>
        <v>1</v>
      </c>
    </row>
    <row r="21" spans="1:29" ht="15">
      <c r="A21" s="256"/>
      <c r="B21" s="431"/>
      <c r="C21" s="284"/>
      <c r="D21" s="3179"/>
      <c r="E21" s="284"/>
      <c r="F21" s="3763"/>
      <c r="G21" s="284"/>
      <c r="H21" s="3752"/>
      <c r="I21" s="284"/>
      <c r="J21" s="3752"/>
      <c r="K21" s="418"/>
      <c r="L21" s="2074"/>
      <c r="M21" s="2069"/>
      <c r="N21" s="2069"/>
      <c r="O21" s="2069"/>
      <c r="P21" s="4483"/>
      <c r="Q21" s="978"/>
      <c r="R21" s="513"/>
      <c r="S21" s="514"/>
      <c r="T21" s="513"/>
      <c r="U21" s="514"/>
      <c r="V21" s="513"/>
      <c r="W21" s="514"/>
      <c r="X21" s="981"/>
      <c r="Y21" s="4483"/>
      <c r="Z21" s="979"/>
      <c r="AA21" s="979">
        <v>1</v>
      </c>
      <c r="AB21" s="979">
        <v>1</v>
      </c>
      <c r="AC21" s="979">
        <v>1</v>
      </c>
    </row>
    <row r="22" spans="1:29" ht="15">
      <c r="A22" s="256"/>
      <c r="B22" s="430" t="s">
        <v>1753</v>
      </c>
      <c r="C22" s="419"/>
      <c r="D22" s="3180">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483"/>
      <c r="Q22" s="978" t="str">
        <f>B22</f>
        <v>楼层</v>
      </c>
      <c r="R22" s="513" t="s">
        <v>13</v>
      </c>
      <c r="S22" s="514">
        <f>F22</f>
        <v>100</v>
      </c>
      <c r="T22" s="513" t="s">
        <v>13</v>
      </c>
      <c r="U22" s="514">
        <f>H22</f>
        <v>100</v>
      </c>
      <c r="V22" s="513" t="s">
        <v>13</v>
      </c>
      <c r="W22" s="514">
        <f>J22</f>
        <v>100</v>
      </c>
      <c r="X22" s="981"/>
      <c r="Y22" s="4483"/>
      <c r="Z22" s="979" t="str">
        <f>Q22</f>
        <v>楼层</v>
      </c>
      <c r="AA22" s="979">
        <f t="shared" si="3"/>
        <v>1</v>
      </c>
      <c r="AB22" s="979">
        <f t="shared" si="4"/>
        <v>1</v>
      </c>
      <c r="AC22" s="979">
        <f t="shared" si="5"/>
        <v>1</v>
      </c>
    </row>
    <row r="23" spans="1:29" ht="15">
      <c r="A23" s="256"/>
      <c r="B23" s="329">
        <v>111</v>
      </c>
      <c r="C23" s="276"/>
      <c r="D23" s="3176">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483"/>
      <c r="Q23" s="978">
        <f>B23</f>
        <v>111</v>
      </c>
      <c r="R23" s="513" t="s">
        <v>13</v>
      </c>
      <c r="S23" s="514">
        <f>F23</f>
        <v>100</v>
      </c>
      <c r="T23" s="513" t="s">
        <v>13</v>
      </c>
      <c r="U23" s="514">
        <f>H23</f>
        <v>100</v>
      </c>
      <c r="V23" s="513" t="s">
        <v>13</v>
      </c>
      <c r="W23" s="514">
        <f>J23</f>
        <v>100</v>
      </c>
      <c r="X23" s="981"/>
      <c r="Y23" s="4483"/>
      <c r="Z23" s="979">
        <f>Q23</f>
        <v>111</v>
      </c>
      <c r="AA23" s="979">
        <f t="shared" si="3"/>
        <v>1</v>
      </c>
      <c r="AB23" s="979">
        <f t="shared" si="4"/>
        <v>1</v>
      </c>
      <c r="AC23" s="979">
        <f t="shared" si="5"/>
        <v>1</v>
      </c>
    </row>
    <row r="24" spans="1:29" ht="15">
      <c r="A24" s="256"/>
      <c r="B24" s="329">
        <v>111</v>
      </c>
      <c r="C24" s="276"/>
      <c r="D24" s="3176">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483"/>
      <c r="Q24" s="978">
        <f t="shared" ref="Q24:Q36" si="11">B24</f>
        <v>111</v>
      </c>
      <c r="R24" s="513" t="s">
        <v>13</v>
      </c>
      <c r="S24" s="514">
        <f>F24</f>
        <v>100</v>
      </c>
      <c r="T24" s="513" t="s">
        <v>13</v>
      </c>
      <c r="U24" s="514">
        <f>H24</f>
        <v>100</v>
      </c>
      <c r="V24" s="513" t="s">
        <v>13</v>
      </c>
      <c r="W24" s="514">
        <f>J24</f>
        <v>100</v>
      </c>
      <c r="X24" s="981"/>
      <c r="Y24" s="4483"/>
      <c r="Z24" s="979">
        <f>Q24</f>
        <v>111</v>
      </c>
      <c r="AA24" s="979">
        <f t="shared" si="3"/>
        <v>1</v>
      </c>
      <c r="AB24" s="979">
        <f t="shared" si="4"/>
        <v>1</v>
      </c>
      <c r="AC24" s="979">
        <f t="shared" si="5"/>
        <v>1</v>
      </c>
    </row>
    <row r="25" spans="1:29" s="61" customFormat="1" ht="15.75" thickBot="1">
      <c r="A25" s="324"/>
      <c r="B25" s="434">
        <v>111</v>
      </c>
      <c r="C25" s="279"/>
      <c r="D25" s="3186">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483"/>
      <c r="Q25" s="407">
        <f t="shared" si="11"/>
        <v>111</v>
      </c>
      <c r="R25" s="510" t="s">
        <v>13</v>
      </c>
      <c r="S25" s="511">
        <f>F25</f>
        <v>100</v>
      </c>
      <c r="T25" s="510" t="s">
        <v>13</v>
      </c>
      <c r="U25" s="511">
        <f>H25</f>
        <v>100</v>
      </c>
      <c r="V25" s="510" t="s">
        <v>13</v>
      </c>
      <c r="W25" s="511">
        <f>J25</f>
        <v>100</v>
      </c>
      <c r="X25" s="512"/>
      <c r="Y25" s="4483"/>
      <c r="Z25" s="41">
        <f>Q25</f>
        <v>111</v>
      </c>
      <c r="AA25" s="979">
        <f>D25/F25</f>
        <v>1</v>
      </c>
      <c r="AB25" s="979">
        <f>D25/H25</f>
        <v>1</v>
      </c>
      <c r="AC25" s="979">
        <f>D25/J25</f>
        <v>1</v>
      </c>
    </row>
    <row r="26" spans="1:29" ht="28.5">
      <c r="A26" s="445" t="s">
        <v>1612</v>
      </c>
      <c r="B26" s="46" t="s">
        <v>1754</v>
      </c>
      <c r="C26" s="1505" t="str">
        <f>B1</f>
        <v>车库</v>
      </c>
      <c r="D26" s="3179">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42"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87" t="s">
        <v>1614</v>
      </c>
      <c r="Z26" s="979" t="str">
        <f t="shared" ref="Z26:Z36" si="15">Q26</f>
        <v>配套类型</v>
      </c>
      <c r="AA26" s="979" t="e">
        <f t="shared" si="3"/>
        <v>#DIV/0!</v>
      </c>
      <c r="AB26" s="979" t="e">
        <f t="shared" si="4"/>
        <v>#DIV/0!</v>
      </c>
      <c r="AC26" s="979" t="e">
        <f t="shared" si="5"/>
        <v>#DIV/0!</v>
      </c>
    </row>
    <row r="27" spans="1:29" s="297" customFormat="1" ht="15">
      <c r="A27" s="446"/>
      <c r="B27" s="447" t="s">
        <v>1755</v>
      </c>
      <c r="C27" s="448"/>
      <c r="D27" s="3174">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487"/>
      <c r="Q27" s="408" t="str">
        <f t="shared" si="11"/>
        <v>项目停车位配比</v>
      </c>
      <c r="R27" s="515" t="s">
        <v>13</v>
      </c>
      <c r="S27" s="516">
        <f t="shared" si="12"/>
        <v>100</v>
      </c>
      <c r="T27" s="515" t="s">
        <v>13</v>
      </c>
      <c r="U27" s="516">
        <f t="shared" si="13"/>
        <v>100</v>
      </c>
      <c r="V27" s="515" t="s">
        <v>13</v>
      </c>
      <c r="W27" s="516">
        <f t="shared" si="14"/>
        <v>100</v>
      </c>
      <c r="X27" s="517"/>
      <c r="Y27" s="4487"/>
      <c r="Z27" s="518" t="str">
        <f t="shared" si="15"/>
        <v>项目停车位配比</v>
      </c>
      <c r="AA27" s="979">
        <f t="shared" si="3"/>
        <v>1</v>
      </c>
      <c r="AB27" s="979">
        <f t="shared" si="4"/>
        <v>1</v>
      </c>
      <c r="AC27" s="979">
        <f t="shared" si="5"/>
        <v>1</v>
      </c>
    </row>
    <row r="28" spans="1:29" ht="15">
      <c r="A28" s="449"/>
      <c r="B28" s="447" t="s">
        <v>1756</v>
      </c>
      <c r="C28" s="293"/>
      <c r="D28" s="3176">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487"/>
      <c r="Q28" s="978" t="str">
        <f t="shared" si="11"/>
        <v>公共部分装修</v>
      </c>
      <c r="R28" s="513" t="s">
        <v>13</v>
      </c>
      <c r="S28" s="514">
        <f t="shared" si="12"/>
        <v>100</v>
      </c>
      <c r="T28" s="513" t="s">
        <v>13</v>
      </c>
      <c r="U28" s="514">
        <f t="shared" si="13"/>
        <v>100</v>
      </c>
      <c r="V28" s="513" t="s">
        <v>13</v>
      </c>
      <c r="W28" s="514">
        <f t="shared" si="14"/>
        <v>100</v>
      </c>
      <c r="X28" s="981"/>
      <c r="Y28" s="4487"/>
      <c r="Z28" s="979" t="str">
        <f t="shared" si="15"/>
        <v>公共部分装修</v>
      </c>
      <c r="AA28" s="979">
        <f t="shared" si="3"/>
        <v>1</v>
      </c>
      <c r="AB28" s="979">
        <f t="shared" si="4"/>
        <v>1</v>
      </c>
      <c r="AC28" s="979">
        <f t="shared" si="5"/>
        <v>1</v>
      </c>
    </row>
    <row r="29" spans="1:29" ht="15">
      <c r="A29" s="449"/>
      <c r="B29" s="447" t="s">
        <v>1757</v>
      </c>
      <c r="C29" s="300"/>
      <c r="D29" s="3176">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487"/>
      <c r="Q29" s="978" t="str">
        <f t="shared" si="11"/>
        <v>成新率</v>
      </c>
      <c r="R29" s="513" t="s">
        <v>13</v>
      </c>
      <c r="S29" s="514" t="e">
        <f t="shared" si="12"/>
        <v>#N/A</v>
      </c>
      <c r="T29" s="513" t="s">
        <v>13</v>
      </c>
      <c r="U29" s="514" t="e">
        <f t="shared" si="13"/>
        <v>#N/A</v>
      </c>
      <c r="V29" s="513" t="s">
        <v>13</v>
      </c>
      <c r="W29" s="514" t="e">
        <f t="shared" si="14"/>
        <v>#N/A</v>
      </c>
      <c r="X29" s="981"/>
      <c r="Y29" s="4487"/>
      <c r="Z29" s="979" t="str">
        <f t="shared" si="15"/>
        <v>成新率</v>
      </c>
      <c r="AA29" s="979" t="e">
        <f t="shared" si="3"/>
        <v>#N/A</v>
      </c>
      <c r="AB29" s="979" t="e">
        <f t="shared" si="4"/>
        <v>#N/A</v>
      </c>
      <c r="AC29" s="979" t="e">
        <f t="shared" si="5"/>
        <v>#N/A</v>
      </c>
    </row>
    <row r="30" spans="1:29" ht="15">
      <c r="A30" s="449"/>
      <c r="B30" s="447" t="s">
        <v>1758</v>
      </c>
      <c r="C30" s="450"/>
      <c r="D30" s="3176">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487"/>
      <c r="Q30" s="978" t="str">
        <f t="shared" si="11"/>
        <v>物业等级</v>
      </c>
      <c r="R30" s="513" t="s">
        <v>13</v>
      </c>
      <c r="S30" s="514">
        <f t="shared" si="12"/>
        <v>100</v>
      </c>
      <c r="T30" s="513" t="s">
        <v>13</v>
      </c>
      <c r="U30" s="514">
        <f t="shared" si="13"/>
        <v>100</v>
      </c>
      <c r="V30" s="513" t="s">
        <v>13</v>
      </c>
      <c r="W30" s="514">
        <f t="shared" si="14"/>
        <v>100</v>
      </c>
      <c r="X30" s="981"/>
      <c r="Y30" s="4487"/>
      <c r="Z30" s="979" t="str">
        <f t="shared" si="15"/>
        <v>物业等级</v>
      </c>
      <c r="AA30" s="979">
        <f t="shared" si="3"/>
        <v>1</v>
      </c>
      <c r="AB30" s="979">
        <f t="shared" si="4"/>
        <v>1</v>
      </c>
      <c r="AC30" s="979">
        <f t="shared" si="5"/>
        <v>1</v>
      </c>
    </row>
    <row r="31" spans="1:29" s="61" customFormat="1" ht="15">
      <c r="A31" s="451"/>
      <c r="B31" s="447" t="s">
        <v>1759</v>
      </c>
      <c r="C31" s="296"/>
      <c r="D31" s="3174">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487"/>
      <c r="Q31" s="407" t="str">
        <f t="shared" si="11"/>
        <v>停车位面积</v>
      </c>
      <c r="R31" s="510" t="s">
        <v>13</v>
      </c>
      <c r="S31" s="511" t="e">
        <f t="shared" si="12"/>
        <v>#N/A</v>
      </c>
      <c r="T31" s="510" t="s">
        <v>13</v>
      </c>
      <c r="U31" s="511" t="e">
        <f t="shared" si="13"/>
        <v>#N/A</v>
      </c>
      <c r="V31" s="510" t="s">
        <v>13</v>
      </c>
      <c r="W31" s="511" t="e">
        <f t="shared" si="14"/>
        <v>#N/A</v>
      </c>
      <c r="X31" s="512"/>
      <c r="Y31" s="4487"/>
      <c r="Z31" s="41" t="str">
        <f t="shared" si="15"/>
        <v>停车位面积</v>
      </c>
      <c r="AA31" s="41" t="e">
        <f t="shared" si="3"/>
        <v>#N/A</v>
      </c>
      <c r="AB31" s="41" t="e">
        <f t="shared" si="4"/>
        <v>#N/A</v>
      </c>
      <c r="AC31" s="41" t="e">
        <f t="shared" si="5"/>
        <v>#N/A</v>
      </c>
    </row>
    <row r="32" spans="1:29" ht="15">
      <c r="A32" s="449"/>
      <c r="B32" s="447" t="s">
        <v>1760</v>
      </c>
      <c r="C32" s="293"/>
      <c r="D32" s="3176">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487" t="s">
        <v>1614</v>
      </c>
      <c r="Q32" s="978" t="str">
        <f t="shared" si="11"/>
        <v>车位类型</v>
      </c>
      <c r="R32" s="513" t="s">
        <v>13</v>
      </c>
      <c r="S32" s="514">
        <f t="shared" si="12"/>
        <v>100</v>
      </c>
      <c r="T32" s="513" t="s">
        <v>13</v>
      </c>
      <c r="U32" s="514">
        <f t="shared" si="13"/>
        <v>100</v>
      </c>
      <c r="V32" s="513" t="s">
        <v>13</v>
      </c>
      <c r="W32" s="514">
        <f t="shared" si="14"/>
        <v>100</v>
      </c>
      <c r="X32" s="981"/>
      <c r="Y32" s="4487" t="s">
        <v>1614</v>
      </c>
      <c r="Z32" s="979" t="str">
        <f t="shared" si="15"/>
        <v>车位类型</v>
      </c>
      <c r="AA32" s="979">
        <f t="shared" si="3"/>
        <v>1</v>
      </c>
      <c r="AB32" s="979">
        <f t="shared" si="4"/>
        <v>1</v>
      </c>
      <c r="AC32" s="979">
        <f t="shared" si="5"/>
        <v>1</v>
      </c>
    </row>
    <row r="33" spans="1:29" ht="15">
      <c r="A33" s="449"/>
      <c r="B33" s="447" t="s">
        <v>1761</v>
      </c>
      <c r="C33" s="293"/>
      <c r="D33" s="3176">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487"/>
      <c r="Q33" s="978" t="str">
        <f t="shared" si="11"/>
        <v>是否直接入户</v>
      </c>
      <c r="R33" s="513" t="s">
        <v>13</v>
      </c>
      <c r="S33" s="514">
        <f t="shared" si="12"/>
        <v>100</v>
      </c>
      <c r="T33" s="513" t="s">
        <v>13</v>
      </c>
      <c r="U33" s="514">
        <f t="shared" si="13"/>
        <v>100</v>
      </c>
      <c r="V33" s="513" t="s">
        <v>13</v>
      </c>
      <c r="W33" s="514">
        <f t="shared" si="14"/>
        <v>100</v>
      </c>
      <c r="X33" s="981"/>
      <c r="Y33" s="4487"/>
      <c r="Z33" s="979" t="str">
        <f t="shared" si="15"/>
        <v>是否直接入户</v>
      </c>
      <c r="AA33" s="979">
        <f t="shared" si="3"/>
        <v>1</v>
      </c>
      <c r="AB33" s="979">
        <f t="shared" si="4"/>
        <v>1</v>
      </c>
      <c r="AC33" s="979">
        <f t="shared" si="5"/>
        <v>1</v>
      </c>
    </row>
    <row r="34" spans="1:29" ht="15">
      <c r="A34" s="449"/>
      <c r="B34" s="329">
        <v>111</v>
      </c>
      <c r="C34" s="276"/>
      <c r="D34" s="3176">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487"/>
      <c r="Q34" s="978">
        <f t="shared" si="11"/>
        <v>111</v>
      </c>
      <c r="R34" s="513" t="s">
        <v>13</v>
      </c>
      <c r="S34" s="514">
        <f t="shared" si="12"/>
        <v>100</v>
      </c>
      <c r="T34" s="513" t="s">
        <v>13</v>
      </c>
      <c r="U34" s="514">
        <f t="shared" si="13"/>
        <v>100</v>
      </c>
      <c r="V34" s="513" t="s">
        <v>13</v>
      </c>
      <c r="W34" s="514">
        <f t="shared" si="14"/>
        <v>100</v>
      </c>
      <c r="X34" s="981"/>
      <c r="Y34" s="4487"/>
      <c r="Z34" s="979">
        <f t="shared" si="15"/>
        <v>111</v>
      </c>
      <c r="AA34" s="979">
        <f t="shared" si="3"/>
        <v>1</v>
      </c>
      <c r="AB34" s="979">
        <f t="shared" si="4"/>
        <v>1</v>
      </c>
      <c r="AC34" s="979">
        <f t="shared" si="5"/>
        <v>1</v>
      </c>
    </row>
    <row r="35" spans="1:29" s="297" customFormat="1" ht="15">
      <c r="A35" s="446"/>
      <c r="B35" s="329">
        <v>111</v>
      </c>
      <c r="C35" s="276"/>
      <c r="D35" s="3176">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487"/>
      <c r="Q35" s="408">
        <f t="shared" si="11"/>
        <v>111</v>
      </c>
      <c r="R35" s="515" t="s">
        <v>13</v>
      </c>
      <c r="S35" s="516">
        <f t="shared" si="12"/>
        <v>100</v>
      </c>
      <c r="T35" s="515" t="s">
        <v>13</v>
      </c>
      <c r="U35" s="516">
        <f t="shared" si="13"/>
        <v>100</v>
      </c>
      <c r="V35" s="515" t="s">
        <v>13</v>
      </c>
      <c r="W35" s="516">
        <f t="shared" si="14"/>
        <v>100</v>
      </c>
      <c r="X35" s="517"/>
      <c r="Y35" s="4487"/>
      <c r="Z35" s="518">
        <f t="shared" si="15"/>
        <v>111</v>
      </c>
      <c r="AA35" s="979">
        <f t="shared" si="3"/>
        <v>1</v>
      </c>
      <c r="AB35" s="979">
        <f t="shared" si="4"/>
        <v>1</v>
      </c>
      <c r="AC35" s="979">
        <f t="shared" si="5"/>
        <v>1</v>
      </c>
    </row>
    <row r="36" spans="1:29" ht="15.75" thickBot="1">
      <c r="A36" s="452"/>
      <c r="B36" s="434">
        <v>111</v>
      </c>
      <c r="C36" s="277"/>
      <c r="D36" s="3176">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487"/>
      <c r="Q36" s="978">
        <f t="shared" si="11"/>
        <v>111</v>
      </c>
      <c r="R36" s="513" t="s">
        <v>13</v>
      </c>
      <c r="S36" s="514">
        <f t="shared" si="12"/>
        <v>100</v>
      </c>
      <c r="T36" s="513" t="s">
        <v>13</v>
      </c>
      <c r="U36" s="514">
        <f t="shared" si="13"/>
        <v>100</v>
      </c>
      <c r="V36" s="513" t="s">
        <v>13</v>
      </c>
      <c r="W36" s="514">
        <f t="shared" si="14"/>
        <v>100</v>
      </c>
      <c r="X36" s="981"/>
      <c r="Y36" s="4487"/>
      <c r="Z36" s="979">
        <f t="shared" si="15"/>
        <v>111</v>
      </c>
      <c r="AA36" s="979">
        <f t="shared" si="3"/>
        <v>1</v>
      </c>
      <c r="AB36" s="979">
        <f t="shared" si="4"/>
        <v>1</v>
      </c>
      <c r="AC36" s="979">
        <f t="shared" si="5"/>
        <v>1</v>
      </c>
    </row>
    <row r="37" spans="1:29" ht="15">
      <c r="A37" s="304" t="s">
        <v>1762</v>
      </c>
      <c r="B37" s="1506" t="s">
        <v>3253</v>
      </c>
      <c r="C37" s="829" t="s">
        <v>0</v>
      </c>
      <c r="D37" s="306"/>
      <c r="E37" s="3166"/>
      <c r="F37" s="3510"/>
      <c r="G37" s="3594"/>
      <c r="H37" s="3512"/>
      <c r="I37" s="3166"/>
      <c r="J37" s="3512"/>
      <c r="K37" s="3595"/>
      <c r="L37" s="2076"/>
      <c r="M37" s="2069"/>
      <c r="N37" s="2069"/>
      <c r="O37" s="2069"/>
      <c r="P37" s="4534" t="str">
        <f>A37</f>
        <v>成交单价</v>
      </c>
      <c r="Q37" s="4534"/>
      <c r="R37" s="4521">
        <f>E37</f>
        <v>0</v>
      </c>
      <c r="S37" s="4521"/>
      <c r="T37" s="4521">
        <f>G37</f>
        <v>0</v>
      </c>
      <c r="U37" s="4521"/>
      <c r="V37" s="4521">
        <f>I37</f>
        <v>0</v>
      </c>
      <c r="W37" s="4521"/>
      <c r="X37" s="283"/>
      <c r="Y37" s="519"/>
      <c r="Z37" s="283"/>
      <c r="AA37" s="283"/>
      <c r="AB37" s="283"/>
      <c r="AC37" s="283"/>
    </row>
    <row r="38" spans="1:29" ht="15.75" thickBot="1">
      <c r="A38" s="307" t="s">
        <v>1763</v>
      </c>
      <c r="B38" s="308" t="str">
        <f>B37</f>
        <v>元/平方米</v>
      </c>
      <c r="C38" s="3149" t="e">
        <f>R39</f>
        <v>#DIV/0!</v>
      </c>
      <c r="D38" s="1782" t="s">
        <v>2054</v>
      </c>
      <c r="E38" s="3151" t="e">
        <f>R38</f>
        <v>#DIV/0!</v>
      </c>
      <c r="F38" s="3044"/>
      <c r="G38" s="3149" t="e">
        <f>T38</f>
        <v>#DIV/0!</v>
      </c>
      <c r="H38" s="3044"/>
      <c r="I38" s="3151" t="e">
        <f>V38</f>
        <v>#DIV/0!</v>
      </c>
      <c r="J38" s="3044"/>
      <c r="K38" s="3099">
        <f>F38+H38+J38</f>
        <v>0</v>
      </c>
      <c r="L38" s="2076"/>
      <c r="M38" s="2069"/>
      <c r="N38" s="2069"/>
      <c r="O38" s="2069"/>
      <c r="P38" s="4534" t="str">
        <f>A38</f>
        <v>比较价值（元/平方米）</v>
      </c>
      <c r="Q38" s="4534"/>
      <c r="R38" s="4521" t="e">
        <f>IF(F1="售价",ROUND(PRODUCT(R37,AA7:AA36),0),ROUND(PRODUCT(R37,AA7:AA36),1))</f>
        <v>#DIV/0!</v>
      </c>
      <c r="S38" s="4521"/>
      <c r="T38" s="4521" t="e">
        <f>IF(F1="售价",ROUND(PRODUCT(T37,AB7:AB36),0),ROUND(PRODUCT(T37,AB7:AB36),1))</f>
        <v>#DIV/0!</v>
      </c>
      <c r="U38" s="4521"/>
      <c r="V38" s="4521" t="e">
        <f>IF(F1="售价",ROUND(PRODUCT(V37,AC7:AC36),0),ROUND(PRODUCT(V37,AC7:AC36),1))</f>
        <v>#DIV/0!</v>
      </c>
      <c r="W38" s="4521"/>
      <c r="X38" s="283"/>
      <c r="Y38" s="283"/>
      <c r="Z38" s="283"/>
      <c r="AA38" s="283"/>
      <c r="AB38" s="283"/>
      <c r="AC38" s="283"/>
    </row>
    <row r="39" spans="1:29" ht="15.75" thickBot="1">
      <c r="A39" s="309" t="s">
        <v>1764</v>
      </c>
      <c r="B39" s="310"/>
      <c r="C39" s="3167" t="e">
        <f>R39</f>
        <v>#DIV/0!</v>
      </c>
      <c r="D39" s="259"/>
      <c r="E39" s="259"/>
      <c r="F39" s="259"/>
      <c r="G39" s="259"/>
      <c r="H39" s="259"/>
      <c r="I39" s="259"/>
      <c r="J39" s="259"/>
      <c r="K39" s="420"/>
      <c r="L39" s="2076"/>
      <c r="M39" s="2069"/>
      <c r="N39" s="2069"/>
      <c r="O39" s="2069"/>
      <c r="P39" s="4543" t="str">
        <f>A39</f>
        <v>估价对象XX用房的比较价值（楼面单价，元/平方米）</v>
      </c>
      <c r="Q39" s="4544"/>
      <c r="R39" s="4545" t="e">
        <f>IF(F1="售价",ROUND(IF(D38="简单平均",AVERAGE(R38:W38),R38*F38+T38*H38+V38*J38),0),ROUND(IF(D38="简单平均",AVERAGE(R38:V38),R38*F38+T38*H38+V38*J38),1))</f>
        <v>#DIV/0!</v>
      </c>
      <c r="S39" s="4545"/>
      <c r="T39" s="4545"/>
      <c r="U39" s="4545"/>
      <c r="V39" s="4545"/>
      <c r="W39" s="4545"/>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1768</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1634</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1599</v>
      </c>
      <c r="B51" s="325"/>
      <c r="C51" s="337" t="s">
        <v>1694</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1637</v>
      </c>
      <c r="B53" s="340" t="s">
        <v>1603</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1606</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1608</v>
      </c>
      <c r="B63" s="340" t="s">
        <v>1644</v>
      </c>
      <c r="C63" s="382" t="s">
        <v>1639</v>
      </c>
      <c r="D63" s="382" t="s">
        <v>1640</v>
      </c>
      <c r="E63" s="382" t="s">
        <v>1641</v>
      </c>
      <c r="F63" s="382" t="s">
        <v>1642</v>
      </c>
      <c r="G63" s="382" t="s">
        <v>1643</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1645</v>
      </c>
      <c r="C65" s="386" t="s">
        <v>1639</v>
      </c>
      <c r="D65" s="386" t="s">
        <v>1640</v>
      </c>
      <c r="E65" s="386" t="s">
        <v>1641</v>
      </c>
      <c r="F65" s="386" t="s">
        <v>1642</v>
      </c>
      <c r="G65" s="386" t="s">
        <v>1643</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1731</v>
      </c>
      <c r="C67" s="453" t="s">
        <v>1717</v>
      </c>
      <c r="D67" s="453" t="s">
        <v>1718</v>
      </c>
      <c r="E67" s="453" t="s">
        <v>1719</v>
      </c>
      <c r="F67" s="453" t="s">
        <v>1720</v>
      </c>
      <c r="G67" s="453" t="s">
        <v>1721</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1651</v>
      </c>
      <c r="C69" s="386" t="s">
        <v>1639</v>
      </c>
      <c r="D69" s="386" t="s">
        <v>1640</v>
      </c>
      <c r="E69" s="386" t="s">
        <v>1641</v>
      </c>
      <c r="F69" s="386" t="s">
        <v>1642</v>
      </c>
      <c r="G69" s="386" t="s">
        <v>1643</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1770</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1612</v>
      </c>
      <c r="B79" s="340" t="s">
        <v>1771</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1772</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1658</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1774</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1776</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1777</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3234</v>
      </c>
      <c r="C1" s="879" t="s">
        <v>1580</v>
      </c>
      <c r="D1" s="880"/>
      <c r="E1" s="2613"/>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v>
      </c>
      <c r="C2" s="3025"/>
      <c r="D2" s="3168" t="b">
        <f>IF(E1="项目模式",IF(E2="——",ROUND(C37*D3/10000,0),ROUND(C37*D3/10000,0)-F2),IF(E1="单套模式",IF(E2="——",ROUND(C37*D3/10000,4),ROUND(C37*D3/10000,4)-F2)))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t="e">
        <f>IF(E2="——",C37,ROUND(B2*10000/D3,0))</f>
        <v>#DIV/0!</v>
      </c>
      <c r="C3" s="252" t="s">
        <v>1686</v>
      </c>
      <c r="D3" s="3125">
        <f>SUMIF('数据-汇总表'!$C19:$C33,D1,'数据-汇总表'!$E19:$E33)</f>
        <v>0</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2068"/>
      <c r="M4" s="2069"/>
      <c r="N4" s="2069"/>
      <c r="O4" s="2069"/>
      <c r="P4" s="4535" t="s">
        <v>1693</v>
      </c>
      <c r="Q4" s="4536"/>
      <c r="R4" s="4470" t="s">
        <v>1689</v>
      </c>
      <c r="S4" s="4471"/>
      <c r="T4" s="4470" t="s">
        <v>1690</v>
      </c>
      <c r="U4" s="4471"/>
      <c r="V4" s="4521" t="s">
        <v>1691</v>
      </c>
      <c r="W4" s="4521"/>
      <c r="X4" s="981"/>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2068"/>
      <c r="M5" s="2069"/>
      <c r="N5" s="2069"/>
      <c r="O5" s="2069"/>
      <c r="P5" s="4537"/>
      <c r="Q5" s="4538"/>
      <c r="R5" s="4472"/>
      <c r="S5" s="4473"/>
      <c r="T5" s="4472"/>
      <c r="U5" s="4473"/>
      <c r="V5" s="4521"/>
      <c r="W5" s="4521"/>
      <c r="X5" s="981"/>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2068"/>
      <c r="M6" s="2069"/>
      <c r="N6" s="2069"/>
      <c r="O6" s="2069"/>
      <c r="P6" s="4539"/>
      <c r="Q6" s="4540"/>
      <c r="R6" s="4472"/>
      <c r="S6" s="4473"/>
      <c r="T6" s="4474"/>
      <c r="U6" s="4475"/>
      <c r="V6" s="4521"/>
      <c r="W6" s="4521"/>
      <c r="X6" s="981"/>
      <c r="Y6" s="4474"/>
      <c r="Z6" s="4475"/>
      <c r="AA6" s="4438"/>
      <c r="AB6" s="4438"/>
      <c r="AC6" s="4438"/>
    </row>
    <row r="7" spans="1:29" s="61" customFormat="1" ht="15.75" thickBot="1">
      <c r="A7" s="260" t="s">
        <v>1597</v>
      </c>
      <c r="B7" s="261"/>
      <c r="C7" s="262">
        <f>'数据-取费表'!B2</f>
        <v>46044</v>
      </c>
      <c r="D7" s="3172">
        <v>100</v>
      </c>
      <c r="E7" s="263"/>
      <c r="F7" s="3184">
        <f>SUMIF(46:46,YEAR(E7)&amp;"-"&amp;MONTH(E7),47:47)</f>
        <v>0</v>
      </c>
      <c r="G7" s="1507"/>
      <c r="H7" s="3170">
        <f>SUMIF(46:46,YEAR(G7)&amp;"-"&amp;MONTH(G7),47:47)</f>
        <v>0</v>
      </c>
      <c r="I7" s="263"/>
      <c r="J7" s="3170">
        <f>SUMIF(46:46,YEAR(I7)&amp;"-"&amp;MONTH(I7),47:47)</f>
        <v>0</v>
      </c>
      <c r="K7" s="35"/>
      <c r="L7" s="2070"/>
      <c r="M7" s="2021"/>
      <c r="N7" s="2021"/>
      <c r="O7" s="2021"/>
      <c r="P7" s="4439" t="s">
        <v>1598</v>
      </c>
      <c r="Q7" s="4541"/>
      <c r="R7" s="510" t="s">
        <v>13</v>
      </c>
      <c r="S7" s="511">
        <f t="shared" ref="S7:S14" si="0">F7</f>
        <v>0</v>
      </c>
      <c r="T7" s="510" t="s">
        <v>13</v>
      </c>
      <c r="U7" s="511">
        <f t="shared" ref="U7:U14" si="1">H7</f>
        <v>0</v>
      </c>
      <c r="V7" s="510" t="s">
        <v>13</v>
      </c>
      <c r="W7" s="511">
        <f t="shared" ref="W7:W14" si="2">J7</f>
        <v>0</v>
      </c>
      <c r="X7" s="512"/>
      <c r="Y7" s="4439" t="s">
        <v>1598</v>
      </c>
      <c r="Z7" s="4440"/>
      <c r="AA7" s="41" t="e">
        <f>D7/F7</f>
        <v>#DIV/0!</v>
      </c>
      <c r="AB7" s="41" t="e">
        <f>D7/H7</f>
        <v>#DIV/0!</v>
      </c>
      <c r="AC7" s="41" t="e">
        <f>D7/J7</f>
        <v>#DIV/0!</v>
      </c>
    </row>
    <row r="8" spans="1:29" s="61" customFormat="1" ht="15.75" thickBot="1">
      <c r="A8" s="260" t="s">
        <v>1599</v>
      </c>
      <c r="B8" s="261"/>
      <c r="C8" s="264"/>
      <c r="D8" s="3172">
        <v>100</v>
      </c>
      <c r="E8" s="264"/>
      <c r="F8" s="3748">
        <f>SUMIF(49:49,E8,50:50)-SUMIF(49:49,C8,50:50)+100</f>
        <v>100</v>
      </c>
      <c r="G8" s="264"/>
      <c r="H8" s="3760">
        <f>SUMIF(49:49,G8,50:50)-SUMIF(49:49,C8,50:50)+100</f>
        <v>100</v>
      </c>
      <c r="I8" s="264"/>
      <c r="J8" s="3760">
        <f>SUMIF(49:49,I8,50:50)-SUMIF(49:49,C8,50:50)+100</f>
        <v>100</v>
      </c>
      <c r="K8" s="35"/>
      <c r="L8" s="2070"/>
      <c r="M8" s="2021"/>
      <c r="N8" s="2021"/>
      <c r="O8" s="2021"/>
      <c r="P8" s="4439" t="s">
        <v>1601</v>
      </c>
      <c r="Q8" s="4440"/>
      <c r="R8" s="510" t="s">
        <v>13</v>
      </c>
      <c r="S8" s="511">
        <f t="shared" si="0"/>
        <v>100</v>
      </c>
      <c r="T8" s="510" t="s">
        <v>13</v>
      </c>
      <c r="U8" s="511">
        <f t="shared" si="1"/>
        <v>100</v>
      </c>
      <c r="V8" s="510" t="s">
        <v>13</v>
      </c>
      <c r="W8" s="511">
        <f t="shared" si="2"/>
        <v>100</v>
      </c>
      <c r="X8" s="512"/>
      <c r="Y8" s="4439" t="s">
        <v>1601</v>
      </c>
      <c r="Z8" s="4440"/>
      <c r="AA8" s="41">
        <f t="shared" ref="AA8:AA34" si="3">D8/F8</f>
        <v>1</v>
      </c>
      <c r="AB8" s="41">
        <f t="shared" ref="AB8:AB34" si="4">D8/H8</f>
        <v>1</v>
      </c>
      <c r="AC8" s="41">
        <f t="shared" ref="AC8:AC34" si="5">D8/J8</f>
        <v>1</v>
      </c>
    </row>
    <row r="9" spans="1:29" s="61" customFormat="1">
      <c r="A9" s="265" t="s">
        <v>1602</v>
      </c>
      <c r="B9" s="47" t="s">
        <v>1603</v>
      </c>
      <c r="C9" s="266"/>
      <c r="D9" s="3173">
        <v>100</v>
      </c>
      <c r="E9" s="268"/>
      <c r="F9" s="3769">
        <f>SUMIF(51:51,E9,52:52)-SUMIF(51:51,C9,52:52)+100</f>
        <v>100</v>
      </c>
      <c r="G9" s="268"/>
      <c r="H9" s="3749">
        <f>SUMIF(51:51,G9,52:52)-SUMIF(51:51,C9,52:52)+100</f>
        <v>100</v>
      </c>
      <c r="I9" s="268"/>
      <c r="J9" s="3749">
        <f>SUMIF(51:51,I9,52:52)-SUMIF(51:51,C9,52:52)+100</f>
        <v>100</v>
      </c>
      <c r="K9" s="35"/>
      <c r="L9" s="2070"/>
      <c r="M9" s="2021"/>
      <c r="N9" s="2021"/>
      <c r="O9" s="2122"/>
      <c r="P9" s="4534" t="s">
        <v>1604</v>
      </c>
      <c r="Q9" s="407" t="str">
        <f t="shared" ref="Q9:Q14" si="6">B9</f>
        <v>用途</v>
      </c>
      <c r="R9" s="510" t="s">
        <v>13</v>
      </c>
      <c r="S9" s="511">
        <f t="shared" si="0"/>
        <v>100</v>
      </c>
      <c r="T9" s="510" t="s">
        <v>13</v>
      </c>
      <c r="U9" s="511">
        <f t="shared" si="1"/>
        <v>100</v>
      </c>
      <c r="V9" s="510" t="s">
        <v>13</v>
      </c>
      <c r="W9" s="511">
        <f t="shared" si="2"/>
        <v>100</v>
      </c>
      <c r="X9" s="512"/>
      <c r="Y9" s="4454" t="s">
        <v>1605</v>
      </c>
      <c r="Z9" s="41" t="str">
        <f t="shared" ref="Z9:Z14" si="7">Q9</f>
        <v>用途</v>
      </c>
      <c r="AA9" s="41">
        <f t="shared" si="3"/>
        <v>1</v>
      </c>
      <c r="AB9" s="41">
        <f t="shared" si="4"/>
        <v>1</v>
      </c>
      <c r="AC9" s="41">
        <f t="shared" si="5"/>
        <v>1</v>
      </c>
    </row>
    <row r="10" spans="1:29" s="271" customFormat="1" ht="27">
      <c r="A10" s="269"/>
      <c r="B10" s="270" t="s">
        <v>1606</v>
      </c>
      <c r="C10" s="2614"/>
      <c r="D10" s="3174">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534"/>
      <c r="Q10" s="407" t="str">
        <f t="shared" si="6"/>
        <v>土地使用年限（年）</v>
      </c>
      <c r="R10" s="510" t="s">
        <v>13</v>
      </c>
      <c r="S10" s="511">
        <f t="shared" si="0"/>
        <v>100</v>
      </c>
      <c r="T10" s="510" t="s">
        <v>13</v>
      </c>
      <c r="U10" s="511">
        <f t="shared" si="1"/>
        <v>100</v>
      </c>
      <c r="V10" s="510" t="s">
        <v>13</v>
      </c>
      <c r="W10" s="511">
        <f t="shared" si="2"/>
        <v>100</v>
      </c>
      <c r="X10" s="512"/>
      <c r="Y10" s="4454"/>
      <c r="Z10" s="41" t="str">
        <f t="shared" si="7"/>
        <v>土地使用年限（年）</v>
      </c>
      <c r="AA10" s="41">
        <f t="shared" si="3"/>
        <v>1</v>
      </c>
      <c r="AB10" s="41">
        <f t="shared" si="4"/>
        <v>1</v>
      </c>
      <c r="AC10" s="41">
        <f t="shared" si="5"/>
        <v>1</v>
      </c>
    </row>
    <row r="11" spans="1:29" ht="15">
      <c r="A11" s="272"/>
      <c r="B11" s="328">
        <v>111</v>
      </c>
      <c r="C11" s="276"/>
      <c r="D11" s="3174">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534"/>
      <c r="Q11" s="407">
        <f t="shared" si="6"/>
        <v>111</v>
      </c>
      <c r="R11" s="510" t="s">
        <v>13</v>
      </c>
      <c r="S11" s="511">
        <f t="shared" si="0"/>
        <v>100</v>
      </c>
      <c r="T11" s="510" t="s">
        <v>13</v>
      </c>
      <c r="U11" s="511">
        <f t="shared" si="1"/>
        <v>100</v>
      </c>
      <c r="V11" s="510" t="s">
        <v>13</v>
      </c>
      <c r="W11" s="511">
        <f t="shared" si="2"/>
        <v>100</v>
      </c>
      <c r="X11" s="512"/>
      <c r="Y11" s="4454"/>
      <c r="Z11" s="41">
        <f t="shared" si="7"/>
        <v>111</v>
      </c>
      <c r="AA11" s="41">
        <f t="shared" si="3"/>
        <v>1</v>
      </c>
      <c r="AB11" s="41">
        <f t="shared" si="4"/>
        <v>1</v>
      </c>
      <c r="AC11" s="41">
        <f t="shared" si="5"/>
        <v>1</v>
      </c>
    </row>
    <row r="12" spans="1:29" s="61" customFormat="1" ht="15">
      <c r="A12" s="275"/>
      <c r="B12" s="328">
        <v>111</v>
      </c>
      <c r="C12" s="276"/>
      <c r="D12" s="3175">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534"/>
      <c r="Q12" s="407">
        <f t="shared" si="6"/>
        <v>111</v>
      </c>
      <c r="R12" s="510" t="s">
        <v>13</v>
      </c>
      <c r="S12" s="511">
        <f t="shared" si="0"/>
        <v>100</v>
      </c>
      <c r="T12" s="510" t="s">
        <v>13</v>
      </c>
      <c r="U12" s="511">
        <f t="shared" si="1"/>
        <v>100</v>
      </c>
      <c r="V12" s="510" t="s">
        <v>13</v>
      </c>
      <c r="W12" s="511">
        <f t="shared" si="2"/>
        <v>100</v>
      </c>
      <c r="X12" s="512"/>
      <c r="Y12" s="4454"/>
      <c r="Z12" s="41">
        <f t="shared" si="7"/>
        <v>111</v>
      </c>
      <c r="AA12" s="41">
        <f>D12/F12</f>
        <v>1</v>
      </c>
      <c r="AB12" s="41">
        <f>D12/H12</f>
        <v>1</v>
      </c>
      <c r="AC12" s="41">
        <f>D12/J12</f>
        <v>1</v>
      </c>
    </row>
    <row r="13" spans="1:29" ht="15.75" thickBot="1">
      <c r="A13" s="272"/>
      <c r="B13" s="328">
        <v>111</v>
      </c>
      <c r="C13" s="277"/>
      <c r="D13" s="3176">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534"/>
      <c r="Q13" s="407">
        <f t="shared" si="6"/>
        <v>111</v>
      </c>
      <c r="R13" s="510" t="s">
        <v>13</v>
      </c>
      <c r="S13" s="511">
        <f t="shared" si="0"/>
        <v>100</v>
      </c>
      <c r="T13" s="510" t="s">
        <v>13</v>
      </c>
      <c r="U13" s="511">
        <f t="shared" si="1"/>
        <v>100</v>
      </c>
      <c r="V13" s="510" t="s">
        <v>13</v>
      </c>
      <c r="W13" s="511">
        <f t="shared" si="2"/>
        <v>100</v>
      </c>
      <c r="X13" s="512"/>
      <c r="Y13" s="4454"/>
      <c r="Z13" s="41">
        <f t="shared" si="7"/>
        <v>111</v>
      </c>
      <c r="AA13" s="41">
        <f t="shared" si="3"/>
        <v>1</v>
      </c>
      <c r="AB13" s="41">
        <f t="shared" si="4"/>
        <v>1</v>
      </c>
      <c r="AC13" s="41">
        <f t="shared" si="5"/>
        <v>1</v>
      </c>
    </row>
    <row r="14" spans="1:29" ht="15">
      <c r="A14" s="280" t="s">
        <v>1608</v>
      </c>
      <c r="B14" s="45" t="s">
        <v>1751</v>
      </c>
      <c r="C14" s="1504">
        <f>IF(B1="工业",估价对象房地状况!G4,估价对象房地状况!C6)</f>
        <v>0</v>
      </c>
      <c r="D14" s="3178">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482" t="s">
        <v>1609</v>
      </c>
      <c r="Q14" s="978" t="str">
        <f t="shared" si="6"/>
        <v>交通便捷度</v>
      </c>
      <c r="R14" s="513" t="s">
        <v>13</v>
      </c>
      <c r="S14" s="514">
        <f t="shared" si="0"/>
        <v>100</v>
      </c>
      <c r="T14" s="513" t="s">
        <v>13</v>
      </c>
      <c r="U14" s="514">
        <f t="shared" si="1"/>
        <v>100</v>
      </c>
      <c r="V14" s="513" t="s">
        <v>13</v>
      </c>
      <c r="W14" s="514">
        <f t="shared" si="2"/>
        <v>100</v>
      </c>
      <c r="X14" s="981"/>
      <c r="Y14" s="4482" t="s">
        <v>1609</v>
      </c>
      <c r="Z14" s="979" t="str">
        <f t="shared" si="7"/>
        <v>交通便捷度</v>
      </c>
      <c r="AA14" s="979">
        <f t="shared" si="3"/>
        <v>1</v>
      </c>
      <c r="AB14" s="979">
        <f t="shared" si="4"/>
        <v>1</v>
      </c>
      <c r="AC14" s="979">
        <f t="shared" si="5"/>
        <v>1</v>
      </c>
    </row>
    <row r="15" spans="1:29" ht="15">
      <c r="A15" s="272"/>
      <c r="B15" s="283"/>
      <c r="C15" s="284"/>
      <c r="D15" s="3179"/>
      <c r="E15" s="284"/>
      <c r="F15" s="3763"/>
      <c r="G15" s="284"/>
      <c r="H15" s="3753"/>
      <c r="I15" s="284"/>
      <c r="J15" s="3752"/>
      <c r="K15" s="418"/>
      <c r="L15" s="2074"/>
      <c r="M15" s="2069"/>
      <c r="N15" s="2069"/>
      <c r="O15" s="2124"/>
      <c r="P15" s="4483"/>
      <c r="Q15" s="978"/>
      <c r="R15" s="513"/>
      <c r="S15" s="514"/>
      <c r="T15" s="513"/>
      <c r="U15" s="514"/>
      <c r="V15" s="513"/>
      <c r="W15" s="514"/>
      <c r="X15" s="981"/>
      <c r="Y15" s="4483"/>
      <c r="Z15" s="979"/>
      <c r="AA15" s="979">
        <v>1</v>
      </c>
      <c r="AB15" s="979">
        <v>1</v>
      </c>
      <c r="AC15" s="979">
        <v>1</v>
      </c>
    </row>
    <row r="16" spans="1:29" ht="15">
      <c r="A16" s="272"/>
      <c r="B16" s="287" t="s">
        <v>1730</v>
      </c>
      <c r="C16" s="1444">
        <f>IF(B1="工业",估价对象房地状况!G5,估价对象房地状况!C7)</f>
        <v>0</v>
      </c>
      <c r="D16" s="3181">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483"/>
      <c r="Q16" s="978" t="str">
        <f>B16</f>
        <v>公共配套设施</v>
      </c>
      <c r="R16" s="513" t="s">
        <v>13</v>
      </c>
      <c r="S16" s="514">
        <f>F16</f>
        <v>100</v>
      </c>
      <c r="T16" s="513" t="s">
        <v>13</v>
      </c>
      <c r="U16" s="514">
        <f>H16</f>
        <v>100</v>
      </c>
      <c r="V16" s="513" t="s">
        <v>13</v>
      </c>
      <c r="W16" s="514">
        <f>J16</f>
        <v>100</v>
      </c>
      <c r="X16" s="981"/>
      <c r="Y16" s="4483"/>
      <c r="Z16" s="979" t="str">
        <f>Q16</f>
        <v>公共配套设施</v>
      </c>
      <c r="AA16" s="979">
        <f t="shared" si="3"/>
        <v>1</v>
      </c>
      <c r="AB16" s="979">
        <f t="shared" si="4"/>
        <v>1</v>
      </c>
      <c r="AC16" s="979">
        <f t="shared" si="5"/>
        <v>1</v>
      </c>
    </row>
    <row r="17" spans="1:29" ht="15">
      <c r="A17" s="272"/>
      <c r="B17" s="290"/>
      <c r="C17" s="1445"/>
      <c r="D17" s="3179"/>
      <c r="E17" s="284"/>
      <c r="F17" s="3763"/>
      <c r="G17" s="284"/>
      <c r="H17" s="3752"/>
      <c r="I17" s="284"/>
      <c r="J17" s="3752"/>
      <c r="K17" s="418"/>
      <c r="L17" s="2074"/>
      <c r="M17" s="2069"/>
      <c r="N17" s="2069"/>
      <c r="O17" s="2124"/>
      <c r="P17" s="4483"/>
      <c r="Q17" s="978"/>
      <c r="R17" s="513"/>
      <c r="S17" s="514"/>
      <c r="T17" s="513"/>
      <c r="U17" s="514"/>
      <c r="V17" s="513"/>
      <c r="W17" s="514"/>
      <c r="X17" s="981"/>
      <c r="Y17" s="4483"/>
      <c r="Z17" s="979"/>
      <c r="AA17" s="979">
        <v>1</v>
      </c>
      <c r="AB17" s="979">
        <v>1</v>
      </c>
      <c r="AC17" s="979">
        <v>1</v>
      </c>
    </row>
    <row r="18" spans="1:29" ht="15">
      <c r="A18" s="272"/>
      <c r="B18" s="822" t="s">
        <v>1731</v>
      </c>
      <c r="C18" s="1444">
        <f>IF(B1="工业",估价对象房地状况!G6,估价对象房地状况!C8)</f>
        <v>0</v>
      </c>
      <c r="D18" s="3181">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483"/>
      <c r="Q18" s="978" t="str">
        <f>B18</f>
        <v>基础设施水平</v>
      </c>
      <c r="R18" s="513" t="s">
        <v>13</v>
      </c>
      <c r="S18" s="514">
        <f>F18</f>
        <v>100</v>
      </c>
      <c r="T18" s="513" t="s">
        <v>13</v>
      </c>
      <c r="U18" s="514">
        <f>H18</f>
        <v>100</v>
      </c>
      <c r="V18" s="513" t="s">
        <v>13</v>
      </c>
      <c r="W18" s="514">
        <f>J18</f>
        <v>100</v>
      </c>
      <c r="X18" s="981"/>
      <c r="Y18" s="4483"/>
      <c r="Z18" s="979" t="str">
        <f>Q18</f>
        <v>基础设施水平</v>
      </c>
      <c r="AA18" s="979">
        <f t="shared" ref="AA18" si="8">D18/F18</f>
        <v>1</v>
      </c>
      <c r="AB18" s="979">
        <f t="shared" ref="AB18" si="9">D18/H18</f>
        <v>1</v>
      </c>
      <c r="AC18" s="979">
        <f t="shared" ref="AC18" si="10">D18/J18</f>
        <v>1</v>
      </c>
    </row>
    <row r="19" spans="1:29" ht="15">
      <c r="A19" s="272"/>
      <c r="B19" s="822"/>
      <c r="C19" s="1445"/>
      <c r="D19" s="3180"/>
      <c r="E19" s="1445"/>
      <c r="F19" s="3764"/>
      <c r="G19" s="1445"/>
      <c r="H19" s="3752"/>
      <c r="I19" s="284"/>
      <c r="J19" s="3752"/>
      <c r="K19" s="821"/>
      <c r="L19" s="2074"/>
      <c r="M19" s="2069"/>
      <c r="N19" s="2069"/>
      <c r="O19" s="2124"/>
      <c r="P19" s="4483"/>
      <c r="Q19" s="978"/>
      <c r="R19" s="513"/>
      <c r="S19" s="514"/>
      <c r="T19" s="513"/>
      <c r="U19" s="514"/>
      <c r="V19" s="513"/>
      <c r="W19" s="514"/>
      <c r="X19" s="981"/>
      <c r="Y19" s="4483"/>
      <c r="Z19" s="979"/>
      <c r="AA19" s="979">
        <v>1</v>
      </c>
      <c r="AB19" s="979">
        <v>1</v>
      </c>
      <c r="AC19" s="979">
        <v>1</v>
      </c>
    </row>
    <row r="20" spans="1:29" ht="15">
      <c r="A20" s="272"/>
      <c r="B20" s="287" t="s">
        <v>1752</v>
      </c>
      <c r="C20" s="1444">
        <f>IF(B1="工业",估价对象房地状况!G7,估价对象房地状况!C9)</f>
        <v>0</v>
      </c>
      <c r="D20" s="3181">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483"/>
      <c r="Q20" s="978" t="str">
        <f>B20</f>
        <v>自然及人文环境</v>
      </c>
      <c r="R20" s="513" t="s">
        <v>13</v>
      </c>
      <c r="S20" s="514">
        <f>F20</f>
        <v>100</v>
      </c>
      <c r="T20" s="513" t="s">
        <v>13</v>
      </c>
      <c r="U20" s="514">
        <f>H20</f>
        <v>100</v>
      </c>
      <c r="V20" s="513" t="s">
        <v>13</v>
      </c>
      <c r="W20" s="514">
        <f>J20</f>
        <v>100</v>
      </c>
      <c r="X20" s="981"/>
      <c r="Y20" s="4483"/>
      <c r="Z20" s="979" t="str">
        <f>Q20</f>
        <v>自然及人文环境</v>
      </c>
      <c r="AA20" s="979">
        <f t="shared" si="3"/>
        <v>1</v>
      </c>
      <c r="AB20" s="979">
        <f t="shared" si="4"/>
        <v>1</v>
      </c>
      <c r="AC20" s="979">
        <f t="shared" si="5"/>
        <v>1</v>
      </c>
    </row>
    <row r="21" spans="1:29" ht="15">
      <c r="A21" s="272"/>
      <c r="B21" s="290"/>
      <c r="C21" s="284"/>
      <c r="D21" s="3179"/>
      <c r="E21" s="284"/>
      <c r="F21" s="3763"/>
      <c r="G21" s="284"/>
      <c r="H21" s="3752"/>
      <c r="I21" s="284"/>
      <c r="J21" s="3752"/>
      <c r="K21" s="418"/>
      <c r="L21" s="2074"/>
      <c r="M21" s="2069"/>
      <c r="N21" s="2069"/>
      <c r="O21" s="2124"/>
      <c r="P21" s="4483"/>
      <c r="Q21" s="978"/>
      <c r="R21" s="513"/>
      <c r="S21" s="514"/>
      <c r="T21" s="513"/>
      <c r="U21" s="514"/>
      <c r="V21" s="513"/>
      <c r="W21" s="514"/>
      <c r="X21" s="981"/>
      <c r="Y21" s="4483"/>
      <c r="Z21" s="979"/>
      <c r="AA21" s="979">
        <v>1</v>
      </c>
      <c r="AB21" s="979">
        <v>1</v>
      </c>
      <c r="AC21" s="979">
        <v>1</v>
      </c>
    </row>
    <row r="22" spans="1:29" ht="15">
      <c r="A22" s="272"/>
      <c r="B22" s="287" t="s">
        <v>1753</v>
      </c>
      <c r="C22" s="419"/>
      <c r="D22" s="3180">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483"/>
      <c r="Q22" s="978" t="str">
        <f>B22</f>
        <v>楼层</v>
      </c>
      <c r="R22" s="513" t="s">
        <v>13</v>
      </c>
      <c r="S22" s="514">
        <f>F22</f>
        <v>100</v>
      </c>
      <c r="T22" s="513" t="s">
        <v>13</v>
      </c>
      <c r="U22" s="514">
        <f>H22</f>
        <v>100</v>
      </c>
      <c r="V22" s="513" t="s">
        <v>13</v>
      </c>
      <c r="W22" s="514">
        <f>J22</f>
        <v>100</v>
      </c>
      <c r="X22" s="981"/>
      <c r="Y22" s="4483"/>
      <c r="Z22" s="979" t="str">
        <f>Q22</f>
        <v>楼层</v>
      </c>
      <c r="AA22" s="979">
        <f t="shared" si="3"/>
        <v>1</v>
      </c>
      <c r="AB22" s="979">
        <f t="shared" si="4"/>
        <v>1</v>
      </c>
      <c r="AC22" s="979">
        <f t="shared" si="5"/>
        <v>1</v>
      </c>
    </row>
    <row r="23" spans="1:29" ht="15">
      <c r="A23" s="256"/>
      <c r="B23" s="328">
        <v>111</v>
      </c>
      <c r="C23" s="276"/>
      <c r="D23" s="3176">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483"/>
      <c r="Q23" s="978">
        <f>B23</f>
        <v>111</v>
      </c>
      <c r="R23" s="513" t="s">
        <v>13</v>
      </c>
      <c r="S23" s="514">
        <f>F23</f>
        <v>100</v>
      </c>
      <c r="T23" s="513" t="s">
        <v>13</v>
      </c>
      <c r="U23" s="514">
        <f>H23</f>
        <v>100</v>
      </c>
      <c r="V23" s="513" t="s">
        <v>13</v>
      </c>
      <c r="W23" s="514">
        <f>J23</f>
        <v>100</v>
      </c>
      <c r="X23" s="981"/>
      <c r="Y23" s="4483"/>
      <c r="Z23" s="979">
        <f>Q23</f>
        <v>111</v>
      </c>
      <c r="AA23" s="979">
        <f t="shared" si="3"/>
        <v>1</v>
      </c>
      <c r="AB23" s="979">
        <f t="shared" si="4"/>
        <v>1</v>
      </c>
      <c r="AC23" s="979">
        <f t="shared" si="5"/>
        <v>1</v>
      </c>
    </row>
    <row r="24" spans="1:29" ht="15">
      <c r="A24" s="272"/>
      <c r="B24" s="328">
        <v>111</v>
      </c>
      <c r="C24" s="276"/>
      <c r="D24" s="3176">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483"/>
      <c r="Q24" s="978">
        <f t="shared" ref="Q24:Q34" si="11">B24</f>
        <v>111</v>
      </c>
      <c r="R24" s="513" t="s">
        <v>13</v>
      </c>
      <c r="S24" s="514">
        <f>F24</f>
        <v>100</v>
      </c>
      <c r="T24" s="513" t="s">
        <v>13</v>
      </c>
      <c r="U24" s="514">
        <f>H24</f>
        <v>100</v>
      </c>
      <c r="V24" s="513" t="s">
        <v>13</v>
      </c>
      <c r="W24" s="514">
        <f>J24</f>
        <v>100</v>
      </c>
      <c r="X24" s="981"/>
      <c r="Y24" s="4483"/>
      <c r="Z24" s="979">
        <f>Q24</f>
        <v>111</v>
      </c>
      <c r="AA24" s="979">
        <f t="shared" si="3"/>
        <v>1</v>
      </c>
      <c r="AB24" s="979">
        <f t="shared" si="4"/>
        <v>1</v>
      </c>
      <c r="AC24" s="979">
        <f t="shared" si="5"/>
        <v>1</v>
      </c>
    </row>
    <row r="25" spans="1:29" s="61" customFormat="1" ht="15.75" thickBot="1">
      <c r="A25" s="275"/>
      <c r="B25" s="328">
        <v>111</v>
      </c>
      <c r="C25" s="1509"/>
      <c r="D25" s="3187">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483"/>
      <c r="Q25" s="407">
        <f t="shared" si="11"/>
        <v>111</v>
      </c>
      <c r="R25" s="510" t="s">
        <v>13</v>
      </c>
      <c r="S25" s="511">
        <f>F25</f>
        <v>100</v>
      </c>
      <c r="T25" s="510" t="s">
        <v>13</v>
      </c>
      <c r="U25" s="511">
        <f>H25</f>
        <v>100</v>
      </c>
      <c r="V25" s="510" t="s">
        <v>13</v>
      </c>
      <c r="W25" s="511">
        <f>J25</f>
        <v>100</v>
      </c>
      <c r="X25" s="512"/>
      <c r="Y25" s="4483"/>
      <c r="Z25" s="41">
        <f>Q25</f>
        <v>111</v>
      </c>
      <c r="AA25" s="979">
        <f>D25/F25</f>
        <v>1</v>
      </c>
      <c r="AB25" s="979">
        <f>D25/H25</f>
        <v>1</v>
      </c>
      <c r="AC25" s="979">
        <f>D25/J25</f>
        <v>1</v>
      </c>
    </row>
    <row r="26" spans="1:29" ht="28.5">
      <c r="A26" s="294" t="s">
        <v>1612</v>
      </c>
      <c r="B26" s="47" t="s">
        <v>1756</v>
      </c>
      <c r="C26" s="1500"/>
      <c r="D26" s="3183">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42"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87" t="s">
        <v>1614</v>
      </c>
      <c r="Z26" s="979" t="str">
        <f t="shared" ref="Z26:Z34" si="15">Q26</f>
        <v>公共部分装修</v>
      </c>
      <c r="AA26" s="979">
        <f t="shared" si="3"/>
        <v>1</v>
      </c>
      <c r="AB26" s="979">
        <f t="shared" si="4"/>
        <v>1</v>
      </c>
      <c r="AC26" s="979">
        <f t="shared" si="5"/>
        <v>1</v>
      </c>
    </row>
    <row r="27" spans="1:29" s="297" customFormat="1" ht="15">
      <c r="A27" s="295"/>
      <c r="B27" s="270" t="s">
        <v>1757</v>
      </c>
      <c r="C27" s="300"/>
      <c r="D27" s="3174">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487"/>
      <c r="Q27" s="408" t="str">
        <f t="shared" si="11"/>
        <v>成新率</v>
      </c>
      <c r="R27" s="515" t="s">
        <v>13</v>
      </c>
      <c r="S27" s="516" t="e">
        <f t="shared" si="12"/>
        <v>#N/A</v>
      </c>
      <c r="T27" s="515" t="s">
        <v>13</v>
      </c>
      <c r="U27" s="516" t="e">
        <f t="shared" si="13"/>
        <v>#N/A</v>
      </c>
      <c r="V27" s="515" t="s">
        <v>13</v>
      </c>
      <c r="W27" s="516" t="e">
        <f t="shared" si="14"/>
        <v>#N/A</v>
      </c>
      <c r="X27" s="517"/>
      <c r="Y27" s="4487"/>
      <c r="Z27" s="518" t="str">
        <f t="shared" si="15"/>
        <v>成新率</v>
      </c>
      <c r="AA27" s="979" t="e">
        <f t="shared" si="3"/>
        <v>#N/A</v>
      </c>
      <c r="AB27" s="979" t="e">
        <f t="shared" si="4"/>
        <v>#N/A</v>
      </c>
      <c r="AC27" s="979" t="e">
        <f t="shared" si="5"/>
        <v>#N/A</v>
      </c>
    </row>
    <row r="28" spans="1:29" ht="15">
      <c r="A28" s="298"/>
      <c r="B28" s="270" t="s">
        <v>1758</v>
      </c>
      <c r="C28" s="293"/>
      <c r="D28" s="3176">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487"/>
      <c r="Q28" s="978" t="str">
        <f t="shared" si="11"/>
        <v>物业等级</v>
      </c>
      <c r="R28" s="513" t="s">
        <v>13</v>
      </c>
      <c r="S28" s="514">
        <f t="shared" si="12"/>
        <v>100</v>
      </c>
      <c r="T28" s="513" t="s">
        <v>13</v>
      </c>
      <c r="U28" s="514">
        <f t="shared" si="13"/>
        <v>100</v>
      </c>
      <c r="V28" s="513" t="s">
        <v>13</v>
      </c>
      <c r="W28" s="514">
        <f t="shared" si="14"/>
        <v>100</v>
      </c>
      <c r="X28" s="981"/>
      <c r="Y28" s="4487"/>
      <c r="Z28" s="979" t="str">
        <f t="shared" si="15"/>
        <v>物业等级</v>
      </c>
      <c r="AA28" s="979">
        <f t="shared" si="3"/>
        <v>1</v>
      </c>
      <c r="AB28" s="979">
        <f t="shared" si="4"/>
        <v>1</v>
      </c>
      <c r="AC28" s="979">
        <f t="shared" si="5"/>
        <v>1</v>
      </c>
    </row>
    <row r="29" spans="1:29" ht="15">
      <c r="A29" s="298"/>
      <c r="B29" s="270" t="s">
        <v>1778</v>
      </c>
      <c r="C29" s="450"/>
      <c r="D29" s="3176">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487"/>
      <c r="Q29" s="978" t="str">
        <f t="shared" si="11"/>
        <v>有无电梯</v>
      </c>
      <c r="R29" s="513" t="s">
        <v>13</v>
      </c>
      <c r="S29" s="514">
        <f t="shared" si="12"/>
        <v>100</v>
      </c>
      <c r="T29" s="513" t="s">
        <v>13</v>
      </c>
      <c r="U29" s="514">
        <f t="shared" si="13"/>
        <v>100</v>
      </c>
      <c r="V29" s="513" t="s">
        <v>13</v>
      </c>
      <c r="W29" s="514">
        <f t="shared" si="14"/>
        <v>100</v>
      </c>
      <c r="X29" s="981"/>
      <c r="Y29" s="4487"/>
      <c r="Z29" s="979" t="str">
        <f t="shared" si="15"/>
        <v>有无电梯</v>
      </c>
      <c r="AA29" s="979">
        <f t="shared" si="3"/>
        <v>1</v>
      </c>
      <c r="AB29" s="979">
        <f t="shared" si="4"/>
        <v>1</v>
      </c>
      <c r="AC29" s="979">
        <f t="shared" si="5"/>
        <v>1</v>
      </c>
    </row>
    <row r="30" spans="1:29" ht="15">
      <c r="A30" s="298"/>
      <c r="B30" s="270" t="s">
        <v>1779</v>
      </c>
      <c r="C30" s="296"/>
      <c r="D30" s="3176">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487"/>
      <c r="Q30" s="978" t="str">
        <f t="shared" si="11"/>
        <v>建筑面积</v>
      </c>
      <c r="R30" s="513" t="s">
        <v>13</v>
      </c>
      <c r="S30" s="514" t="e">
        <f t="shared" si="12"/>
        <v>#N/A</v>
      </c>
      <c r="T30" s="513" t="s">
        <v>13</v>
      </c>
      <c r="U30" s="514" t="e">
        <f t="shared" si="13"/>
        <v>#N/A</v>
      </c>
      <c r="V30" s="513" t="s">
        <v>13</v>
      </c>
      <c r="W30" s="514" t="e">
        <f t="shared" si="14"/>
        <v>#N/A</v>
      </c>
      <c r="X30" s="981"/>
      <c r="Y30" s="4487"/>
      <c r="Z30" s="979" t="str">
        <f t="shared" si="15"/>
        <v>建筑面积</v>
      </c>
      <c r="AA30" s="979" t="e">
        <f t="shared" si="3"/>
        <v>#N/A</v>
      </c>
      <c r="AB30" s="979" t="e">
        <f t="shared" si="4"/>
        <v>#N/A</v>
      </c>
      <c r="AC30" s="979" t="e">
        <f t="shared" si="5"/>
        <v>#N/A</v>
      </c>
    </row>
    <row r="31" spans="1:29" s="61" customFormat="1" ht="15">
      <c r="A31" s="299"/>
      <c r="B31" s="270" t="s">
        <v>1780</v>
      </c>
      <c r="C31" s="450"/>
      <c r="D31" s="3174">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487"/>
      <c r="Q31" s="407" t="str">
        <f t="shared" si="11"/>
        <v>是否封闭</v>
      </c>
      <c r="R31" s="510" t="s">
        <v>13</v>
      </c>
      <c r="S31" s="511">
        <f t="shared" si="12"/>
        <v>100</v>
      </c>
      <c r="T31" s="510" t="s">
        <v>13</v>
      </c>
      <c r="U31" s="511">
        <f t="shared" si="13"/>
        <v>100</v>
      </c>
      <c r="V31" s="510" t="s">
        <v>13</v>
      </c>
      <c r="W31" s="511">
        <f t="shared" si="14"/>
        <v>100</v>
      </c>
      <c r="X31" s="512"/>
      <c r="Y31" s="4487"/>
      <c r="Z31" s="41" t="str">
        <f t="shared" si="15"/>
        <v>是否封闭</v>
      </c>
      <c r="AA31" s="41">
        <f t="shared" si="3"/>
        <v>1</v>
      </c>
      <c r="AB31" s="41">
        <f t="shared" si="4"/>
        <v>1</v>
      </c>
      <c r="AC31" s="41">
        <f t="shared" si="5"/>
        <v>1</v>
      </c>
    </row>
    <row r="32" spans="1:29" ht="15">
      <c r="A32" s="298"/>
      <c r="B32" s="328">
        <v>111</v>
      </c>
      <c r="C32" s="276"/>
      <c r="D32" s="3176">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487" t="s">
        <v>1614</v>
      </c>
      <c r="Q32" s="978">
        <f t="shared" si="11"/>
        <v>111</v>
      </c>
      <c r="R32" s="513" t="s">
        <v>13</v>
      </c>
      <c r="S32" s="514">
        <f t="shared" si="12"/>
        <v>100</v>
      </c>
      <c r="T32" s="513" t="s">
        <v>13</v>
      </c>
      <c r="U32" s="514">
        <f t="shared" si="13"/>
        <v>100</v>
      </c>
      <c r="V32" s="513" t="s">
        <v>13</v>
      </c>
      <c r="W32" s="514">
        <f t="shared" si="14"/>
        <v>100</v>
      </c>
      <c r="X32" s="981"/>
      <c r="Y32" s="4487" t="s">
        <v>1614</v>
      </c>
      <c r="Z32" s="979">
        <f t="shared" si="15"/>
        <v>111</v>
      </c>
      <c r="AA32" s="979">
        <f t="shared" si="3"/>
        <v>1</v>
      </c>
      <c r="AB32" s="979">
        <f t="shared" si="4"/>
        <v>1</v>
      </c>
      <c r="AC32" s="979">
        <f t="shared" si="5"/>
        <v>1</v>
      </c>
    </row>
    <row r="33" spans="1:30" ht="15">
      <c r="A33" s="298"/>
      <c r="B33" s="328">
        <v>111</v>
      </c>
      <c r="C33" s="276"/>
      <c r="D33" s="3176">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487"/>
      <c r="Q33" s="978">
        <f t="shared" si="11"/>
        <v>111</v>
      </c>
      <c r="R33" s="513" t="s">
        <v>13</v>
      </c>
      <c r="S33" s="514">
        <f t="shared" si="12"/>
        <v>100</v>
      </c>
      <c r="T33" s="513" t="s">
        <v>13</v>
      </c>
      <c r="U33" s="514">
        <f t="shared" si="13"/>
        <v>100</v>
      </c>
      <c r="V33" s="513" t="s">
        <v>13</v>
      </c>
      <c r="W33" s="514">
        <f t="shared" si="14"/>
        <v>100</v>
      </c>
      <c r="X33" s="981"/>
      <c r="Y33" s="4487"/>
      <c r="Z33" s="979">
        <f t="shared" si="15"/>
        <v>111</v>
      </c>
      <c r="AA33" s="979">
        <f t="shared" si="3"/>
        <v>1</v>
      </c>
      <c r="AB33" s="979">
        <f t="shared" si="4"/>
        <v>1</v>
      </c>
      <c r="AC33" s="979">
        <f t="shared" si="5"/>
        <v>1</v>
      </c>
    </row>
    <row r="34" spans="1:30" ht="15.75" thickBot="1">
      <c r="A34" s="303"/>
      <c r="B34" s="1441">
        <v>111</v>
      </c>
      <c r="C34" s="279"/>
      <c r="D34" s="3177">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487"/>
      <c r="Q34" s="978">
        <f t="shared" si="11"/>
        <v>111</v>
      </c>
      <c r="R34" s="513" t="s">
        <v>13</v>
      </c>
      <c r="S34" s="514">
        <f t="shared" si="12"/>
        <v>100</v>
      </c>
      <c r="T34" s="513" t="s">
        <v>13</v>
      </c>
      <c r="U34" s="514">
        <f t="shared" si="13"/>
        <v>100</v>
      </c>
      <c r="V34" s="513" t="s">
        <v>13</v>
      </c>
      <c r="W34" s="514">
        <f t="shared" si="14"/>
        <v>100</v>
      </c>
      <c r="X34" s="981"/>
      <c r="Y34" s="4487"/>
      <c r="Z34" s="979">
        <f t="shared" si="15"/>
        <v>111</v>
      </c>
      <c r="AA34" s="979">
        <f t="shared" si="3"/>
        <v>1</v>
      </c>
      <c r="AB34" s="979">
        <f t="shared" si="4"/>
        <v>1</v>
      </c>
      <c r="AC34" s="979">
        <f t="shared" si="5"/>
        <v>1</v>
      </c>
    </row>
    <row r="35" spans="1:30" ht="15">
      <c r="A35" s="304" t="s">
        <v>1626</v>
      </c>
      <c r="B35" s="305"/>
      <c r="C35" s="829" t="s">
        <v>0</v>
      </c>
      <c r="D35" s="306"/>
      <c r="E35" s="3166"/>
      <c r="F35" s="3510"/>
      <c r="G35" s="3594"/>
      <c r="H35" s="3512"/>
      <c r="I35" s="3166"/>
      <c r="J35" s="3512"/>
      <c r="K35" s="3106"/>
      <c r="L35" s="2076"/>
      <c r="M35" s="2069"/>
      <c r="N35" s="2069"/>
      <c r="O35" s="2069"/>
      <c r="P35" s="4534" t="str">
        <f>A35</f>
        <v>成交单价（元/平方米）</v>
      </c>
      <c r="Q35" s="4534"/>
      <c r="R35" s="4521">
        <f>E35</f>
        <v>0</v>
      </c>
      <c r="S35" s="4521"/>
      <c r="T35" s="4521">
        <f>G35</f>
        <v>0</v>
      </c>
      <c r="U35" s="4521"/>
      <c r="V35" s="4521">
        <f>I35</f>
        <v>0</v>
      </c>
      <c r="W35" s="4521"/>
      <c r="X35" s="283"/>
      <c r="Y35" s="519"/>
      <c r="Z35" s="283"/>
      <c r="AA35" s="283"/>
      <c r="AB35" s="283"/>
      <c r="AC35" s="283"/>
    </row>
    <row r="36" spans="1:30" ht="15.75" thickBot="1">
      <c r="A36" s="307" t="s">
        <v>1711</v>
      </c>
      <c r="B36" s="308"/>
      <c r="C36" s="3149" t="e">
        <f>R37</f>
        <v>#DIV/0!</v>
      </c>
      <c r="D36" s="1782" t="s">
        <v>2054</v>
      </c>
      <c r="E36" s="3151" t="e">
        <f>R36</f>
        <v>#DIV/0!</v>
      </c>
      <c r="F36" s="3044"/>
      <c r="G36" s="3149" t="e">
        <f>T36</f>
        <v>#DIV/0!</v>
      </c>
      <c r="H36" s="3044"/>
      <c r="I36" s="3151" t="e">
        <f>V36</f>
        <v>#DIV/0!</v>
      </c>
      <c r="J36" s="3044"/>
      <c r="K36" s="3099">
        <f>F36+H36+J36</f>
        <v>0</v>
      </c>
      <c r="L36" s="2076"/>
      <c r="M36" s="2069"/>
      <c r="N36" s="2069"/>
      <c r="O36" s="2069"/>
      <c r="P36" s="4534" t="str">
        <f>A36</f>
        <v>比较价值（元/平方米）</v>
      </c>
      <c r="Q36" s="4534"/>
      <c r="R36" s="4521" t="e">
        <f>IF(F1="售价",ROUND(PRODUCT(R35,AA7:AA34),0),ROUND(PRODUCT(R35,AA7:AA34),1))</f>
        <v>#DIV/0!</v>
      </c>
      <c r="S36" s="4521"/>
      <c r="T36" s="4521" t="e">
        <f>IF(F1="售价",ROUND(PRODUCT(T35,AB7:AB34),0),ROUND(PRODUCT(T35,AB7:AB34),1))</f>
        <v>#DIV/0!</v>
      </c>
      <c r="U36" s="4521"/>
      <c r="V36" s="4521" t="e">
        <f>IF(F1="售价",ROUND(PRODUCT(V35,AC7:AC34),0),ROUND(PRODUCT(V35,AC7:AC34),1))</f>
        <v>#DIV/0!</v>
      </c>
      <c r="W36" s="4521"/>
      <c r="X36" s="283"/>
      <c r="Y36" s="283"/>
      <c r="Z36" s="283"/>
      <c r="AA36" s="283"/>
      <c r="AB36" s="283"/>
      <c r="AC36" s="283"/>
    </row>
    <row r="37" spans="1:30" ht="15.75" thickBot="1">
      <c r="A37" s="309" t="s">
        <v>1712</v>
      </c>
      <c r="B37" s="310"/>
      <c r="C37" s="3167" t="e">
        <f>R37</f>
        <v>#DIV/0!</v>
      </c>
      <c r="D37" s="259"/>
      <c r="E37" s="259"/>
      <c r="F37" s="259"/>
      <c r="G37" s="259"/>
      <c r="H37" s="259"/>
      <c r="I37" s="259"/>
      <c r="J37" s="259"/>
      <c r="K37" s="520"/>
      <c r="L37" s="2076"/>
      <c r="M37" s="2069"/>
      <c r="N37" s="2069"/>
      <c r="O37" s="2069"/>
      <c r="P37" s="4543" t="str">
        <f>A37</f>
        <v>估价对象XX用房的比较价值（楼面单价，元/平方米）</v>
      </c>
      <c r="Q37" s="4544"/>
      <c r="R37" s="4545" t="e">
        <f>IF(F1="售价",ROUND(IF(D36="简单平均",AVERAGE(R36:W36),R36*F36+T36*H36+V36*J36),0),ROUND(IF(D36="简单平均",AVERAGE(R36:V36),R36*F36+T36*H36+V36*J36),1))</f>
        <v>#DIV/0!</v>
      </c>
      <c r="S37" s="4545"/>
      <c r="T37" s="4545"/>
      <c r="U37" s="4545"/>
      <c r="V37" s="4545"/>
      <c r="W37" s="4545"/>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1716</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1634</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1599</v>
      </c>
      <c r="B49" s="325"/>
      <c r="C49" s="337" t="s">
        <v>1694</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1637</v>
      </c>
      <c r="B51" s="340" t="s">
        <v>1603</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1606</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1608</v>
      </c>
      <c r="B61" s="340" t="s">
        <v>1644</v>
      </c>
      <c r="C61" s="382" t="s">
        <v>1639</v>
      </c>
      <c r="D61" s="382" t="s">
        <v>1640</v>
      </c>
      <c r="E61" s="382" t="s">
        <v>1641</v>
      </c>
      <c r="F61" s="382" t="s">
        <v>1642</v>
      </c>
      <c r="G61" s="382" t="s">
        <v>1643</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1781</v>
      </c>
      <c r="C63" s="386" t="s">
        <v>1639</v>
      </c>
      <c r="D63" s="386" t="s">
        <v>1640</v>
      </c>
      <c r="E63" s="386" t="s">
        <v>1641</v>
      </c>
      <c r="F63" s="386" t="s">
        <v>1642</v>
      </c>
      <c r="G63" s="386" t="s">
        <v>1643</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1731</v>
      </c>
      <c r="C65" s="453" t="s">
        <v>1717</v>
      </c>
      <c r="D65" s="453" t="s">
        <v>1718</v>
      </c>
      <c r="E65" s="453" t="s">
        <v>1719</v>
      </c>
      <c r="F65" s="453" t="s">
        <v>1720</v>
      </c>
      <c r="G65" s="453" t="s">
        <v>1721</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1651</v>
      </c>
      <c r="C67" s="386" t="s">
        <v>1639</v>
      </c>
      <c r="D67" s="386" t="s">
        <v>1640</v>
      </c>
      <c r="E67" s="386" t="s">
        <v>1641</v>
      </c>
      <c r="F67" s="386" t="s">
        <v>1642</v>
      </c>
      <c r="G67" s="386" t="s">
        <v>1643</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1770</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1612</v>
      </c>
      <c r="B77" s="340" t="s">
        <v>1658</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1774</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1782</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1784</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E2" xr:uid="{00000000-0002-0000-2300-00000E000000}">
      <formula1>"需扣减承租人权益,——"</formula1>
    </dataValidation>
    <dataValidation type="list" allowBlank="1" showInputMessage="1" showErrorMessage="1" sqref="H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zoomScaleSheetLayoutView="70" workbookViewId="0">
      <selection activeCell="C2" sqref="C2"/>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4"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7"/>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9">
        <f>F67</f>
        <v>1143</v>
      </c>
      <c r="C2" s="637"/>
      <c r="D2" s="637"/>
      <c r="E2" s="638"/>
      <c r="F2" s="639"/>
      <c r="G2" s="638"/>
      <c r="H2" s="638"/>
      <c r="I2" s="638"/>
      <c r="J2" s="638"/>
      <c r="K2" s="347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10898</v>
      </c>
      <c r="C3" s="116" t="s">
        <v>1787</v>
      </c>
      <c r="D3" s="3188"/>
      <c r="E3" s="638"/>
      <c r="F3" s="639"/>
      <c r="G3" s="638"/>
      <c r="H3" s="638"/>
      <c r="I3" s="638"/>
      <c r="J3" s="638"/>
      <c r="K3" s="3478"/>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IF(B48="单位面积地价",C50,ROUND(B2*10000/'数据-汇总表'!D3,0))</f>
        <v>#DIV/0!</v>
      </c>
      <c r="C4" s="1416" t="s">
        <v>3678</v>
      </c>
      <c r="D4" s="638"/>
      <c r="E4" s="638"/>
      <c r="F4" s="639"/>
      <c r="G4" s="638"/>
      <c r="H4" s="638"/>
      <c r="I4" s="638"/>
      <c r="J4" s="638"/>
      <c r="K4" s="3478"/>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3478"/>
      <c r="L5" s="2085"/>
      <c r="M5" s="2086"/>
      <c r="N5" s="2086"/>
      <c r="O5" s="2086"/>
      <c r="P5" s="250"/>
      <c r="Q5" s="250"/>
      <c r="R5" s="250"/>
      <c r="S5" s="250"/>
      <c r="T5" s="250"/>
      <c r="U5" s="250"/>
      <c r="V5" s="250"/>
      <c r="W5" s="250"/>
      <c r="X5" s="250"/>
      <c r="Y5" s="250"/>
      <c r="Z5" s="250"/>
      <c r="AA5" s="250"/>
      <c r="AB5" s="250"/>
      <c r="AC5" s="509"/>
    </row>
    <row r="6" spans="1:29" ht="15">
      <c r="A6" s="253" t="s">
        <v>1687</v>
      </c>
      <c r="B6" s="254"/>
      <c r="C6" s="4455" t="s">
        <v>1688</v>
      </c>
      <c r="D6" s="4456"/>
      <c r="E6" s="4457" t="s">
        <v>1689</v>
      </c>
      <c r="F6" s="4458"/>
      <c r="G6" s="4455" t="s">
        <v>1690</v>
      </c>
      <c r="H6" s="4456"/>
      <c r="I6" s="4455" t="s">
        <v>1691</v>
      </c>
      <c r="J6" s="4456"/>
      <c r="K6" s="3107" t="s">
        <v>1692</v>
      </c>
      <c r="L6" s="2068"/>
      <c r="M6" s="2069"/>
      <c r="N6" s="2069"/>
      <c r="O6" s="2069"/>
      <c r="P6" s="4459" t="s">
        <v>1693</v>
      </c>
      <c r="Q6" s="4460"/>
      <c r="R6" s="4441" t="s">
        <v>1689</v>
      </c>
      <c r="S6" s="4442"/>
      <c r="T6" s="4441" t="s">
        <v>1690</v>
      </c>
      <c r="U6" s="4442"/>
      <c r="V6" s="4467" t="s">
        <v>1691</v>
      </c>
      <c r="W6" s="4467"/>
      <c r="X6" s="981"/>
      <c r="Y6" s="4470" t="s">
        <v>1693</v>
      </c>
      <c r="Z6" s="4471"/>
      <c r="AA6" s="4436" t="s">
        <v>1689</v>
      </c>
      <c r="AB6" s="4437" t="s">
        <v>1690</v>
      </c>
      <c r="AC6" s="4436" t="s">
        <v>1691</v>
      </c>
    </row>
    <row r="7" spans="1:29" ht="15">
      <c r="A7" s="256"/>
      <c r="B7" s="257"/>
      <c r="C7" s="4447" t="s">
        <v>1591</v>
      </c>
      <c r="D7" s="4448"/>
      <c r="E7" s="4445" t="s">
        <v>1592</v>
      </c>
      <c r="F7" s="4446"/>
      <c r="G7" s="4447" t="s">
        <v>1593</v>
      </c>
      <c r="H7" s="4448"/>
      <c r="I7" s="4447" t="s">
        <v>1594</v>
      </c>
      <c r="J7" s="4448"/>
      <c r="K7" s="3107"/>
      <c r="L7" s="2068"/>
      <c r="M7" s="2069"/>
      <c r="N7" s="2069"/>
      <c r="O7" s="2069"/>
      <c r="P7" s="4461"/>
      <c r="Q7" s="4462"/>
      <c r="R7" s="4443"/>
      <c r="S7" s="4444"/>
      <c r="T7" s="4443"/>
      <c r="U7" s="4444"/>
      <c r="V7" s="4467"/>
      <c r="W7" s="4467"/>
      <c r="X7" s="981"/>
      <c r="Y7" s="4472"/>
      <c r="Z7" s="4473"/>
      <c r="AA7" s="4437"/>
      <c r="AB7" s="4437"/>
      <c r="AC7" s="4437"/>
    </row>
    <row r="8" spans="1:29" ht="15.75" thickBot="1">
      <c r="A8" s="258"/>
      <c r="B8" s="259"/>
      <c r="C8" s="4449" t="s">
        <v>1595</v>
      </c>
      <c r="D8" s="4450"/>
      <c r="E8" s="4451" t="s">
        <v>1595</v>
      </c>
      <c r="F8" s="4452"/>
      <c r="G8" s="4449" t="s">
        <v>1595</v>
      </c>
      <c r="H8" s="4450"/>
      <c r="I8" s="4449" t="s">
        <v>1595</v>
      </c>
      <c r="J8" s="4450"/>
      <c r="K8" s="3107" t="s">
        <v>1596</v>
      </c>
      <c r="L8" s="2068"/>
      <c r="M8" s="2069"/>
      <c r="N8" s="2069"/>
      <c r="O8" s="2069"/>
      <c r="P8" s="4463"/>
      <c r="Q8" s="4464"/>
      <c r="R8" s="4443"/>
      <c r="S8" s="4444"/>
      <c r="T8" s="4465"/>
      <c r="U8" s="4466"/>
      <c r="V8" s="4467"/>
      <c r="W8" s="4467"/>
      <c r="X8" s="981"/>
      <c r="Y8" s="4474"/>
      <c r="Z8" s="4475"/>
      <c r="AA8" s="4438"/>
      <c r="AB8" s="4438"/>
      <c r="AC8" s="4438"/>
    </row>
    <row r="9" spans="1:29" s="61" customFormat="1" ht="15.75" thickBot="1">
      <c r="A9" s="3444" t="s">
        <v>1597</v>
      </c>
      <c r="B9" s="3445"/>
      <c r="C9" s="3055">
        <f>'数据-取费表'!B2</f>
        <v>46044</v>
      </c>
      <c r="D9" s="3154">
        <v>100</v>
      </c>
      <c r="E9" s="3084">
        <v>45841</v>
      </c>
      <c r="F9" s="3130">
        <f>SUMIF(71:71,YEAR(E9)&amp;"-"&amp;INT((MONTH(E9)+2)/3),72:72)</f>
        <v>100.62</v>
      </c>
      <c r="G9" s="3475">
        <v>45580</v>
      </c>
      <c r="H9" s="3129">
        <f>SUMIF(71:71,YEAR(G9)&amp;"-"&amp;INT((MONTH(G9)+2)/3),72:72)</f>
        <v>102.01</v>
      </c>
      <c r="I9" s="3475">
        <v>45147</v>
      </c>
      <c r="J9" s="3129">
        <f>SUMIF(71:71,YEAR(I9)&amp;"-"&amp;INT((MONTH(I9)+2)/3),72:72)</f>
        <v>103.83</v>
      </c>
      <c r="K9" s="3479"/>
      <c r="L9" s="2070"/>
      <c r="M9" s="2021"/>
      <c r="N9" s="2021"/>
      <c r="O9" s="2021"/>
      <c r="P9" s="4468" t="s">
        <v>1598</v>
      </c>
      <c r="Q9" s="4476"/>
      <c r="R9" s="3516" t="s">
        <v>13</v>
      </c>
      <c r="S9" s="3517">
        <f t="shared" ref="S9:S17" si="0">F9</f>
        <v>100.62</v>
      </c>
      <c r="T9" s="3516" t="s">
        <v>13</v>
      </c>
      <c r="U9" s="3517">
        <f t="shared" ref="U9:U17" si="1">H9</f>
        <v>102.01</v>
      </c>
      <c r="V9" s="3516" t="s">
        <v>13</v>
      </c>
      <c r="W9" s="3517">
        <f t="shared" ref="W9:W17" si="2">J9</f>
        <v>103.83</v>
      </c>
      <c r="X9" s="512"/>
      <c r="Y9" s="4439" t="s">
        <v>1598</v>
      </c>
      <c r="Z9" s="4440"/>
      <c r="AA9" s="41">
        <f>D9/F9</f>
        <v>0.99383820314052873</v>
      </c>
      <c r="AB9" s="41">
        <f>D9/H9</f>
        <v>0.98029604940692083</v>
      </c>
      <c r="AC9" s="41">
        <f>D9/J9</f>
        <v>0.96311278050659732</v>
      </c>
    </row>
    <row r="10" spans="1:29" s="61" customFormat="1" ht="15.75" thickBot="1">
      <c r="A10" s="3444" t="s">
        <v>1599</v>
      </c>
      <c r="B10" s="3445"/>
      <c r="C10" s="3056" t="s">
        <v>1600</v>
      </c>
      <c r="D10" s="3154">
        <v>100</v>
      </c>
      <c r="E10" s="3056" t="s">
        <v>3667</v>
      </c>
      <c r="F10" s="3142">
        <f>SUMIF(74:74,E10,75:75)-SUMIF(74:74,C10,75:75)+100</f>
        <v>100</v>
      </c>
      <c r="G10" s="3056" t="s">
        <v>3667</v>
      </c>
      <c r="H10" s="3131">
        <f>SUMIF(74:74,G10,75:75)-SUMIF(74:74,C10,75:75)+100</f>
        <v>100</v>
      </c>
      <c r="I10" s="3056" t="s">
        <v>3667</v>
      </c>
      <c r="J10" s="3131">
        <f>SUMIF(74:74,I10,75:75)-SUMIF(74:74,C10,75:75)+100</f>
        <v>100</v>
      </c>
      <c r="K10" s="3479"/>
      <c r="L10" s="2070"/>
      <c r="M10" s="2021"/>
      <c r="N10" s="2021"/>
      <c r="O10" s="2021"/>
      <c r="P10" s="4468" t="s">
        <v>1601</v>
      </c>
      <c r="Q10" s="4469"/>
      <c r="R10" s="3516" t="s">
        <v>13</v>
      </c>
      <c r="S10" s="3517">
        <f t="shared" si="0"/>
        <v>100</v>
      </c>
      <c r="T10" s="3516" t="s">
        <v>13</v>
      </c>
      <c r="U10" s="3517">
        <f t="shared" si="1"/>
        <v>100</v>
      </c>
      <c r="V10" s="3516" t="s">
        <v>13</v>
      </c>
      <c r="W10" s="3517">
        <f t="shared" si="2"/>
        <v>100</v>
      </c>
      <c r="X10" s="512"/>
      <c r="Y10" s="4439" t="s">
        <v>1601</v>
      </c>
      <c r="Z10" s="4440"/>
      <c r="AA10" s="41">
        <f t="shared" ref="AA10:AA47" si="3">D10/F10</f>
        <v>1</v>
      </c>
      <c r="AB10" s="41">
        <f t="shared" ref="AB10:AB47" si="4">D10/H10</f>
        <v>1</v>
      </c>
      <c r="AC10" s="41">
        <f t="shared" ref="AC10:AC47" si="5">D10/J10</f>
        <v>1</v>
      </c>
    </row>
    <row r="11" spans="1:29" s="61" customFormat="1">
      <c r="A11" s="3378" t="s">
        <v>1602</v>
      </c>
      <c r="B11" s="3035" t="s">
        <v>1603</v>
      </c>
      <c r="C11" s="3446"/>
      <c r="D11" s="3155">
        <v>100</v>
      </c>
      <c r="E11" s="3446"/>
      <c r="F11" s="3132">
        <f>SUMIF(76:76,E11,77:77)-SUMIF(76:76,C11,77:77)+100</f>
        <v>100</v>
      </c>
      <c r="G11" s="3446"/>
      <c r="H11" s="3132">
        <f>SUMIF(76:76,G11,77:77)-SUMIF(76:76,C11,77:77)+100</f>
        <v>100</v>
      </c>
      <c r="I11" s="3446"/>
      <c r="J11" s="3132">
        <f>SUMIF(76:76,I11,77:77)-SUMIF(76:76,C11,77:77)+100</f>
        <v>100</v>
      </c>
      <c r="K11" s="3479"/>
      <c r="L11" s="2070"/>
      <c r="M11" s="2021"/>
      <c r="N11" s="2021"/>
      <c r="O11" s="2122"/>
      <c r="P11" s="4480" t="s">
        <v>1604</v>
      </c>
      <c r="Q11" s="1787" t="str">
        <f t="shared" ref="Q11:Q17" si="6">B11</f>
        <v>用途</v>
      </c>
      <c r="R11" s="3516" t="s">
        <v>13</v>
      </c>
      <c r="S11" s="3517">
        <f t="shared" si="0"/>
        <v>100</v>
      </c>
      <c r="T11" s="3516" t="s">
        <v>13</v>
      </c>
      <c r="U11" s="3517">
        <f t="shared" si="1"/>
        <v>100</v>
      </c>
      <c r="V11" s="3516" t="s">
        <v>13</v>
      </c>
      <c r="W11" s="3517">
        <f t="shared" si="2"/>
        <v>100</v>
      </c>
      <c r="X11" s="512"/>
      <c r="Y11" s="4454"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109"/>
      <c r="F12" s="3133">
        <f>ROUND(100/'数据-取费表'!G16,1)</f>
        <v>117.1</v>
      </c>
      <c r="G12" s="3115"/>
      <c r="H12" s="3133">
        <f>ROUND(100/'数据-取费表'!G16,1)</f>
        <v>117.1</v>
      </c>
      <c r="I12" s="3115"/>
      <c r="J12" s="3133">
        <f>ROUND(100/'数据-取费表'!G16,1)</f>
        <v>117.1</v>
      </c>
      <c r="K12" s="3480"/>
      <c r="L12" s="2071"/>
      <c r="M12" s="2072"/>
      <c r="N12" s="2072"/>
      <c r="O12" s="2123"/>
      <c r="P12" s="4480"/>
      <c r="Q12" s="1787" t="str">
        <f t="shared" si="6"/>
        <v>土地使用年限（年）</v>
      </c>
      <c r="R12" s="3516" t="s">
        <v>13</v>
      </c>
      <c r="S12" s="3517">
        <f t="shared" si="0"/>
        <v>117.1</v>
      </c>
      <c r="T12" s="3516" t="s">
        <v>13</v>
      </c>
      <c r="U12" s="3517">
        <f t="shared" si="1"/>
        <v>117.1</v>
      </c>
      <c r="V12" s="3516" t="s">
        <v>13</v>
      </c>
      <c r="W12" s="3517">
        <f t="shared" si="2"/>
        <v>117.1</v>
      </c>
      <c r="X12" s="512"/>
      <c r="Y12" s="4454"/>
      <c r="Z12" s="41" t="str">
        <f t="shared" si="7"/>
        <v>土地使用年限（年）</v>
      </c>
      <c r="AA12" s="41">
        <f t="shared" si="3"/>
        <v>0.8539709649871905</v>
      </c>
      <c r="AB12" s="41">
        <f t="shared" si="4"/>
        <v>0.8539709649871905</v>
      </c>
      <c r="AC12" s="41">
        <f t="shared" si="5"/>
        <v>0.8539709649871905</v>
      </c>
    </row>
    <row r="13" spans="1:29" ht="15">
      <c r="A13" s="3448"/>
      <c r="B13" s="3030" t="s">
        <v>1607</v>
      </c>
      <c r="C13" s="3059">
        <v>1.6</v>
      </c>
      <c r="D13" s="3156">
        <v>100</v>
      </c>
      <c r="E13" s="3059">
        <v>1.62</v>
      </c>
      <c r="F13" s="3133">
        <f>LOOKUP(E13,81:81,82:82)-LOOKUP(C13,81:81,82:82)+100</f>
        <v>100</v>
      </c>
      <c r="G13" s="3087">
        <v>1.6</v>
      </c>
      <c r="H13" s="3133">
        <f>LOOKUP(G13,81:81,82:82)-LOOKUP(C13,81:81,82:82)+100</f>
        <v>100</v>
      </c>
      <c r="I13" s="3059">
        <v>1.6</v>
      </c>
      <c r="J13" s="3133">
        <f>LOOKUP(I13,81:81,82:82)-LOOKUP(C13,81:81,82:82)+100</f>
        <v>100</v>
      </c>
      <c r="K13" s="3505"/>
      <c r="L13" s="2073"/>
      <c r="M13" s="2069"/>
      <c r="N13" s="2069"/>
      <c r="O13" s="2124"/>
      <c r="P13" s="4480"/>
      <c r="Q13" s="1787" t="str">
        <f t="shared" si="6"/>
        <v>容积率</v>
      </c>
      <c r="R13" s="3516" t="s">
        <v>13</v>
      </c>
      <c r="S13" s="3517">
        <f t="shared" si="0"/>
        <v>100</v>
      </c>
      <c r="T13" s="3516" t="s">
        <v>13</v>
      </c>
      <c r="U13" s="3517">
        <f t="shared" si="1"/>
        <v>100</v>
      </c>
      <c r="V13" s="3516" t="s">
        <v>13</v>
      </c>
      <c r="W13" s="3517">
        <f t="shared" si="2"/>
        <v>100</v>
      </c>
      <c r="X13" s="512"/>
      <c r="Y13" s="4454"/>
      <c r="Z13" s="41" t="str">
        <f t="shared" si="7"/>
        <v>容积率</v>
      </c>
      <c r="AA13" s="41">
        <f t="shared" si="3"/>
        <v>1</v>
      </c>
      <c r="AB13" s="41">
        <f t="shared" si="4"/>
        <v>1</v>
      </c>
      <c r="AC13" s="41">
        <f t="shared" si="5"/>
        <v>1</v>
      </c>
    </row>
    <row r="14" spans="1:29" s="61" customFormat="1" ht="15">
      <c r="A14" s="3449"/>
      <c r="B14" s="3036" t="s">
        <v>1788</v>
      </c>
      <c r="C14" s="3060"/>
      <c r="D14" s="3157">
        <v>100</v>
      </c>
      <c r="E14" s="3109"/>
      <c r="F14" s="3133">
        <f>SUMIF(83:83,E14,84:84)-SUMIF(83:83,C14,84:84)+100</f>
        <v>100</v>
      </c>
      <c r="G14" s="3115"/>
      <c r="H14" s="3133">
        <f>SUMIF(83:83,G14,84:84)-SUMIF(83:83,C14,84:84)+100</f>
        <v>100</v>
      </c>
      <c r="I14" s="3109"/>
      <c r="J14" s="3133">
        <f>SUMIF(83:83,I14,84:84)-SUMIF(83:83,C14,84:84)+100</f>
        <v>100</v>
      </c>
      <c r="K14" s="3506"/>
      <c r="L14" s="2070"/>
      <c r="M14" s="2021"/>
      <c r="N14" s="2021"/>
      <c r="O14" s="2122"/>
      <c r="P14" s="4480"/>
      <c r="Q14" s="1787" t="str">
        <f t="shared" si="6"/>
        <v>配建</v>
      </c>
      <c r="R14" s="3516" t="s">
        <v>13</v>
      </c>
      <c r="S14" s="3517">
        <f t="shared" si="0"/>
        <v>100</v>
      </c>
      <c r="T14" s="3516" t="s">
        <v>13</v>
      </c>
      <c r="U14" s="3517">
        <f t="shared" si="1"/>
        <v>100</v>
      </c>
      <c r="V14" s="3516" t="s">
        <v>13</v>
      </c>
      <c r="W14" s="3517">
        <f t="shared" si="2"/>
        <v>100</v>
      </c>
      <c r="X14" s="512"/>
      <c r="Y14" s="4454"/>
      <c r="Z14" s="41" t="str">
        <f t="shared" si="7"/>
        <v>配建</v>
      </c>
      <c r="AA14" s="41">
        <f>D14/F14</f>
        <v>1</v>
      </c>
      <c r="AB14" s="41">
        <f>D14/H14</f>
        <v>1</v>
      </c>
      <c r="AC14" s="41">
        <f>D14/J14</f>
        <v>1</v>
      </c>
    </row>
    <row r="15" spans="1:29" ht="15">
      <c r="A15" s="3448"/>
      <c r="B15" s="3036">
        <v>111</v>
      </c>
      <c r="C15" s="3061"/>
      <c r="D15" s="3158">
        <v>100</v>
      </c>
      <c r="E15" s="3470"/>
      <c r="F15" s="3133">
        <f>SUMIF(85:85,E15,86:86)-SUMIF(85:85,C15,86:86)+100</f>
        <v>100</v>
      </c>
      <c r="G15" s="3456"/>
      <c r="H15" s="3134">
        <f>SUMIF(85:85,G15,86:86)-SUMIF(85:85,C15,86:86)+100</f>
        <v>100</v>
      </c>
      <c r="I15" s="3456"/>
      <c r="J15" s="3134">
        <f>SUMIF(85:85,I15,86:86)-SUMIF(85:85,C15,86:86)+100</f>
        <v>100</v>
      </c>
      <c r="K15" s="3506"/>
      <c r="L15" s="2074"/>
      <c r="M15" s="2069"/>
      <c r="N15" s="2069"/>
      <c r="O15" s="2124"/>
      <c r="P15" s="4480"/>
      <c r="Q15" s="1787">
        <f t="shared" si="6"/>
        <v>111</v>
      </c>
      <c r="R15" s="3516" t="s">
        <v>13</v>
      </c>
      <c r="S15" s="3517">
        <f t="shared" si="0"/>
        <v>100</v>
      </c>
      <c r="T15" s="3516" t="s">
        <v>13</v>
      </c>
      <c r="U15" s="3517">
        <f t="shared" si="1"/>
        <v>100</v>
      </c>
      <c r="V15" s="3516" t="s">
        <v>13</v>
      </c>
      <c r="W15" s="3517">
        <f t="shared" si="2"/>
        <v>100</v>
      </c>
      <c r="X15" s="512"/>
      <c r="Y15" s="4454"/>
      <c r="Z15" s="41">
        <f t="shared" si="7"/>
        <v>111</v>
      </c>
      <c r="AA15" s="41">
        <f>D15/F15</f>
        <v>1</v>
      </c>
      <c r="AB15" s="41">
        <f>D15/H15</f>
        <v>1</v>
      </c>
      <c r="AC15" s="41">
        <f>D15/J15</f>
        <v>1</v>
      </c>
    </row>
    <row r="16" spans="1:29" ht="15.75" thickBot="1">
      <c r="A16" s="3450"/>
      <c r="B16" s="3037">
        <v>111</v>
      </c>
      <c r="C16" s="3062"/>
      <c r="D16" s="3159">
        <v>100</v>
      </c>
      <c r="E16" s="3470"/>
      <c r="F16" s="3135">
        <f>SUMIF(87:87,E16,88:88)-SUMIF(87:87,C16,88:88)+100</f>
        <v>100</v>
      </c>
      <c r="G16" s="3456"/>
      <c r="H16" s="3135">
        <f>SUMIF(87:87,G16,88:88)-SUMIF(87:87,C16,88:88)+100</f>
        <v>100</v>
      </c>
      <c r="I16" s="3456"/>
      <c r="J16" s="3135">
        <f>SUMIF(87:87,I16,88:88)-SUMIF(87:87,C16,88:88)+100</f>
        <v>100</v>
      </c>
      <c r="K16" s="3506"/>
      <c r="L16" s="2074"/>
      <c r="M16" s="2069"/>
      <c r="N16" s="2069"/>
      <c r="O16" s="2124"/>
      <c r="P16" s="4480"/>
      <c r="Q16" s="1787">
        <f t="shared" si="6"/>
        <v>111</v>
      </c>
      <c r="R16" s="3516" t="s">
        <v>13</v>
      </c>
      <c r="S16" s="3517">
        <f t="shared" si="0"/>
        <v>100</v>
      </c>
      <c r="T16" s="3516" t="s">
        <v>13</v>
      </c>
      <c r="U16" s="3517">
        <f t="shared" si="1"/>
        <v>100</v>
      </c>
      <c r="V16" s="3516" t="s">
        <v>13</v>
      </c>
      <c r="W16" s="3517">
        <f t="shared" si="2"/>
        <v>100</v>
      </c>
      <c r="X16" s="512"/>
      <c r="Y16" s="4454"/>
      <c r="Z16" s="41">
        <f t="shared" si="7"/>
        <v>111</v>
      </c>
      <c r="AA16" s="41">
        <f>D16/F16</f>
        <v>1</v>
      </c>
      <c r="AB16" s="41">
        <f>D16/H16</f>
        <v>1</v>
      </c>
      <c r="AC16" s="41">
        <f>D16/J16</f>
        <v>1</v>
      </c>
    </row>
    <row r="17" spans="1:29" ht="15">
      <c r="A17" s="3451" t="s">
        <v>1608</v>
      </c>
      <c r="B17" s="3038" t="s">
        <v>1241</v>
      </c>
      <c r="C17" s="3063">
        <f>估价对象房地状况!C15</f>
        <v>0</v>
      </c>
      <c r="D17" s="3160">
        <v>100</v>
      </c>
      <c r="E17" s="3088"/>
      <c r="F17" s="3136">
        <f>SUMIF(89:89,E18,90:90)-SUMIF(89:89,C18,90:90)+100</f>
        <v>105</v>
      </c>
      <c r="G17" s="3088"/>
      <c r="H17" s="3136">
        <f>SUMIF(89:89,G18,90:90)-SUMIF(89:89,C18,90:90)+100</f>
        <v>100</v>
      </c>
      <c r="I17" s="3094"/>
      <c r="J17" s="3136">
        <f>SUMIF(89:89,I18,90:90)-SUMIF(89:89,C18,90:90)+100</f>
        <v>100</v>
      </c>
      <c r="K17" s="3505">
        <v>5</v>
      </c>
      <c r="L17" s="2074"/>
      <c r="M17" s="2069"/>
      <c r="N17" s="2069"/>
      <c r="O17" s="2124"/>
      <c r="P17" s="4529" t="s">
        <v>1609</v>
      </c>
      <c r="Q17" s="1587" t="str">
        <f t="shared" si="6"/>
        <v>居住社区成熟度</v>
      </c>
      <c r="R17" s="3518" t="s">
        <v>13</v>
      </c>
      <c r="S17" s="3519">
        <f t="shared" si="0"/>
        <v>105</v>
      </c>
      <c r="T17" s="3518" t="s">
        <v>13</v>
      </c>
      <c r="U17" s="3519">
        <f t="shared" si="1"/>
        <v>100</v>
      </c>
      <c r="V17" s="3518" t="s">
        <v>13</v>
      </c>
      <c r="W17" s="3519">
        <f t="shared" si="2"/>
        <v>100</v>
      </c>
      <c r="X17" s="981"/>
      <c r="Y17" s="4482" t="s">
        <v>1609</v>
      </c>
      <c r="Z17" s="979" t="str">
        <f t="shared" si="7"/>
        <v>居住社区成熟度</v>
      </c>
      <c r="AA17" s="979">
        <f t="shared" si="3"/>
        <v>0.95238095238095233</v>
      </c>
      <c r="AB17" s="979">
        <f t="shared" si="4"/>
        <v>1</v>
      </c>
      <c r="AC17" s="979">
        <f t="shared" si="5"/>
        <v>1</v>
      </c>
    </row>
    <row r="18" spans="1:29" ht="15">
      <c r="A18" s="3448"/>
      <c r="B18" s="3039"/>
      <c r="C18" s="3064" t="s">
        <v>3656</v>
      </c>
      <c r="D18" s="3161"/>
      <c r="E18" s="3092" t="s">
        <v>3657</v>
      </c>
      <c r="F18" s="3137"/>
      <c r="G18" s="3092" t="s">
        <v>3656</v>
      </c>
      <c r="H18" s="3138"/>
      <c r="I18" s="3098" t="s">
        <v>3656</v>
      </c>
      <c r="J18" s="3137"/>
      <c r="K18" s="3506"/>
      <c r="L18" s="2074"/>
      <c r="M18" s="2069"/>
      <c r="N18" s="2069"/>
      <c r="O18" s="2124"/>
      <c r="P18" s="4530"/>
      <c r="Q18" s="1587"/>
      <c r="R18" s="3518"/>
      <c r="S18" s="3519"/>
      <c r="T18" s="3518"/>
      <c r="U18" s="3519"/>
      <c r="V18" s="3518"/>
      <c r="W18" s="3519"/>
      <c r="X18" s="981"/>
      <c r="Y18" s="4483"/>
      <c r="Z18" s="979"/>
      <c r="AA18" s="979">
        <v>1</v>
      </c>
      <c r="AB18" s="979">
        <v>1</v>
      </c>
      <c r="AC18" s="979">
        <v>1</v>
      </c>
    </row>
    <row r="19" spans="1:29" ht="15">
      <c r="A19" s="3448"/>
      <c r="B19" s="3040" t="s">
        <v>1695</v>
      </c>
      <c r="C19" s="3079">
        <f>估价对象房地状况!C16</f>
        <v>0</v>
      </c>
      <c r="D19" s="3162">
        <v>100</v>
      </c>
      <c r="E19" s="3089"/>
      <c r="F19" s="3138">
        <f>SUMIF(91:91,E20,92:92)-SUMIF(91:91,C20,92:92)+100</f>
        <v>100</v>
      </c>
      <c r="G19" s="3089"/>
      <c r="H19" s="3139">
        <f>SUMIF(91:91,G20,92:92)-SUMIF(91:91,C20,92:92)+100</f>
        <v>100</v>
      </c>
      <c r="I19" s="3095"/>
      <c r="J19" s="3139">
        <f>SUMIF(91:91,I20,92:92)-SUMIF(91:91,C20,92:92)+100</f>
        <v>100</v>
      </c>
      <c r="K19" s="3505"/>
      <c r="L19" s="2074"/>
      <c r="M19" s="2069"/>
      <c r="N19" s="2069"/>
      <c r="O19" s="2124"/>
      <c r="P19" s="4530"/>
      <c r="Q19" s="1587" t="str">
        <f>B19</f>
        <v>商业繁华度</v>
      </c>
      <c r="R19" s="3518" t="s">
        <v>13</v>
      </c>
      <c r="S19" s="3519">
        <f>F19</f>
        <v>100</v>
      </c>
      <c r="T19" s="3518" t="s">
        <v>13</v>
      </c>
      <c r="U19" s="3519">
        <f>H19</f>
        <v>100</v>
      </c>
      <c r="V19" s="3518" t="s">
        <v>13</v>
      </c>
      <c r="W19" s="3519">
        <f>J19</f>
        <v>100</v>
      </c>
      <c r="X19" s="981"/>
      <c r="Y19" s="4483"/>
      <c r="Z19" s="979" t="str">
        <f>Q19</f>
        <v>商业繁华度</v>
      </c>
      <c r="AA19" s="979">
        <f t="shared" si="3"/>
        <v>1</v>
      </c>
      <c r="AB19" s="979">
        <f t="shared" si="4"/>
        <v>1</v>
      </c>
      <c r="AC19" s="979">
        <f t="shared" si="5"/>
        <v>1</v>
      </c>
    </row>
    <row r="20" spans="1:29" ht="15">
      <c r="A20" s="3448"/>
      <c r="B20" s="3041"/>
      <c r="C20" s="3066"/>
      <c r="D20" s="3162"/>
      <c r="E20" s="3090"/>
      <c r="F20" s="3138"/>
      <c r="G20" s="3090"/>
      <c r="H20" s="3137"/>
      <c r="I20" s="3096"/>
      <c r="J20" s="3137"/>
      <c r="K20" s="3506"/>
      <c r="L20" s="2074"/>
      <c r="M20" s="2069"/>
      <c r="N20" s="2069"/>
      <c r="O20" s="2124"/>
      <c r="P20" s="4530"/>
      <c r="Q20" s="1587"/>
      <c r="R20" s="3518"/>
      <c r="S20" s="3519"/>
      <c r="T20" s="3518"/>
      <c r="U20" s="3519"/>
      <c r="V20" s="3518"/>
      <c r="W20" s="3519"/>
      <c r="X20" s="981"/>
      <c r="Y20" s="4483"/>
      <c r="Z20" s="979"/>
      <c r="AA20" s="979">
        <v>1</v>
      </c>
      <c r="AB20" s="979">
        <v>1</v>
      </c>
      <c r="AC20" s="979">
        <v>1</v>
      </c>
    </row>
    <row r="21" spans="1:29" ht="15">
      <c r="A21" s="3448"/>
      <c r="B21" s="3040" t="s">
        <v>1729</v>
      </c>
      <c r="C21" s="3079">
        <f>估价对象房地状况!C17</f>
        <v>0</v>
      </c>
      <c r="D21" s="3163">
        <v>100</v>
      </c>
      <c r="E21" s="3091"/>
      <c r="F21" s="3139">
        <f>SUMIF(93:93,E22,94:94)-SUMIF(93:93,C22,94:94)+100</f>
        <v>100</v>
      </c>
      <c r="G21" s="3091"/>
      <c r="H21" s="3138">
        <f>SUMIF(93:93,G22,94:94)-SUMIF(93:93,C22,94:94)+100</f>
        <v>100</v>
      </c>
      <c r="I21" s="3097"/>
      <c r="J21" s="3138">
        <f>SUMIF(93:93,I22,94:94)-SUMIF(93:93,C22,94:94)+100</f>
        <v>100</v>
      </c>
      <c r="K21" s="3505"/>
      <c r="L21" s="2074"/>
      <c r="M21" s="2069"/>
      <c r="N21" s="2069"/>
      <c r="O21" s="2124"/>
      <c r="P21" s="4530"/>
      <c r="Q21" s="1587" t="str">
        <f>B21</f>
        <v>办公集聚程度</v>
      </c>
      <c r="R21" s="3518" t="s">
        <v>13</v>
      </c>
      <c r="S21" s="3519">
        <f>F21</f>
        <v>100</v>
      </c>
      <c r="T21" s="3518" t="s">
        <v>13</v>
      </c>
      <c r="U21" s="3519">
        <f>H21</f>
        <v>100</v>
      </c>
      <c r="V21" s="3518" t="s">
        <v>13</v>
      </c>
      <c r="W21" s="3519">
        <f>J21</f>
        <v>100</v>
      </c>
      <c r="X21" s="981"/>
      <c r="Y21" s="4483"/>
      <c r="Z21" s="979" t="str">
        <f>Q21</f>
        <v>办公集聚程度</v>
      </c>
      <c r="AA21" s="979">
        <f t="shared" si="3"/>
        <v>1</v>
      </c>
      <c r="AB21" s="979">
        <f t="shared" si="4"/>
        <v>1</v>
      </c>
      <c r="AC21" s="979">
        <f t="shared" si="5"/>
        <v>1</v>
      </c>
    </row>
    <row r="22" spans="1:29" ht="15">
      <c r="A22" s="3448"/>
      <c r="B22" s="3041"/>
      <c r="C22" s="3064"/>
      <c r="D22" s="3161"/>
      <c r="E22" s="3092"/>
      <c r="F22" s="3137"/>
      <c r="G22" s="3092"/>
      <c r="H22" s="3137"/>
      <c r="I22" s="3098"/>
      <c r="J22" s="3137"/>
      <c r="K22" s="3506"/>
      <c r="L22" s="2074"/>
      <c r="M22" s="2069"/>
      <c r="N22" s="2069"/>
      <c r="O22" s="2124"/>
      <c r="P22" s="4530"/>
      <c r="Q22" s="1587"/>
      <c r="R22" s="3518"/>
      <c r="S22" s="3519"/>
      <c r="T22" s="3518"/>
      <c r="U22" s="3519"/>
      <c r="V22" s="3518"/>
      <c r="W22" s="3519"/>
      <c r="X22" s="981"/>
      <c r="Y22" s="4483"/>
      <c r="Z22" s="979"/>
      <c r="AA22" s="979">
        <v>1</v>
      </c>
      <c r="AB22" s="979">
        <v>1</v>
      </c>
      <c r="AC22" s="979">
        <v>1</v>
      </c>
    </row>
    <row r="23" spans="1:29" ht="15">
      <c r="A23" s="3448"/>
      <c r="B23" s="3040" t="s">
        <v>1751</v>
      </c>
      <c r="C23" s="3065">
        <f>估价对象房地状况!C18</f>
        <v>0</v>
      </c>
      <c r="D23" s="3162">
        <v>100</v>
      </c>
      <c r="E23" s="3089"/>
      <c r="F23" s="3139">
        <f>SUMIF(95:95,E24,96:96)-SUMIF(95:95,C24,96:96)+100</f>
        <v>105</v>
      </c>
      <c r="G23" s="3089"/>
      <c r="H23" s="3138">
        <f>SUMIF(95:95,G24,96:96)-SUMIF(95:95,C24,96:96)+100</f>
        <v>100</v>
      </c>
      <c r="I23" s="3095"/>
      <c r="J23" s="3138">
        <f>SUMIF(95:95,I24,96:96)-SUMIF(95:95,C24,96:96)+100</f>
        <v>100</v>
      </c>
      <c r="K23" s="3505">
        <v>5</v>
      </c>
      <c r="L23" s="2074"/>
      <c r="M23" s="2069"/>
      <c r="N23" s="2069"/>
      <c r="O23" s="2124"/>
      <c r="P23" s="4530"/>
      <c r="Q23" s="1587" t="str">
        <f>B23</f>
        <v>交通便捷度</v>
      </c>
      <c r="R23" s="3518" t="s">
        <v>13</v>
      </c>
      <c r="S23" s="3519">
        <f>F23</f>
        <v>105</v>
      </c>
      <c r="T23" s="3518" t="s">
        <v>13</v>
      </c>
      <c r="U23" s="3519">
        <f>H23</f>
        <v>100</v>
      </c>
      <c r="V23" s="3518" t="s">
        <v>13</v>
      </c>
      <c r="W23" s="3519">
        <f>J23</f>
        <v>100</v>
      </c>
      <c r="X23" s="981"/>
      <c r="Y23" s="4483"/>
      <c r="Z23" s="979" t="str">
        <f>Q23</f>
        <v>交通便捷度</v>
      </c>
      <c r="AA23" s="979">
        <f t="shared" si="3"/>
        <v>0.95238095238095233</v>
      </c>
      <c r="AB23" s="979">
        <f t="shared" si="4"/>
        <v>1</v>
      </c>
      <c r="AC23" s="979">
        <f t="shared" si="5"/>
        <v>1</v>
      </c>
    </row>
    <row r="24" spans="1:29" ht="15">
      <c r="A24" s="3448"/>
      <c r="B24" s="3042"/>
      <c r="C24" s="3064" t="s">
        <v>3656</v>
      </c>
      <c r="D24" s="3162"/>
      <c r="E24" s="3092" t="s">
        <v>3657</v>
      </c>
      <c r="F24" s="3137"/>
      <c r="G24" s="3092" t="s">
        <v>3656</v>
      </c>
      <c r="H24" s="3137"/>
      <c r="I24" s="3098" t="s">
        <v>3656</v>
      </c>
      <c r="J24" s="3137"/>
      <c r="K24" s="3506"/>
      <c r="L24" s="2074"/>
      <c r="M24" s="2069"/>
      <c r="N24" s="2069"/>
      <c r="O24" s="2124"/>
      <c r="P24" s="4530"/>
      <c r="Q24" s="1587"/>
      <c r="R24" s="3518"/>
      <c r="S24" s="3519"/>
      <c r="T24" s="3518"/>
      <c r="U24" s="3519"/>
      <c r="V24" s="3518"/>
      <c r="W24" s="3519"/>
      <c r="X24" s="981"/>
      <c r="Y24" s="4483"/>
      <c r="Z24" s="979"/>
      <c r="AA24" s="979">
        <v>1</v>
      </c>
      <c r="AB24" s="979">
        <v>1</v>
      </c>
      <c r="AC24" s="979">
        <v>1</v>
      </c>
    </row>
    <row r="25" spans="1:29" ht="15">
      <c r="A25" s="3452"/>
      <c r="B25" s="3040" t="s">
        <v>1789</v>
      </c>
      <c r="C25" s="3453">
        <f>估价对象房地状况!C19</f>
        <v>0</v>
      </c>
      <c r="D25" s="3163">
        <v>100</v>
      </c>
      <c r="E25" s="3089"/>
      <c r="F25" s="3139">
        <f>SUMIF(97:97,E26,98:98)-SUMIF(97:97,C26,98:98)+100</f>
        <v>100</v>
      </c>
      <c r="G25" s="3095"/>
      <c r="H25" s="3139">
        <f>SUMIF(97:97,G26,98:98)-SUMIF(97:97,C26,98:98)+100</f>
        <v>100</v>
      </c>
      <c r="I25" s="3095"/>
      <c r="J25" s="3139">
        <f>SUMIF(97:97,I26,98:98)-SUMIF(97:97,C26,98:98)+100</f>
        <v>100</v>
      </c>
      <c r="K25" s="3505"/>
      <c r="L25" s="2074"/>
      <c r="M25" s="2069"/>
      <c r="N25" s="2069"/>
      <c r="O25" s="2124"/>
      <c r="P25" s="4530"/>
      <c r="Q25" s="1587" t="str">
        <f t="shared" ref="Q25:Q39" si="8">B25</f>
        <v>区域土地利用方向</v>
      </c>
      <c r="R25" s="3518" t="s">
        <v>13</v>
      </c>
      <c r="S25" s="3519">
        <f>F25</f>
        <v>100</v>
      </c>
      <c r="T25" s="3518" t="s">
        <v>13</v>
      </c>
      <c r="U25" s="3519">
        <f>H25</f>
        <v>100</v>
      </c>
      <c r="V25" s="3518" t="s">
        <v>13</v>
      </c>
      <c r="W25" s="3519">
        <f>J25</f>
        <v>100</v>
      </c>
      <c r="X25" s="981"/>
      <c r="Y25" s="4483"/>
      <c r="Z25" s="979" t="str">
        <f>Q25</f>
        <v>区域土地利用方向</v>
      </c>
      <c r="AA25" s="979">
        <f t="shared" si="3"/>
        <v>1</v>
      </c>
      <c r="AB25" s="979">
        <f t="shared" si="4"/>
        <v>1</v>
      </c>
      <c r="AC25" s="979">
        <f t="shared" si="5"/>
        <v>1</v>
      </c>
    </row>
    <row r="26" spans="1:29" ht="15">
      <c r="A26" s="3452"/>
      <c r="B26" s="3041"/>
      <c r="C26" s="3080"/>
      <c r="D26" s="3161"/>
      <c r="E26" s="3092"/>
      <c r="F26" s="3137"/>
      <c r="G26" s="3098"/>
      <c r="H26" s="3137"/>
      <c r="I26" s="3098"/>
      <c r="J26" s="3137"/>
      <c r="K26" s="3507"/>
      <c r="L26" s="2074"/>
      <c r="M26" s="2069"/>
      <c r="N26" s="2069"/>
      <c r="O26" s="2124"/>
      <c r="P26" s="4530"/>
      <c r="Q26" s="1587"/>
      <c r="R26" s="3518"/>
      <c r="S26" s="3519"/>
      <c r="T26" s="3518"/>
      <c r="U26" s="3519"/>
      <c r="V26" s="3518"/>
      <c r="W26" s="3519"/>
      <c r="X26" s="981"/>
      <c r="Y26" s="4483"/>
      <c r="Z26" s="979"/>
      <c r="AA26" s="979"/>
      <c r="AB26" s="979"/>
      <c r="AC26" s="979"/>
    </row>
    <row r="27" spans="1:29" ht="27">
      <c r="A27" s="3452"/>
      <c r="B27" s="3042" t="s">
        <v>1790</v>
      </c>
      <c r="C27" s="3079">
        <f>估价对象房地状况!C20</f>
        <v>0</v>
      </c>
      <c r="D27" s="3162">
        <v>100</v>
      </c>
      <c r="E27" s="3089"/>
      <c r="F27" s="3138">
        <f>SUMIF(99:99,E28,100:100)-SUMIF(99:99,C28,100:100)+100</f>
        <v>100</v>
      </c>
      <c r="G27" s="3089"/>
      <c r="H27" s="3138">
        <f>SUMIF(99:99,G28,100:100)-SUMIF(99:99,C28,100:100)+100</f>
        <v>100</v>
      </c>
      <c r="I27" s="3095"/>
      <c r="J27" s="3138">
        <f>SUMIF(99:99,I28,100:100)-SUMIF(99:99,C28,100:100)+100</f>
        <v>100</v>
      </c>
      <c r="K27" s="3505"/>
      <c r="L27" s="2074"/>
      <c r="M27" s="2069"/>
      <c r="N27" s="2069"/>
      <c r="O27" s="2124"/>
      <c r="P27" s="4530"/>
      <c r="Q27" s="1587" t="str">
        <f t="shared" si="8"/>
        <v>自然及人文环境状况</v>
      </c>
      <c r="R27" s="3518" t="s">
        <v>13</v>
      </c>
      <c r="S27" s="3519">
        <f>F27</f>
        <v>100</v>
      </c>
      <c r="T27" s="3518" t="s">
        <v>13</v>
      </c>
      <c r="U27" s="3519">
        <f>H27</f>
        <v>100</v>
      </c>
      <c r="V27" s="3518" t="s">
        <v>13</v>
      </c>
      <c r="W27" s="3519">
        <f>J27</f>
        <v>100</v>
      </c>
      <c r="X27" s="981"/>
      <c r="Y27" s="4483"/>
      <c r="Z27" s="979" t="str">
        <f>Q27</f>
        <v>自然及人文环境状况</v>
      </c>
      <c r="AA27" s="979">
        <f t="shared" si="3"/>
        <v>1</v>
      </c>
      <c r="AB27" s="979">
        <f t="shared" si="4"/>
        <v>1</v>
      </c>
      <c r="AC27" s="979">
        <f t="shared" si="5"/>
        <v>1</v>
      </c>
    </row>
    <row r="28" spans="1:29" ht="15">
      <c r="A28" s="3452"/>
      <c r="B28" s="3041"/>
      <c r="C28" s="3064"/>
      <c r="D28" s="3161"/>
      <c r="E28" s="3114"/>
      <c r="F28" s="3137"/>
      <c r="G28" s="3114"/>
      <c r="H28" s="3137"/>
      <c r="I28" s="3064"/>
      <c r="J28" s="3137"/>
      <c r="K28" s="3506"/>
      <c r="L28" s="2074"/>
      <c r="M28" s="2069"/>
      <c r="N28" s="2069"/>
      <c r="O28" s="2124"/>
      <c r="P28" s="4530"/>
      <c r="Q28" s="1587"/>
      <c r="R28" s="3518"/>
      <c r="S28" s="3519"/>
      <c r="T28" s="3518"/>
      <c r="U28" s="3519"/>
      <c r="V28" s="3518"/>
      <c r="W28" s="3519"/>
      <c r="X28" s="981"/>
      <c r="Y28" s="4483"/>
      <c r="Z28" s="979"/>
      <c r="AA28" s="979">
        <v>1</v>
      </c>
      <c r="AB28" s="979">
        <v>1</v>
      </c>
      <c r="AC28" s="979">
        <v>1</v>
      </c>
    </row>
    <row r="29" spans="1:29" s="61" customFormat="1" ht="15">
      <c r="A29" s="3454"/>
      <c r="B29" s="3042" t="s">
        <v>1696</v>
      </c>
      <c r="C29" s="3065">
        <f>估价对象房地状况!C21</f>
        <v>0</v>
      </c>
      <c r="D29" s="3162">
        <v>100</v>
      </c>
      <c r="E29" s="3089"/>
      <c r="F29" s="3138">
        <f>SUMIF(101:101,E30,102:102)-SUMIF(101:101,C30,102:102)+100</f>
        <v>105</v>
      </c>
      <c r="G29" s="3089"/>
      <c r="H29" s="3138">
        <f>SUMIF(101:101,G30,102:102)-SUMIF(101:101,C30,102:102)+100</f>
        <v>100</v>
      </c>
      <c r="I29" s="3095"/>
      <c r="J29" s="3138">
        <f>SUMIF(101:101,I30,102:102)-SUMIF(101:101,C30,102:102)+100</f>
        <v>100</v>
      </c>
      <c r="K29" s="3505">
        <v>5</v>
      </c>
      <c r="L29" s="2070"/>
      <c r="M29" s="2021"/>
      <c r="N29" s="2021"/>
      <c r="O29" s="2122"/>
      <c r="P29" s="4530"/>
      <c r="Q29" s="1787" t="str">
        <f t="shared" si="8"/>
        <v>公共配套设施</v>
      </c>
      <c r="R29" s="3516" t="s">
        <v>13</v>
      </c>
      <c r="S29" s="3517">
        <f>F29</f>
        <v>105</v>
      </c>
      <c r="T29" s="3516" t="s">
        <v>13</v>
      </c>
      <c r="U29" s="3517">
        <f>H29</f>
        <v>100</v>
      </c>
      <c r="V29" s="3516" t="s">
        <v>13</v>
      </c>
      <c r="W29" s="3517">
        <f>J29</f>
        <v>100</v>
      </c>
      <c r="X29" s="512"/>
      <c r="Y29" s="4483"/>
      <c r="Z29" s="41" t="str">
        <f>Q29</f>
        <v>公共配套设施</v>
      </c>
      <c r="AA29" s="979">
        <f>D29/F29</f>
        <v>0.95238095238095233</v>
      </c>
      <c r="AB29" s="979">
        <f>D29/H29</f>
        <v>1</v>
      </c>
      <c r="AC29" s="979">
        <f>D29/J29</f>
        <v>1</v>
      </c>
    </row>
    <row r="30" spans="1:29" s="61" customFormat="1" ht="15">
      <c r="A30" s="3454"/>
      <c r="B30" s="3041"/>
      <c r="C30" s="3455" t="s">
        <v>3656</v>
      </c>
      <c r="D30" s="3161"/>
      <c r="E30" s="3114" t="s">
        <v>3657</v>
      </c>
      <c r="F30" s="3137"/>
      <c r="G30" s="3114" t="s">
        <v>3656</v>
      </c>
      <c r="H30" s="3137"/>
      <c r="I30" s="3064" t="s">
        <v>3656</v>
      </c>
      <c r="J30" s="3137"/>
      <c r="K30" s="3506"/>
      <c r="L30" s="2070"/>
      <c r="M30" s="2021"/>
      <c r="N30" s="2021"/>
      <c r="O30" s="2122"/>
      <c r="P30" s="4530"/>
      <c r="Q30" s="1787"/>
      <c r="R30" s="3516"/>
      <c r="S30" s="3517"/>
      <c r="T30" s="3516"/>
      <c r="U30" s="3517"/>
      <c r="V30" s="3516"/>
      <c r="W30" s="3517"/>
      <c r="X30" s="512"/>
      <c r="Y30" s="4483"/>
      <c r="Z30" s="41"/>
      <c r="AA30" s="979">
        <v>1</v>
      </c>
      <c r="AB30" s="979">
        <v>1</v>
      </c>
      <c r="AC30" s="979">
        <v>1</v>
      </c>
    </row>
    <row r="31" spans="1:29" s="61" customFormat="1" ht="15">
      <c r="A31" s="3454"/>
      <c r="B31" s="3042" t="s">
        <v>1697</v>
      </c>
      <c r="C31" s="3065">
        <f>估价对象房地状况!C22</f>
        <v>0</v>
      </c>
      <c r="D31" s="3162">
        <v>100</v>
      </c>
      <c r="E31" s="3089"/>
      <c r="F31" s="3138">
        <f>SUMIF(103:103,E32,104:104)-SUMIF(103:103,C32,104:104)+100</f>
        <v>100</v>
      </c>
      <c r="G31" s="3089"/>
      <c r="H31" s="3138">
        <f>SUMIF(103:103,G32,104:104)-SUMIF(103:103,C32,104:104)+100</f>
        <v>100</v>
      </c>
      <c r="I31" s="3095"/>
      <c r="J31" s="3138">
        <f>SUMIF(103:103,I32,104:104)-SUMIF(103:103,C32,104:104)+100</f>
        <v>100</v>
      </c>
      <c r="K31" s="3505"/>
      <c r="L31" s="2070"/>
      <c r="M31" s="2021"/>
      <c r="N31" s="2021"/>
      <c r="O31" s="2122"/>
      <c r="P31" s="4530"/>
      <c r="Q31" s="1787" t="str">
        <f t="shared" ref="Q31" si="9">B31</f>
        <v>基础设施水平</v>
      </c>
      <c r="R31" s="3516" t="s">
        <v>13</v>
      </c>
      <c r="S31" s="3517">
        <f>F31</f>
        <v>100</v>
      </c>
      <c r="T31" s="3516" t="s">
        <v>13</v>
      </c>
      <c r="U31" s="3517">
        <f>H31</f>
        <v>100</v>
      </c>
      <c r="V31" s="3516" t="s">
        <v>13</v>
      </c>
      <c r="W31" s="3517">
        <f>J31</f>
        <v>100</v>
      </c>
      <c r="X31" s="512"/>
      <c r="Y31" s="4483"/>
      <c r="Z31" s="41" t="str">
        <f>Q31</f>
        <v>基础设施水平</v>
      </c>
      <c r="AA31" s="979">
        <f>D31/F31</f>
        <v>1</v>
      </c>
      <c r="AB31" s="979">
        <f>D31/H31</f>
        <v>1</v>
      </c>
      <c r="AC31" s="979">
        <f>D31/J31</f>
        <v>1</v>
      </c>
    </row>
    <row r="32" spans="1:29" s="61" customFormat="1" ht="15">
      <c r="A32" s="3454"/>
      <c r="B32" s="3041"/>
      <c r="C32" s="3455"/>
      <c r="D32" s="3161"/>
      <c r="E32" s="3471"/>
      <c r="F32" s="3137"/>
      <c r="G32" s="3471"/>
      <c r="H32" s="3137"/>
      <c r="I32" s="3471"/>
      <c r="J32" s="3137"/>
      <c r="K32" s="3506"/>
      <c r="L32" s="2070"/>
      <c r="M32" s="2021"/>
      <c r="N32" s="2021"/>
      <c r="O32" s="2122"/>
      <c r="P32" s="4530"/>
      <c r="Q32" s="1787"/>
      <c r="R32" s="3516"/>
      <c r="S32" s="3517"/>
      <c r="T32" s="3516"/>
      <c r="U32" s="3517"/>
      <c r="V32" s="3516"/>
      <c r="W32" s="3517"/>
      <c r="X32" s="512"/>
      <c r="Y32" s="4483"/>
      <c r="Z32" s="41"/>
      <c r="AA32" s="979">
        <v>1</v>
      </c>
      <c r="AB32" s="979">
        <v>1</v>
      </c>
      <c r="AC32" s="979">
        <v>1</v>
      </c>
    </row>
    <row r="33" spans="1:29" ht="15">
      <c r="A33" s="3448"/>
      <c r="B33" s="3041" t="s">
        <v>1698</v>
      </c>
      <c r="C33" s="3080"/>
      <c r="D33" s="3158">
        <v>100</v>
      </c>
      <c r="E33" s="3472"/>
      <c r="F33" s="3134">
        <f>SUMIF(105:105,E33,106:106)-SUMIF(105:105,C33,106:106)+100</f>
        <v>100</v>
      </c>
      <c r="G33" s="3472"/>
      <c r="H33" s="3134">
        <f>SUMIF(105:105,G33,106:106)-SUMIF(105:105,C33,106:106)+100</f>
        <v>100</v>
      </c>
      <c r="I33" s="3472"/>
      <c r="J33" s="3134">
        <f>SUMIF(105:105,I33,106:106)-SUMIF(105:105,C33,106:106)+100</f>
        <v>100</v>
      </c>
      <c r="K33" s="3505"/>
      <c r="L33" s="2074"/>
      <c r="M33" s="2069"/>
      <c r="N33" s="2069"/>
      <c r="O33" s="2124"/>
      <c r="P33" s="4530"/>
      <c r="Q33" s="1587" t="str">
        <f t="shared" si="8"/>
        <v>临街状况</v>
      </c>
      <c r="R33" s="3518" t="s">
        <v>13</v>
      </c>
      <c r="S33" s="3519">
        <f t="shared" ref="S33:S47" si="10">F33</f>
        <v>100</v>
      </c>
      <c r="T33" s="3518" t="s">
        <v>13</v>
      </c>
      <c r="U33" s="3519">
        <f t="shared" ref="U33:U47" si="11">H33</f>
        <v>100</v>
      </c>
      <c r="V33" s="3518" t="s">
        <v>13</v>
      </c>
      <c r="W33" s="3519">
        <f t="shared" ref="W33:W47" si="12">J33</f>
        <v>100</v>
      </c>
      <c r="X33" s="981"/>
      <c r="Y33" s="4483"/>
      <c r="Z33" s="979" t="str">
        <f t="shared" ref="Z33:Z47" si="13">Q33</f>
        <v>临街状况</v>
      </c>
      <c r="AA33" s="979">
        <f t="shared" si="3"/>
        <v>1</v>
      </c>
      <c r="AB33" s="979">
        <f t="shared" si="4"/>
        <v>1</v>
      </c>
      <c r="AC33" s="979">
        <f t="shared" si="5"/>
        <v>1</v>
      </c>
    </row>
    <row r="34" spans="1:29" ht="27">
      <c r="A34" s="3448"/>
      <c r="B34" s="3042" t="s">
        <v>1733</v>
      </c>
      <c r="C34" s="3095"/>
      <c r="D34" s="3162">
        <v>100</v>
      </c>
      <c r="E34" s="3089"/>
      <c r="F34" s="3138">
        <f>SUMIF(107:107,E35,108:108)-SUMIF(107:107,C35,108:108)+100</f>
        <v>100</v>
      </c>
      <c r="G34" s="3089"/>
      <c r="H34" s="3138">
        <f>SUMIF(107:107,G35,108:108)-SUMIF(107:107,C35,108:108)+100</f>
        <v>100</v>
      </c>
      <c r="I34" s="3095"/>
      <c r="J34" s="3138">
        <f>SUMIF(107:107,I35,108:108)-SUMIF(107:107,C35,108:108)+100</f>
        <v>100</v>
      </c>
      <c r="K34" s="3505"/>
      <c r="L34" s="2074"/>
      <c r="M34" s="2069"/>
      <c r="N34" s="2069"/>
      <c r="O34" s="2124"/>
      <c r="P34" s="4530"/>
      <c r="Q34" s="1587" t="str">
        <f t="shared" si="8"/>
        <v>毗邻道路的类型与等级</v>
      </c>
      <c r="R34" s="3518" t="s">
        <v>13</v>
      </c>
      <c r="S34" s="3519">
        <f t="shared" si="10"/>
        <v>100</v>
      </c>
      <c r="T34" s="3518" t="s">
        <v>13</v>
      </c>
      <c r="U34" s="3519">
        <f t="shared" si="11"/>
        <v>100</v>
      </c>
      <c r="V34" s="3518" t="s">
        <v>13</v>
      </c>
      <c r="W34" s="3519">
        <f t="shared" si="12"/>
        <v>100</v>
      </c>
      <c r="X34" s="981"/>
      <c r="Y34" s="4483"/>
      <c r="Z34" s="979" t="str">
        <f t="shared" si="13"/>
        <v>毗邻道路的类型与等级</v>
      </c>
      <c r="AA34" s="979">
        <f t="shared" si="3"/>
        <v>1</v>
      </c>
      <c r="AB34" s="979">
        <f t="shared" si="4"/>
        <v>1</v>
      </c>
      <c r="AC34" s="979">
        <f t="shared" si="5"/>
        <v>1</v>
      </c>
    </row>
    <row r="35" spans="1:29" ht="15">
      <c r="A35" s="3448"/>
      <c r="B35" s="3041"/>
      <c r="C35" s="3064"/>
      <c r="D35" s="3161"/>
      <c r="E35" s="3114"/>
      <c r="F35" s="3137"/>
      <c r="G35" s="3114"/>
      <c r="H35" s="3137"/>
      <c r="I35" s="3064"/>
      <c r="J35" s="3137"/>
      <c r="K35" s="3102"/>
      <c r="L35" s="2074"/>
      <c r="M35" s="2069"/>
      <c r="N35" s="2069"/>
      <c r="O35" s="2124"/>
      <c r="P35" s="4530"/>
      <c r="Q35" s="1587"/>
      <c r="R35" s="3518"/>
      <c r="S35" s="3519"/>
      <c r="T35" s="3518"/>
      <c r="U35" s="3519"/>
      <c r="V35" s="3518"/>
      <c r="W35" s="3519"/>
      <c r="X35" s="981"/>
      <c r="Y35" s="4483"/>
      <c r="Z35" s="979"/>
      <c r="AA35" s="979">
        <v>1</v>
      </c>
      <c r="AB35" s="979">
        <v>1</v>
      </c>
      <c r="AC35" s="979">
        <v>1</v>
      </c>
    </row>
    <row r="36" spans="1:29" ht="15">
      <c r="A36" s="3448"/>
      <c r="B36" s="3030" t="s">
        <v>1791</v>
      </c>
      <c r="C36" s="3080"/>
      <c r="D36" s="3158">
        <v>100</v>
      </c>
      <c r="E36" s="3472"/>
      <c r="F36" s="3134">
        <f>SUMIF(109:109,E36,110:110)-SUMIF(109:109,C36,110:110)+100</f>
        <v>100</v>
      </c>
      <c r="G36" s="3472"/>
      <c r="H36" s="3134">
        <f>SUMIF(109:109,G36,110:110)-SUMIF(109:109,C36,110:110)+100</f>
        <v>100</v>
      </c>
      <c r="I36" s="3080"/>
      <c r="J36" s="3134">
        <f>SUMIF(109:109,I36,110:110)-SUMIF(109:109,C36,110:110)+100</f>
        <v>100</v>
      </c>
      <c r="K36" s="3101"/>
      <c r="L36" s="2074"/>
      <c r="M36" s="2069"/>
      <c r="N36" s="2069"/>
      <c r="O36" s="2124"/>
      <c r="P36" s="4530"/>
      <c r="Q36" s="1587" t="str">
        <f t="shared" si="8"/>
        <v>土地级别</v>
      </c>
      <c r="R36" s="3518" t="s">
        <v>13</v>
      </c>
      <c r="S36" s="3519">
        <f t="shared" si="10"/>
        <v>100</v>
      </c>
      <c r="T36" s="3518" t="s">
        <v>13</v>
      </c>
      <c r="U36" s="3519">
        <f t="shared" si="11"/>
        <v>100</v>
      </c>
      <c r="V36" s="3518" t="s">
        <v>13</v>
      </c>
      <c r="W36" s="3519">
        <f t="shared" si="12"/>
        <v>100</v>
      </c>
      <c r="X36" s="981"/>
      <c r="Y36" s="4483"/>
      <c r="Z36" s="979" t="str">
        <f t="shared" si="13"/>
        <v>土地级别</v>
      </c>
      <c r="AA36" s="979">
        <f t="shared" si="3"/>
        <v>1</v>
      </c>
      <c r="AB36" s="979">
        <f t="shared" si="4"/>
        <v>1</v>
      </c>
      <c r="AC36" s="979">
        <f t="shared" si="5"/>
        <v>1</v>
      </c>
    </row>
    <row r="37" spans="1:29" ht="15">
      <c r="A37" s="3452"/>
      <c r="B37" s="3043">
        <v>111</v>
      </c>
      <c r="C37" s="3456"/>
      <c r="D37" s="3158">
        <v>100</v>
      </c>
      <c r="E37" s="3473"/>
      <c r="F37" s="3134">
        <f>SUMIF(111:111,E37,112:112)-SUMIF(111:111,C37,112:112)+100</f>
        <v>100</v>
      </c>
      <c r="G37" s="3473"/>
      <c r="H37" s="3134">
        <f>SUMIF(111:111,G37,112:112)-SUMIF(111:111,C37,112:112)+100</f>
        <v>100</v>
      </c>
      <c r="I37" s="3456"/>
      <c r="J37" s="3134">
        <f>SUMIF(111:111,I37,112:112)-SUMIF(111:111,C37,112:112)+100</f>
        <v>100</v>
      </c>
      <c r="K37" s="3102"/>
      <c r="L37" s="2074"/>
      <c r="M37" s="2069"/>
      <c r="N37" s="2069"/>
      <c r="O37" s="2124"/>
      <c r="P37" s="4530"/>
      <c r="Q37" s="1587">
        <f t="shared" si="8"/>
        <v>111</v>
      </c>
      <c r="R37" s="3518" t="s">
        <v>13</v>
      </c>
      <c r="S37" s="3519">
        <f t="shared" si="10"/>
        <v>100</v>
      </c>
      <c r="T37" s="3518" t="s">
        <v>13</v>
      </c>
      <c r="U37" s="3519">
        <f t="shared" si="11"/>
        <v>100</v>
      </c>
      <c r="V37" s="3518" t="s">
        <v>13</v>
      </c>
      <c r="W37" s="3519">
        <f t="shared" si="12"/>
        <v>100</v>
      </c>
      <c r="X37" s="981"/>
      <c r="Y37" s="4483"/>
      <c r="Z37" s="979">
        <f t="shared" si="13"/>
        <v>111</v>
      </c>
      <c r="AA37" s="979">
        <f t="shared" si="3"/>
        <v>1</v>
      </c>
      <c r="AB37" s="979">
        <f t="shared" si="4"/>
        <v>1</v>
      </c>
      <c r="AC37" s="979">
        <f t="shared" si="5"/>
        <v>1</v>
      </c>
    </row>
    <row r="38" spans="1:29" ht="15">
      <c r="A38" s="3457"/>
      <c r="B38" s="3458">
        <v>111</v>
      </c>
      <c r="C38" s="3456"/>
      <c r="D38" s="3158">
        <v>100</v>
      </c>
      <c r="E38" s="3473"/>
      <c r="F38" s="3134">
        <f>SUMIF(113:113,E39,114:114)-SUMIF(113:113,C39,114:114)+100</f>
        <v>100</v>
      </c>
      <c r="G38" s="3473"/>
      <c r="H38" s="3134">
        <f>SUMIF(113:113,G38,114:114)-SUMIF(113:113,C38,114:114)+100</f>
        <v>100</v>
      </c>
      <c r="I38" s="3456"/>
      <c r="J38" s="3134">
        <f>SUMIF(113:113,I38,114:114)-SUMIF(113:113,C38,114:114)+100</f>
        <v>100</v>
      </c>
      <c r="K38" s="3102"/>
      <c r="L38" s="2074"/>
      <c r="M38" s="2069"/>
      <c r="N38" s="2069"/>
      <c r="O38" s="2124"/>
      <c r="P38" s="4531" t="s">
        <v>1614</v>
      </c>
      <c r="Q38" s="1587">
        <f t="shared" si="8"/>
        <v>111</v>
      </c>
      <c r="R38" s="3518" t="s">
        <v>13</v>
      </c>
      <c r="S38" s="3519">
        <f t="shared" si="10"/>
        <v>100</v>
      </c>
      <c r="T38" s="3518" t="s">
        <v>13</v>
      </c>
      <c r="U38" s="3519">
        <f t="shared" si="11"/>
        <v>100</v>
      </c>
      <c r="V38" s="3518" t="s">
        <v>13</v>
      </c>
      <c r="W38" s="3519">
        <f t="shared" si="12"/>
        <v>100</v>
      </c>
      <c r="X38" s="981"/>
      <c r="Y38" s="4487" t="s">
        <v>1614</v>
      </c>
      <c r="Z38" s="979">
        <f t="shared" si="13"/>
        <v>111</v>
      </c>
      <c r="AA38" s="979">
        <f t="shared" si="3"/>
        <v>1</v>
      </c>
      <c r="AB38" s="979">
        <f t="shared" si="4"/>
        <v>1</v>
      </c>
      <c r="AC38" s="979">
        <f t="shared" si="5"/>
        <v>1</v>
      </c>
    </row>
    <row r="39" spans="1:29" s="297" customFormat="1" ht="15.75" thickBot="1">
      <c r="A39" s="3459"/>
      <c r="B39" s="3460">
        <v>111</v>
      </c>
      <c r="C39" s="3461"/>
      <c r="D39" s="3468">
        <v>100</v>
      </c>
      <c r="E39" s="3474"/>
      <c r="F39" s="3135">
        <f>SUMIF(115:115,E39,116:116)-SUMIF(115:115,C39,116:116)+100</f>
        <v>100</v>
      </c>
      <c r="G39" s="3474"/>
      <c r="H39" s="3135">
        <f>SUMIF(115:115,G39,116:116)-SUMIF(115:115,C39,116:116)+100</f>
        <v>100</v>
      </c>
      <c r="I39" s="3461"/>
      <c r="J39" s="3135">
        <f>SUMIF(115:115,I39,116:116)-SUMIF(115:115,C39,116:116)+100</f>
        <v>100</v>
      </c>
      <c r="K39" s="3102"/>
      <c r="L39" s="2073"/>
      <c r="M39" s="2075"/>
      <c r="N39" s="2075"/>
      <c r="O39" s="2125"/>
      <c r="P39" s="4532"/>
      <c r="Q39" s="1587">
        <f t="shared" si="8"/>
        <v>111</v>
      </c>
      <c r="R39" s="3520" t="s">
        <v>13</v>
      </c>
      <c r="S39" s="3521">
        <f t="shared" si="10"/>
        <v>100</v>
      </c>
      <c r="T39" s="3520" t="s">
        <v>13</v>
      </c>
      <c r="U39" s="3521">
        <f t="shared" si="11"/>
        <v>100</v>
      </c>
      <c r="V39" s="3520" t="s">
        <v>13</v>
      </c>
      <c r="W39" s="3521">
        <f t="shared" si="12"/>
        <v>100</v>
      </c>
      <c r="X39" s="517"/>
      <c r="Y39" s="4487"/>
      <c r="Z39" s="518">
        <f t="shared" si="13"/>
        <v>111</v>
      </c>
      <c r="AA39" s="979">
        <f t="shared" si="3"/>
        <v>1</v>
      </c>
      <c r="AB39" s="979">
        <f t="shared" si="4"/>
        <v>1</v>
      </c>
      <c r="AC39" s="979">
        <f t="shared" si="5"/>
        <v>1</v>
      </c>
    </row>
    <row r="40" spans="1:29" ht="15">
      <c r="A40" s="3462" t="s">
        <v>1612</v>
      </c>
      <c r="B40" s="3041" t="s">
        <v>1792</v>
      </c>
      <c r="C40" s="3463">
        <v>37331.42</v>
      </c>
      <c r="D40" s="3165">
        <v>100</v>
      </c>
      <c r="E40" s="3463">
        <v>22306.63</v>
      </c>
      <c r="F40" s="3141">
        <f>LOOKUP(E40,118:118,119:119)-LOOKUP(C40,118:118,119:119)+100</f>
        <v>100</v>
      </c>
      <c r="G40" s="3463">
        <v>12997.77</v>
      </c>
      <c r="H40" s="3141">
        <f>LOOKUP(G40,118:118,119:119)-LOOKUP(C40,118:118,119:119)+100</f>
        <v>99</v>
      </c>
      <c r="I40" s="3476">
        <v>25569.01</v>
      </c>
      <c r="J40" s="3141">
        <f>LOOKUP(I40,118:118,119:119)-LOOKUP(C40,118:118,119:119)+100</f>
        <v>100</v>
      </c>
      <c r="K40" s="3102"/>
      <c r="L40" s="2074"/>
      <c r="M40" s="2069"/>
      <c r="N40" s="2069"/>
      <c r="O40" s="2124"/>
      <c r="P40" s="4532"/>
      <c r="Q40" s="1587" t="str">
        <f>B40</f>
        <v>宗地面积</v>
      </c>
      <c r="R40" s="3518" t="s">
        <v>13</v>
      </c>
      <c r="S40" s="3519">
        <f t="shared" si="10"/>
        <v>100</v>
      </c>
      <c r="T40" s="3518" t="s">
        <v>13</v>
      </c>
      <c r="U40" s="3519">
        <f t="shared" si="11"/>
        <v>99</v>
      </c>
      <c r="V40" s="3518" t="s">
        <v>13</v>
      </c>
      <c r="W40" s="3519">
        <f t="shared" si="12"/>
        <v>100</v>
      </c>
      <c r="X40" s="981"/>
      <c r="Y40" s="4487"/>
      <c r="Z40" s="979" t="str">
        <f t="shared" si="13"/>
        <v>宗地面积</v>
      </c>
      <c r="AA40" s="979">
        <f t="shared" si="3"/>
        <v>1</v>
      </c>
      <c r="AB40" s="979">
        <f t="shared" si="4"/>
        <v>1.0101010101010102</v>
      </c>
      <c r="AC40" s="979">
        <f t="shared" si="5"/>
        <v>1</v>
      </c>
    </row>
    <row r="41" spans="1:29" ht="15">
      <c r="A41" s="3462"/>
      <c r="B41" s="3030" t="s">
        <v>1793</v>
      </c>
      <c r="C41" s="3070" t="s">
        <v>3664</v>
      </c>
      <c r="D41" s="3158">
        <v>100</v>
      </c>
      <c r="E41" s="3070" t="s">
        <v>3664</v>
      </c>
      <c r="F41" s="3134">
        <f>SUMIF(120:120,E41,121:121)-SUMIF(120:120,C41,121:121)+100</f>
        <v>100</v>
      </c>
      <c r="G41" s="3070" t="s">
        <v>3665</v>
      </c>
      <c r="H41" s="3134">
        <f>SUMIF(120:120,G41,121:121)-SUMIF(120:120,C41,121:121)+100</f>
        <v>98</v>
      </c>
      <c r="I41" s="3070" t="s">
        <v>3664</v>
      </c>
      <c r="J41" s="3134">
        <f>SUMIF(120:120,I41,121:121)-SUMIF(120:120,C41,121:121)+100</f>
        <v>100</v>
      </c>
      <c r="K41" s="3101">
        <v>2</v>
      </c>
      <c r="L41" s="2074"/>
      <c r="M41" s="2069"/>
      <c r="N41" s="2069"/>
      <c r="O41" s="2124"/>
      <c r="P41" s="4532"/>
      <c r="Q41" s="1587" t="str">
        <f t="shared" ref="Q41:Q47" si="14">B41</f>
        <v>宗地形状</v>
      </c>
      <c r="R41" s="3518" t="s">
        <v>13</v>
      </c>
      <c r="S41" s="3519">
        <f t="shared" si="10"/>
        <v>100</v>
      </c>
      <c r="T41" s="3518" t="s">
        <v>13</v>
      </c>
      <c r="U41" s="3519">
        <f t="shared" si="11"/>
        <v>98</v>
      </c>
      <c r="V41" s="3518" t="s">
        <v>13</v>
      </c>
      <c r="W41" s="3519">
        <f t="shared" si="12"/>
        <v>100</v>
      </c>
      <c r="X41" s="981"/>
      <c r="Y41" s="4487"/>
      <c r="Z41" s="979" t="str">
        <f t="shared" si="13"/>
        <v>宗地形状</v>
      </c>
      <c r="AA41" s="979">
        <f t="shared" si="3"/>
        <v>1</v>
      </c>
      <c r="AB41" s="979">
        <f t="shared" si="4"/>
        <v>1.0204081632653061</v>
      </c>
      <c r="AC41" s="979">
        <f t="shared" si="5"/>
        <v>1</v>
      </c>
    </row>
    <row r="42" spans="1:29" ht="15">
      <c r="A42" s="3462"/>
      <c r="B42" s="3030" t="s">
        <v>1794</v>
      </c>
      <c r="C42" s="3070"/>
      <c r="D42" s="3158">
        <v>100</v>
      </c>
      <c r="E42" s="3070"/>
      <c r="F42" s="3134">
        <f>SUMIF(122:122,E42,123:123)-SUMIF(122:122,C42,123:123)+100</f>
        <v>100</v>
      </c>
      <c r="G42" s="3070"/>
      <c r="H42" s="3134">
        <f>SUMIF(122:122,G42,123:123)-SUMIF(122:122,C42,123:123)+100</f>
        <v>100</v>
      </c>
      <c r="I42" s="3070"/>
      <c r="J42" s="3134">
        <f>SUMIF(122:122,I42,123:123)-SUMIF(122:122,C42,123:123)+100</f>
        <v>100</v>
      </c>
      <c r="K42" s="3101"/>
      <c r="L42" s="2074"/>
      <c r="M42" s="2069"/>
      <c r="N42" s="2069"/>
      <c r="O42" s="2124"/>
      <c r="P42" s="4532"/>
      <c r="Q42" s="1587" t="str">
        <f t="shared" si="14"/>
        <v>临街宽度及深度</v>
      </c>
      <c r="R42" s="3518" t="s">
        <v>13</v>
      </c>
      <c r="S42" s="3519">
        <f t="shared" si="10"/>
        <v>100</v>
      </c>
      <c r="T42" s="3518" t="s">
        <v>13</v>
      </c>
      <c r="U42" s="3519">
        <f t="shared" si="11"/>
        <v>100</v>
      </c>
      <c r="V42" s="3518" t="s">
        <v>13</v>
      </c>
      <c r="W42" s="3519">
        <f t="shared" si="12"/>
        <v>100</v>
      </c>
      <c r="X42" s="981"/>
      <c r="Y42" s="4487"/>
      <c r="Z42" s="979" t="str">
        <f t="shared" si="13"/>
        <v>临街宽度及深度</v>
      </c>
      <c r="AA42" s="979">
        <f t="shared" si="3"/>
        <v>1</v>
      </c>
      <c r="AB42" s="979">
        <f t="shared" si="4"/>
        <v>1</v>
      </c>
      <c r="AC42" s="979">
        <f t="shared" si="5"/>
        <v>1</v>
      </c>
    </row>
    <row r="43" spans="1:29" s="61" customFormat="1" ht="15">
      <c r="A43" s="3464"/>
      <c r="B43" s="3030" t="s">
        <v>1795</v>
      </c>
      <c r="C43" s="3465" t="s">
        <v>3658</v>
      </c>
      <c r="D43" s="3156">
        <v>100</v>
      </c>
      <c r="E43" s="3465" t="s">
        <v>3658</v>
      </c>
      <c r="F43" s="3134">
        <f>SUMIF(124:124,E43,125:125)-SUMIF(124:124,C43,125:125)+100</f>
        <v>100</v>
      </c>
      <c r="G43" s="3465" t="s">
        <v>3660</v>
      </c>
      <c r="H43" s="3134">
        <f>SUMIF(124:124,G43,125:125)-SUMIF(124:124,C43,125:125)+100</f>
        <v>98</v>
      </c>
      <c r="I43" s="3465" t="s">
        <v>3660</v>
      </c>
      <c r="J43" s="3134">
        <f>SUMIF(124:124,I43,125:125)-SUMIF(124:124,C43,125:125)+100</f>
        <v>98</v>
      </c>
      <c r="K43" s="3101">
        <v>1</v>
      </c>
      <c r="L43" s="2070"/>
      <c r="M43" s="2021"/>
      <c r="N43" s="2021"/>
      <c r="O43" s="2122"/>
      <c r="P43" s="4532"/>
      <c r="Q43" s="1587" t="str">
        <f t="shared" si="14"/>
        <v>宗地开发程度</v>
      </c>
      <c r="R43" s="3516" t="s">
        <v>13</v>
      </c>
      <c r="S43" s="3517">
        <f t="shared" si="10"/>
        <v>100</v>
      </c>
      <c r="T43" s="3516" t="s">
        <v>13</v>
      </c>
      <c r="U43" s="3517">
        <f t="shared" si="11"/>
        <v>98</v>
      </c>
      <c r="V43" s="3516" t="s">
        <v>13</v>
      </c>
      <c r="W43" s="3517">
        <f t="shared" si="12"/>
        <v>98</v>
      </c>
      <c r="X43" s="512"/>
      <c r="Y43" s="4487"/>
      <c r="Z43" s="41" t="str">
        <f t="shared" si="13"/>
        <v>宗地开发程度</v>
      </c>
      <c r="AA43" s="41">
        <f t="shared" si="3"/>
        <v>1</v>
      </c>
      <c r="AB43" s="41">
        <f t="shared" si="4"/>
        <v>1.0204081632653061</v>
      </c>
      <c r="AC43" s="41">
        <f t="shared" si="5"/>
        <v>1.0204081632653061</v>
      </c>
    </row>
    <row r="44" spans="1:29" ht="15">
      <c r="A44" s="3462"/>
      <c r="B44" s="3030" t="s">
        <v>1796</v>
      </c>
      <c r="C44" s="3070"/>
      <c r="D44" s="3158">
        <v>100</v>
      </c>
      <c r="E44" s="3070"/>
      <c r="F44" s="3134">
        <f>SUMIF(126:126,E44,127:127)-SUMIF(126:126,C44,127:127)+100</f>
        <v>100</v>
      </c>
      <c r="G44" s="3070"/>
      <c r="H44" s="3134">
        <f>SUMIF(126:126,G44,127:127)-SUMIF(126:126,C44,127:127)+100</f>
        <v>100</v>
      </c>
      <c r="I44" s="3070"/>
      <c r="J44" s="3134">
        <f>SUMIF(126:126,I44,127:127)-SUMIF(126:126,C44,127:127)+100</f>
        <v>100</v>
      </c>
      <c r="K44" s="3101"/>
      <c r="L44" s="2074"/>
      <c r="M44" s="2069"/>
      <c r="N44" s="2069"/>
      <c r="O44" s="2124"/>
      <c r="P44" s="4532" t="s">
        <v>1614</v>
      </c>
      <c r="Q44" s="1587" t="str">
        <f t="shared" si="14"/>
        <v>工程地质条件</v>
      </c>
      <c r="R44" s="3518" t="s">
        <v>13</v>
      </c>
      <c r="S44" s="3519">
        <f t="shared" si="10"/>
        <v>100</v>
      </c>
      <c r="T44" s="3518" t="s">
        <v>13</v>
      </c>
      <c r="U44" s="3519">
        <f t="shared" si="11"/>
        <v>100</v>
      </c>
      <c r="V44" s="3518" t="s">
        <v>13</v>
      </c>
      <c r="W44" s="3519">
        <f t="shared" si="12"/>
        <v>100</v>
      </c>
      <c r="X44" s="981"/>
      <c r="Y44" s="4487" t="s">
        <v>1614</v>
      </c>
      <c r="Z44" s="979" t="str">
        <f t="shared" si="13"/>
        <v>工程地质条件</v>
      </c>
      <c r="AA44" s="979">
        <f t="shared" si="3"/>
        <v>1</v>
      </c>
      <c r="AB44" s="979">
        <f t="shared" si="4"/>
        <v>1</v>
      </c>
      <c r="AC44" s="979">
        <f t="shared" si="5"/>
        <v>1</v>
      </c>
    </row>
    <row r="45" spans="1:29" ht="15">
      <c r="A45" s="3462"/>
      <c r="B45" s="3458">
        <v>111</v>
      </c>
      <c r="C45" s="3456"/>
      <c r="D45" s="3158">
        <v>100</v>
      </c>
      <c r="E45" s="3456"/>
      <c r="F45" s="3134">
        <f>SUMIF(128:128,E45,129:129)-SUMIF(128:128,C45,129:129)+100</f>
        <v>100</v>
      </c>
      <c r="G45" s="3456"/>
      <c r="H45" s="3134">
        <f>SUMIF(128:128,G45,129:129)-SUMIF(128:128,C45,129:129)+100</f>
        <v>100</v>
      </c>
      <c r="I45" s="3470"/>
      <c r="J45" s="3134">
        <f>SUMIF(128:128,I45,129:129)-SUMIF(128:128,C45,129:129)+100</f>
        <v>100</v>
      </c>
      <c r="K45" s="3102"/>
      <c r="L45" s="2074"/>
      <c r="M45" s="2069"/>
      <c r="N45" s="2069"/>
      <c r="O45" s="2124"/>
      <c r="P45" s="4532"/>
      <c r="Q45" s="1587">
        <f t="shared" si="14"/>
        <v>111</v>
      </c>
      <c r="R45" s="3518" t="s">
        <v>13</v>
      </c>
      <c r="S45" s="3519">
        <f t="shared" si="10"/>
        <v>100</v>
      </c>
      <c r="T45" s="3518" t="s">
        <v>13</v>
      </c>
      <c r="U45" s="3519">
        <f t="shared" si="11"/>
        <v>100</v>
      </c>
      <c r="V45" s="3518" t="s">
        <v>13</v>
      </c>
      <c r="W45" s="3519">
        <f t="shared" si="12"/>
        <v>100</v>
      </c>
      <c r="X45" s="981"/>
      <c r="Y45" s="4487"/>
      <c r="Z45" s="979">
        <f t="shared" si="13"/>
        <v>111</v>
      </c>
      <c r="AA45" s="979">
        <f t="shared" si="3"/>
        <v>1</v>
      </c>
      <c r="AB45" s="979">
        <f t="shared" si="4"/>
        <v>1</v>
      </c>
      <c r="AC45" s="979">
        <f t="shared" si="5"/>
        <v>1</v>
      </c>
    </row>
    <row r="46" spans="1:29" ht="15">
      <c r="A46" s="3462"/>
      <c r="B46" s="3458">
        <v>111</v>
      </c>
      <c r="C46" s="3456"/>
      <c r="D46" s="3158">
        <v>100</v>
      </c>
      <c r="E46" s="3456"/>
      <c r="F46" s="3134">
        <f>SUMIF(130:130,E46,131:131)-SUMIF(130:130,C46,131:131)+100</f>
        <v>100</v>
      </c>
      <c r="G46" s="3456"/>
      <c r="H46" s="3134">
        <f>SUMIF(130:130,G46,131:131)-SUMIF(130:130,C46,131:131)+100</f>
        <v>100</v>
      </c>
      <c r="I46" s="3470"/>
      <c r="J46" s="3134">
        <f>SUMIF(130:130,I46,131:131)-SUMIF(130:130,C46,131:131)+100</f>
        <v>100</v>
      </c>
      <c r="K46" s="3102"/>
      <c r="L46" s="2074"/>
      <c r="M46" s="2069"/>
      <c r="N46" s="2069"/>
      <c r="O46" s="2124"/>
      <c r="P46" s="4532"/>
      <c r="Q46" s="1587">
        <f t="shared" si="14"/>
        <v>111</v>
      </c>
      <c r="R46" s="3518" t="s">
        <v>13</v>
      </c>
      <c r="S46" s="3519">
        <f t="shared" si="10"/>
        <v>100</v>
      </c>
      <c r="T46" s="3518" t="s">
        <v>13</v>
      </c>
      <c r="U46" s="3519">
        <f t="shared" si="11"/>
        <v>100</v>
      </c>
      <c r="V46" s="3518" t="s">
        <v>13</v>
      </c>
      <c r="W46" s="3519">
        <f t="shared" si="12"/>
        <v>100</v>
      </c>
      <c r="X46" s="981"/>
      <c r="Y46" s="4487"/>
      <c r="Z46" s="979">
        <f t="shared" si="13"/>
        <v>111</v>
      </c>
      <c r="AA46" s="979">
        <f t="shared" si="3"/>
        <v>1</v>
      </c>
      <c r="AB46" s="979">
        <f t="shared" si="4"/>
        <v>1</v>
      </c>
      <c r="AC46" s="979">
        <f t="shared" si="5"/>
        <v>1</v>
      </c>
    </row>
    <row r="47" spans="1:29" s="297" customFormat="1" ht="15.75" thickBot="1">
      <c r="A47" s="3466"/>
      <c r="B47" s="3458">
        <v>111</v>
      </c>
      <c r="C47" s="3467"/>
      <c r="D47" s="3469">
        <v>100</v>
      </c>
      <c r="E47" s="3456"/>
      <c r="F47" s="3135">
        <f>SUMIF(132:132,E47,133:133)-SUMIF(132:132,C47,133:133)+100</f>
        <v>100</v>
      </c>
      <c r="G47" s="3456"/>
      <c r="H47" s="3135">
        <f>SUMIF(132:132,G47,133:133)-SUMIF(132:132,C47,133:133)+100</f>
        <v>100</v>
      </c>
      <c r="I47" s="3456"/>
      <c r="J47" s="3135">
        <f>SUMIF(132:132,I47,133:133)-SUMIF(132:132,C47,133:133)+100</f>
        <v>100</v>
      </c>
      <c r="K47" s="3508"/>
      <c r="L47" s="2073"/>
      <c r="M47" s="2075"/>
      <c r="N47" s="2075"/>
      <c r="O47" s="2125"/>
      <c r="P47" s="4532"/>
      <c r="Q47" s="1587">
        <f t="shared" si="14"/>
        <v>111</v>
      </c>
      <c r="R47" s="3520" t="s">
        <v>13</v>
      </c>
      <c r="S47" s="3521">
        <f t="shared" si="10"/>
        <v>100</v>
      </c>
      <c r="T47" s="3520" t="s">
        <v>13</v>
      </c>
      <c r="U47" s="3521">
        <f t="shared" si="11"/>
        <v>100</v>
      </c>
      <c r="V47" s="3520" t="s">
        <v>13</v>
      </c>
      <c r="W47" s="3521">
        <f t="shared" si="12"/>
        <v>100</v>
      </c>
      <c r="X47" s="517"/>
      <c r="Y47" s="4487"/>
      <c r="Z47" s="518">
        <f t="shared" si="13"/>
        <v>111</v>
      </c>
      <c r="AA47" s="979">
        <f t="shared" si="3"/>
        <v>1</v>
      </c>
      <c r="AB47" s="979">
        <f t="shared" si="4"/>
        <v>1</v>
      </c>
      <c r="AC47" s="979">
        <f t="shared" si="5"/>
        <v>1</v>
      </c>
    </row>
    <row r="48" spans="1:29" ht="15">
      <c r="A48" s="304" t="s">
        <v>1762</v>
      </c>
      <c r="B48" s="1510" t="s">
        <v>1797</v>
      </c>
      <c r="C48" s="467" t="s">
        <v>0</v>
      </c>
      <c r="D48" s="306"/>
      <c r="E48" s="3509">
        <v>15648</v>
      </c>
      <c r="F48" s="3510"/>
      <c r="G48" s="3511">
        <v>12002</v>
      </c>
      <c r="H48" s="3512"/>
      <c r="I48" s="3509">
        <v>12711</v>
      </c>
      <c r="J48" s="3512"/>
      <c r="K48" s="3106"/>
      <c r="L48" s="2076"/>
      <c r="M48" s="2069"/>
      <c r="N48" s="2069"/>
      <c r="O48" s="2069"/>
      <c r="P48" s="4480" t="str">
        <f>A48</f>
        <v>成交单价</v>
      </c>
      <c r="Q48" s="4480"/>
      <c r="R48" s="4481">
        <f>E48</f>
        <v>15648</v>
      </c>
      <c r="S48" s="4481"/>
      <c r="T48" s="4481">
        <f>G48</f>
        <v>12002</v>
      </c>
      <c r="U48" s="4481"/>
      <c r="V48" s="4481">
        <f>I48</f>
        <v>12711</v>
      </c>
      <c r="W48" s="4481"/>
      <c r="X48" s="283"/>
      <c r="Y48" s="519"/>
      <c r="Z48" s="283"/>
      <c r="AA48" s="283"/>
      <c r="AB48" s="283"/>
      <c r="AC48" s="283"/>
    </row>
    <row r="49" spans="1:29" ht="15.75" thickBot="1">
      <c r="A49" s="307" t="s">
        <v>1711</v>
      </c>
      <c r="B49" s="468"/>
      <c r="C49" s="3513">
        <f>R50</f>
        <v>10902</v>
      </c>
      <c r="D49" s="1782" t="s">
        <v>2054</v>
      </c>
      <c r="E49" s="3513">
        <f>R49</f>
        <v>11472</v>
      </c>
      <c r="F49" s="3044"/>
      <c r="G49" s="3514">
        <f>T49</f>
        <v>10567</v>
      </c>
      <c r="H49" s="3044"/>
      <c r="I49" s="3513">
        <f>V49</f>
        <v>10668</v>
      </c>
      <c r="J49" s="3044"/>
      <c r="K49" s="3099">
        <f>F49+H49+J49</f>
        <v>0</v>
      </c>
      <c r="L49" s="2076"/>
      <c r="M49" s="2069"/>
      <c r="N49" s="2069"/>
      <c r="O49" s="2069"/>
      <c r="P49" s="4480" t="str">
        <f>A49</f>
        <v>比较价值（元/平方米）</v>
      </c>
      <c r="Q49" s="4480"/>
      <c r="R49" s="4546">
        <f>ROUND(PRODUCT(R48,AA9:AA47),0)</f>
        <v>11472</v>
      </c>
      <c r="S49" s="4546"/>
      <c r="T49" s="4546">
        <f>ROUND(PRODUCT(T48,AB9:AB47),0)</f>
        <v>10567</v>
      </c>
      <c r="U49" s="4546"/>
      <c r="V49" s="4546">
        <f>ROUND(PRODUCT(V48,AC9:AC47),0)</f>
        <v>10668</v>
      </c>
      <c r="W49" s="4546"/>
      <c r="X49" s="283"/>
      <c r="Y49" s="283"/>
      <c r="Z49" s="283"/>
      <c r="AA49" s="283"/>
      <c r="AB49" s="283"/>
      <c r="AC49" s="283"/>
    </row>
    <row r="50" spans="1:29" ht="15.75" thickBot="1">
      <c r="A50" s="309" t="s">
        <v>1798</v>
      </c>
      <c r="B50" s="310"/>
      <c r="C50" s="3515">
        <f>R50</f>
        <v>10902</v>
      </c>
      <c r="D50" s="311"/>
      <c r="E50" s="311"/>
      <c r="F50" s="311"/>
      <c r="G50" s="311"/>
      <c r="H50" s="311"/>
      <c r="I50" s="311"/>
      <c r="J50" s="311"/>
      <c r="K50" s="3481"/>
      <c r="L50" s="2076"/>
      <c r="M50" s="2069"/>
      <c r="N50" s="2069"/>
      <c r="O50" s="2069"/>
      <c r="P50" s="4477" t="str">
        <f>A50</f>
        <v>估价对象XX用房的比较价值（楼面单价，元/平方米）</v>
      </c>
      <c r="Q50" s="4478"/>
      <c r="R50" s="4547">
        <f>ROUND(IF(D49="简单平均",AVERAGE(R49:W49),R49*F49+T49*H49+V49*J49),0)</f>
        <v>10902</v>
      </c>
      <c r="S50" s="4547"/>
      <c r="T50" s="4547"/>
      <c r="U50" s="4547"/>
      <c r="V50" s="4547"/>
      <c r="W50" s="4547"/>
      <c r="X50" s="283"/>
      <c r="Y50" s="283"/>
      <c r="Z50" s="283"/>
      <c r="AA50" s="283"/>
      <c r="AB50" s="283"/>
      <c r="AC50" s="283"/>
    </row>
    <row r="51" spans="1:29">
      <c r="A51" s="2069"/>
      <c r="B51" s="2069"/>
      <c r="C51" s="2069"/>
      <c r="D51" s="2069"/>
      <c r="E51" s="2069"/>
      <c r="F51" s="2069"/>
      <c r="G51" s="2080"/>
      <c r="H51" s="2069"/>
      <c r="I51" s="2069"/>
      <c r="J51" s="2069"/>
      <c r="K51" s="3482"/>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2"/>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0.36401673640167354</v>
      </c>
      <c r="F53" s="317" t="str">
        <f>IF(OR(E53&gt;=0.3,E53&lt;=-0.3),"超过30%","")</f>
        <v>超过30%</v>
      </c>
      <c r="G53" s="316">
        <f>IF(G48&lt;G49,G49/G48-1,G48/G49-1)</f>
        <v>0.1358001324879341</v>
      </c>
      <c r="H53" s="317" t="str">
        <f>IF(OR(G53&gt;=0.3,G53&lt;=-0.3),"超过30%","")</f>
        <v/>
      </c>
      <c r="I53" s="316">
        <f>IF(I48&lt;I49,I49/I48-1,I48/I49-1)</f>
        <v>0.19150731158605172</v>
      </c>
      <c r="J53" s="317" t="str">
        <f>IF(OR(I53&gt;=0.3,I53&lt;=-0.3),"超过30%","")</f>
        <v/>
      </c>
      <c r="K53" s="3482"/>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8.5643985994132699E-2</v>
      </c>
      <c r="F54" s="317" t="str">
        <f>IF(OR(E54&gt;=0.2,E54&lt;=-0.2),"超过20%","")</f>
        <v/>
      </c>
      <c r="G54" s="316">
        <f>IF(G49&lt;I49,I49/G49-1,G49/I49-1)</f>
        <v>9.558058105422651E-3</v>
      </c>
      <c r="H54" s="317" t="str">
        <f>IF(OR(G54&gt;=0.2,G54&lt;=-0.2),"超过20%","")</f>
        <v/>
      </c>
      <c r="I54" s="316">
        <f>IF(I49&lt;E49,E49/I49-1,I49/E49-1)</f>
        <v>7.5365579302587138E-2</v>
      </c>
      <c r="J54" s="317" t="str">
        <f>IF(OR(I54&gt;=0.2,I54&lt;=-0.2),"超过20%","")</f>
        <v/>
      </c>
      <c r="K54" s="3482"/>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3"/>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3"/>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1799</v>
      </c>
      <c r="B57" s="470" t="s">
        <v>1800</v>
      </c>
      <c r="C57" s="1511" t="s">
        <v>1801</v>
      </c>
      <c r="D57" s="1512" t="s">
        <v>1802</v>
      </c>
      <c r="E57" s="471" t="s">
        <v>1803</v>
      </c>
      <c r="F57" s="628" t="s">
        <v>1804</v>
      </c>
      <c r="G57" s="4506" t="s">
        <v>1805</v>
      </c>
      <c r="H57" s="4548"/>
      <c r="I57" s="65" t="s">
        <v>1806</v>
      </c>
      <c r="J57" s="1513">
        <f>项目基本情况!F35</f>
        <v>0</v>
      </c>
      <c r="K57" s="1514" t="s">
        <v>1807</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1808</v>
      </c>
      <c r="B58" s="3416">
        <f>C50</f>
        <v>10902</v>
      </c>
      <c r="C58" s="3075">
        <v>1</v>
      </c>
      <c r="D58" s="3420">
        <v>1</v>
      </c>
      <c r="E58" s="3419">
        <f>'数据-汇总表'!E8+'数据-汇总表'!E9</f>
        <v>1048.8</v>
      </c>
      <c r="F58" s="3441">
        <f t="shared" ref="F58:F66" si="15">ROUND(B58*E58/10000,0)</f>
        <v>1143</v>
      </c>
      <c r="G58" s="4549"/>
      <c r="H58" s="4534"/>
      <c r="I58" s="3436">
        <v>1</v>
      </c>
      <c r="J58" s="3437">
        <v>1</v>
      </c>
      <c r="K58" s="3484"/>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1809</v>
      </c>
      <c r="B59" s="3417">
        <f>ROUND($C$50*C59*D59,0)</f>
        <v>0</v>
      </c>
      <c r="C59" s="3418">
        <f t="shared" ref="C59:C66" si="16">IF($C$57="北京市系数",I59,J59)</f>
        <v>0</v>
      </c>
      <c r="D59" s="3421">
        <v>0.25</v>
      </c>
      <c r="E59" s="3423">
        <v>594.01</v>
      </c>
      <c r="F59" s="3441">
        <f t="shared" si="15"/>
        <v>0</v>
      </c>
      <c r="G59" s="2284" t="s">
        <v>1810</v>
      </c>
      <c r="H59" s="625">
        <f>项目基本情况!B37</f>
        <v>0</v>
      </c>
      <c r="I59" s="3436">
        <f>SUMIF(修正!A59:A70,H59,修正!B59:B70)</f>
        <v>0</v>
      </c>
      <c r="J59" s="3438"/>
      <c r="K59" s="3485"/>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1811</v>
      </c>
      <c r="B60" s="3417">
        <f t="shared" ref="B60:B66" si="17">ROUND($C$50*C60*D60,0)</f>
        <v>0</v>
      </c>
      <c r="C60" s="3418">
        <f t="shared" si="16"/>
        <v>0</v>
      </c>
      <c r="D60" s="3421">
        <v>0.25</v>
      </c>
      <c r="E60" s="3423"/>
      <c r="F60" s="3441">
        <f t="shared" si="15"/>
        <v>0</v>
      </c>
      <c r="G60" s="2285"/>
      <c r="H60" s="625">
        <f>项目基本情况!B37</f>
        <v>0</v>
      </c>
      <c r="I60" s="3436">
        <f>SUMIF(修正!A59:A70,H60,修正!C59:C70)</f>
        <v>0</v>
      </c>
      <c r="J60" s="3438"/>
      <c r="K60" s="3484"/>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1812</v>
      </c>
      <c r="B61" s="3417">
        <f t="shared" si="17"/>
        <v>0</v>
      </c>
      <c r="C61" s="3418">
        <f t="shared" si="16"/>
        <v>0</v>
      </c>
      <c r="D61" s="3421">
        <v>0.25</v>
      </c>
      <c r="E61" s="3423"/>
      <c r="F61" s="3441">
        <f t="shared" si="15"/>
        <v>0</v>
      </c>
      <c r="G61" s="2285"/>
      <c r="H61" s="625">
        <f>项目基本情况!B37</f>
        <v>0</v>
      </c>
      <c r="I61" s="3436">
        <f>SUMIF(修正!A59:A70,H61,修正!D59:D70)</f>
        <v>0</v>
      </c>
      <c r="J61" s="3438"/>
      <c r="K61" s="3485"/>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1813</v>
      </c>
      <c r="B62" s="3417">
        <f t="shared" si="17"/>
        <v>0</v>
      </c>
      <c r="C62" s="3418">
        <f t="shared" si="16"/>
        <v>0</v>
      </c>
      <c r="D62" s="3421">
        <v>0.25</v>
      </c>
      <c r="E62" s="3424">
        <f>'数据-汇总表'!E11</f>
        <v>0</v>
      </c>
      <c r="F62" s="3441">
        <f t="shared" si="15"/>
        <v>0</v>
      </c>
      <c r="G62" s="3433" t="s">
        <v>1814</v>
      </c>
      <c r="H62" s="625">
        <f>项目基本情况!C37</f>
        <v>0</v>
      </c>
      <c r="I62" s="3436">
        <f>SUMIF(修正!A59:A70,H62,修正!E59:E70)</f>
        <v>0</v>
      </c>
      <c r="J62" s="3438"/>
      <c r="K62" s="3485"/>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1815</v>
      </c>
      <c r="B63" s="3417">
        <f t="shared" si="17"/>
        <v>0</v>
      </c>
      <c r="C63" s="3418">
        <f t="shared" si="16"/>
        <v>0</v>
      </c>
      <c r="D63" s="3421">
        <v>0.25</v>
      </c>
      <c r="E63" s="3424">
        <f>'数据-汇总表'!E12</f>
        <v>0</v>
      </c>
      <c r="F63" s="3441">
        <f t="shared" si="15"/>
        <v>0</v>
      </c>
      <c r="G63" s="3434" t="s">
        <v>1816</v>
      </c>
      <c r="H63" s="625">
        <f>IF(G63="商业",项目基本情况!B37,IF(G63="办公",项目基本情况!C37,IF(G63="住宅",项目基本情况!D37,项目基本情况!E37)))</f>
        <v>0</v>
      </c>
      <c r="I63" s="3436">
        <f>SUMIF(修正!A59:A70,H63,修正!F59:F70)</f>
        <v>0</v>
      </c>
      <c r="J63" s="3438"/>
      <c r="K63" s="3484"/>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1817</v>
      </c>
      <c r="B64" s="3417">
        <f t="shared" si="17"/>
        <v>0</v>
      </c>
      <c r="C64" s="3418">
        <f t="shared" si="16"/>
        <v>0</v>
      </c>
      <c r="D64" s="3421">
        <v>0.25</v>
      </c>
      <c r="E64" s="3424">
        <f>'数据-汇总表'!E13</f>
        <v>0</v>
      </c>
      <c r="F64" s="3441">
        <f t="shared" si="15"/>
        <v>0</v>
      </c>
      <c r="G64" s="3434" t="s">
        <v>1818</v>
      </c>
      <c r="H64" s="625">
        <f>IF(G64="商业",项目基本情况!B37,IF(G64="办公",项目基本情况!C37,IF(G64="住宅",项目基本情况!D37,项目基本情况!E37)))</f>
        <v>0</v>
      </c>
      <c r="I64" s="3436">
        <f>SUMIF(修正!A59:A70,H64,修正!G59:G70)</f>
        <v>0</v>
      </c>
      <c r="J64" s="3438"/>
      <c r="K64" s="3485"/>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1819</v>
      </c>
      <c r="B65" s="3417">
        <f t="shared" si="17"/>
        <v>0</v>
      </c>
      <c r="C65" s="3418">
        <f t="shared" si="16"/>
        <v>0</v>
      </c>
      <c r="D65" s="3421">
        <v>0.25</v>
      </c>
      <c r="E65" s="3424">
        <f>'数据-汇总表'!E14</f>
        <v>0</v>
      </c>
      <c r="F65" s="3441">
        <f t="shared" si="15"/>
        <v>0</v>
      </c>
      <c r="G65" s="3433" t="s">
        <v>1810</v>
      </c>
      <c r="H65" s="625">
        <f>项目基本情况!B37</f>
        <v>0</v>
      </c>
      <c r="I65" s="3436">
        <f>SUMIF(修正!A59:A70,H65,修正!G59:G70)</f>
        <v>0</v>
      </c>
      <c r="J65" s="3438"/>
      <c r="K65" s="3484"/>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1820</v>
      </c>
      <c r="B66" s="3417">
        <f t="shared" si="17"/>
        <v>0</v>
      </c>
      <c r="C66" s="3418">
        <f t="shared" si="16"/>
        <v>0</v>
      </c>
      <c r="D66" s="3421">
        <v>0.25</v>
      </c>
      <c r="E66" s="3424">
        <f>'数据-汇总表'!E15</f>
        <v>0</v>
      </c>
      <c r="F66" s="3441">
        <f t="shared" si="15"/>
        <v>0</v>
      </c>
      <c r="G66" s="3435" t="s">
        <v>1814</v>
      </c>
      <c r="H66" s="629">
        <f>项目基本情况!C37</f>
        <v>0</v>
      </c>
      <c r="I66" s="3439">
        <f>SUMIF(修正!A59:A70,H66,修正!G59:G70)</f>
        <v>0</v>
      </c>
      <c r="J66" s="3440"/>
      <c r="K66" s="3485"/>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1821</v>
      </c>
      <c r="B67" s="477" t="s">
        <v>20</v>
      </c>
      <c r="C67" s="477" t="s">
        <v>21</v>
      </c>
      <c r="D67" s="3442" t="s">
        <v>386</v>
      </c>
      <c r="E67" s="3425">
        <f>IF(B48="楼面地价",SUM(E58:E66),'数据-汇总表'!D3)</f>
        <v>1642.81</v>
      </c>
      <c r="F67" s="3426">
        <f>IF(B48="楼面地价",SUM(F58:F66),ROUND(C50*E67/10000,0))</f>
        <v>1143</v>
      </c>
      <c r="G67" s="522"/>
      <c r="H67" s="522"/>
      <c r="I67" s="522"/>
      <c r="J67" s="522"/>
      <c r="K67" s="3486"/>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7"/>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8">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1716</v>
      </c>
      <c r="B70" s="283"/>
      <c r="C70" s="505"/>
      <c r="D70" s="505"/>
      <c r="E70" s="505"/>
      <c r="F70" s="506"/>
      <c r="G70" s="506"/>
      <c r="H70" s="505"/>
      <c r="I70" s="505"/>
      <c r="J70" s="669"/>
      <c r="K70" s="3489"/>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90"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1">
        <v>104.4</v>
      </c>
      <c r="L72" s="34">
        <v>104.37</v>
      </c>
      <c r="M72" s="3372">
        <v>103.83</v>
      </c>
      <c r="N72" s="34"/>
      <c r="O72" s="3373"/>
      <c r="P72" s="2090"/>
      <c r="Q72" s="2021"/>
      <c r="R72" s="2021"/>
      <c r="S72" s="2021"/>
      <c r="T72" s="2021"/>
      <c r="U72" s="2021"/>
      <c r="V72" s="2021"/>
      <c r="W72" s="2021"/>
      <c r="X72" s="2021"/>
      <c r="Y72" s="2021"/>
      <c r="Z72" s="2021"/>
      <c r="AA72" s="2021"/>
      <c r="AB72" s="2021"/>
      <c r="AC72" s="2021"/>
    </row>
    <row r="73" spans="1:29" s="61" customFormat="1" ht="15.75" thickBot="1">
      <c r="A73" s="330" t="s">
        <v>1634</v>
      </c>
      <c r="B73" s="331"/>
      <c r="C73" s="332"/>
      <c r="D73" s="333"/>
      <c r="E73" s="333"/>
      <c r="F73" s="333"/>
      <c r="G73" s="333"/>
      <c r="H73" s="333"/>
      <c r="I73" s="333"/>
      <c r="J73" s="333"/>
      <c r="K73" s="3492"/>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1599</v>
      </c>
      <c r="B74" s="325"/>
      <c r="C74" s="337" t="s">
        <v>1694</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3"/>
      <c r="L75" s="327"/>
      <c r="M75" s="329"/>
      <c r="N75" s="2102"/>
      <c r="O75" s="2102"/>
      <c r="P75" s="2090"/>
      <c r="Q75" s="2090"/>
      <c r="R75" s="2021"/>
      <c r="S75" s="2021"/>
      <c r="T75" s="2021"/>
      <c r="U75" s="2021"/>
      <c r="V75" s="2021"/>
      <c r="W75" s="2021"/>
      <c r="X75" s="2021"/>
      <c r="Y75" s="2021"/>
      <c r="Z75" s="2021"/>
      <c r="AA75" s="2021"/>
      <c r="AB75" s="2021"/>
      <c r="AC75" s="2021"/>
    </row>
    <row r="76" spans="1:29">
      <c r="A76" s="280" t="s">
        <v>1637</v>
      </c>
      <c r="B76" s="340" t="s">
        <v>1603</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4"/>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1606</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5"/>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6"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5">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4"/>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7"/>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8"/>
      <c r="L88" s="380"/>
      <c r="M88" s="381"/>
      <c r="N88" s="2105"/>
      <c r="O88" s="2105"/>
      <c r="P88" s="2105"/>
      <c r="Q88" s="2097"/>
      <c r="R88" s="2075"/>
      <c r="S88" s="2075"/>
      <c r="T88" s="2075"/>
      <c r="U88" s="2075"/>
      <c r="V88" s="2075"/>
      <c r="W88" s="2075"/>
      <c r="X88" s="2075"/>
      <c r="Y88" s="2075"/>
      <c r="Z88" s="2075"/>
      <c r="AA88" s="2075"/>
      <c r="AB88" s="2075"/>
      <c r="AC88" s="2075"/>
    </row>
    <row r="89" spans="1:29">
      <c r="A89" s="280" t="s">
        <v>1608</v>
      </c>
      <c r="B89" s="340" t="s">
        <v>1638</v>
      </c>
      <c r="C89" s="382" t="s">
        <v>1639</v>
      </c>
      <c r="D89" s="382" t="s">
        <v>1640</v>
      </c>
      <c r="E89" s="382" t="s">
        <v>1641</v>
      </c>
      <c r="F89" s="382" t="s">
        <v>1642</v>
      </c>
      <c r="G89" s="382" t="s">
        <v>1643</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5"/>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1824</v>
      </c>
      <c r="C91" s="386" t="s">
        <v>1639</v>
      </c>
      <c r="D91" s="386" t="s">
        <v>1640</v>
      </c>
      <c r="E91" s="386" t="s">
        <v>1641</v>
      </c>
      <c r="F91" s="386" t="s">
        <v>1642</v>
      </c>
      <c r="G91" s="386" t="s">
        <v>1643</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5"/>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1739</v>
      </c>
      <c r="C93" s="386" t="s">
        <v>1639</v>
      </c>
      <c r="D93" s="386" t="s">
        <v>1640</v>
      </c>
      <c r="E93" s="386" t="s">
        <v>1641</v>
      </c>
      <c r="F93" s="386" t="s">
        <v>1642</v>
      </c>
      <c r="G93" s="386" t="s">
        <v>1643</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5"/>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1644</v>
      </c>
      <c r="C95" s="386" t="s">
        <v>1639</v>
      </c>
      <c r="D95" s="386" t="s">
        <v>1640</v>
      </c>
      <c r="E95" s="386" t="s">
        <v>1641</v>
      </c>
      <c r="F95" s="386" t="s">
        <v>1642</v>
      </c>
      <c r="G95" s="386" t="s">
        <v>1643</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5"/>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1825</v>
      </c>
      <c r="C97" s="386" t="s">
        <v>1639</v>
      </c>
      <c r="D97" s="386" t="s">
        <v>1640</v>
      </c>
      <c r="E97" s="386" t="s">
        <v>1641</v>
      </c>
      <c r="F97" s="386" t="s">
        <v>1642</v>
      </c>
      <c r="G97" s="386" t="s">
        <v>1643</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5"/>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1826</v>
      </c>
      <c r="C99" s="382" t="s">
        <v>1639</v>
      </c>
      <c r="D99" s="382" t="s">
        <v>1640</v>
      </c>
      <c r="E99" s="382" t="s">
        <v>1641</v>
      </c>
      <c r="F99" s="382" t="s">
        <v>1642</v>
      </c>
      <c r="G99" s="382" t="s">
        <v>1643</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5"/>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1696</v>
      </c>
      <c r="C101" s="382" t="s">
        <v>1639</v>
      </c>
      <c r="D101" s="382" t="s">
        <v>1640</v>
      </c>
      <c r="E101" s="382" t="s">
        <v>1641</v>
      </c>
      <c r="F101" s="382" t="s">
        <v>1642</v>
      </c>
      <c r="G101" s="382" t="s">
        <v>1643</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9"/>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1697</v>
      </c>
      <c r="C103" s="453" t="s">
        <v>1717</v>
      </c>
      <c r="D103" s="453" t="s">
        <v>1718</v>
      </c>
      <c r="E103" s="453" t="s">
        <v>1719</v>
      </c>
      <c r="F103" s="453" t="s">
        <v>1720</v>
      </c>
      <c r="G103" s="453" t="s">
        <v>1721</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500"/>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1827</v>
      </c>
      <c r="D105" s="350" t="s">
        <v>1828</v>
      </c>
      <c r="E105" s="350" t="s">
        <v>1829</v>
      </c>
      <c r="F105" s="350" t="s">
        <v>1830</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5">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1733</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5">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1791</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5">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1"/>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4"/>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2"/>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3"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1"/>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1832</v>
      </c>
      <c r="C120" s="390" t="s">
        <v>3663</v>
      </c>
      <c r="D120" s="390" t="s">
        <v>3664</v>
      </c>
      <c r="E120" s="390" t="s">
        <v>3665</v>
      </c>
      <c r="F120" s="390" t="s">
        <v>3666</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5">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1833</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5">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1834</v>
      </c>
      <c r="C124" s="365" t="s">
        <v>3658</v>
      </c>
      <c r="D124" s="365" t="s">
        <v>3659</v>
      </c>
      <c r="E124" s="365" t="s">
        <v>3660</v>
      </c>
      <c r="F124" s="365" t="s">
        <v>3661</v>
      </c>
      <c r="G124" s="365" t="s">
        <v>3662</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5">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1835</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5">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4"/>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4"/>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1"/>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2"/>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IF(B43="单位面积地价",C45,ROUND(B2*10000/'数据-汇总表'!D3,0))</f>
        <v>#DIV/0!</v>
      </c>
      <c r="C4" s="1416" t="s">
        <v>3678</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3" t="s">
        <v>1687</v>
      </c>
      <c r="B6" s="3524"/>
      <c r="C6" s="4455" t="s">
        <v>1688</v>
      </c>
      <c r="D6" s="4456"/>
      <c r="E6" s="4457" t="s">
        <v>1689</v>
      </c>
      <c r="F6" s="4458"/>
      <c r="G6" s="4455" t="s">
        <v>1690</v>
      </c>
      <c r="H6" s="4456"/>
      <c r="I6" s="4455" t="s">
        <v>1691</v>
      </c>
      <c r="J6" s="4456"/>
      <c r="K6" s="414" t="s">
        <v>1692</v>
      </c>
      <c r="L6" s="2068"/>
      <c r="M6" s="2069"/>
      <c r="N6" s="2069"/>
      <c r="O6" s="2069"/>
      <c r="P6" s="4459" t="s">
        <v>1693</v>
      </c>
      <c r="Q6" s="4460"/>
      <c r="R6" s="4441" t="s">
        <v>1689</v>
      </c>
      <c r="S6" s="4442"/>
      <c r="T6" s="4441" t="s">
        <v>1690</v>
      </c>
      <c r="U6" s="4442"/>
      <c r="V6" s="4467" t="s">
        <v>1691</v>
      </c>
      <c r="W6" s="4467"/>
      <c r="X6" s="981"/>
      <c r="Y6" s="4470" t="s">
        <v>1693</v>
      </c>
      <c r="Z6" s="4471"/>
      <c r="AA6" s="4436" t="s">
        <v>1689</v>
      </c>
      <c r="AB6" s="4437" t="s">
        <v>1690</v>
      </c>
      <c r="AC6" s="4436" t="s">
        <v>1691</v>
      </c>
    </row>
    <row r="7" spans="1:29" ht="15">
      <c r="A7" s="3452"/>
      <c r="B7" s="3525"/>
      <c r="C7" s="4447" t="s">
        <v>1591</v>
      </c>
      <c r="D7" s="4448"/>
      <c r="E7" s="4445" t="s">
        <v>1592</v>
      </c>
      <c r="F7" s="4446"/>
      <c r="G7" s="4447" t="s">
        <v>1593</v>
      </c>
      <c r="H7" s="4448"/>
      <c r="I7" s="4447" t="s">
        <v>1594</v>
      </c>
      <c r="J7" s="4448"/>
      <c r="K7" s="414"/>
      <c r="L7" s="2068"/>
      <c r="M7" s="2069"/>
      <c r="N7" s="2069"/>
      <c r="O7" s="2069"/>
      <c r="P7" s="4461"/>
      <c r="Q7" s="4462"/>
      <c r="R7" s="4443"/>
      <c r="S7" s="4444"/>
      <c r="T7" s="4443"/>
      <c r="U7" s="4444"/>
      <c r="V7" s="4467"/>
      <c r="W7" s="4467"/>
      <c r="X7" s="981"/>
      <c r="Y7" s="4472"/>
      <c r="Z7" s="4473"/>
      <c r="AA7" s="4437"/>
      <c r="AB7" s="4437"/>
      <c r="AC7" s="4437"/>
    </row>
    <row r="8" spans="1:29" ht="15.75" thickBot="1">
      <c r="A8" s="3526"/>
      <c r="B8" s="3527"/>
      <c r="C8" s="4550" t="s">
        <v>1837</v>
      </c>
      <c r="D8" s="4551"/>
      <c r="E8" s="4552" t="s">
        <v>1837</v>
      </c>
      <c r="F8" s="4553"/>
      <c r="G8" s="4550" t="s">
        <v>1837</v>
      </c>
      <c r="H8" s="4551"/>
      <c r="I8" s="4550" t="s">
        <v>1837</v>
      </c>
      <c r="J8" s="4551"/>
      <c r="K8" s="414" t="s">
        <v>1596</v>
      </c>
      <c r="L8" s="2068"/>
      <c r="M8" s="2069"/>
      <c r="N8" s="2069"/>
      <c r="O8" s="2069"/>
      <c r="P8" s="4463"/>
      <c r="Q8" s="4464"/>
      <c r="R8" s="4443"/>
      <c r="S8" s="4444"/>
      <c r="T8" s="4465"/>
      <c r="U8" s="4466"/>
      <c r="V8" s="4467"/>
      <c r="W8" s="4467"/>
      <c r="X8" s="981"/>
      <c r="Y8" s="4474"/>
      <c r="Z8" s="4475"/>
      <c r="AA8" s="4438"/>
      <c r="AB8" s="4438"/>
      <c r="AC8" s="4438"/>
    </row>
    <row r="9" spans="1:29" s="61" customFormat="1" ht="15.75" thickBot="1">
      <c r="A9" s="3444" t="s">
        <v>1597</v>
      </c>
      <c r="B9" s="3445"/>
      <c r="C9" s="3055">
        <f>'数据-取费表'!B2</f>
        <v>46044</v>
      </c>
      <c r="D9" s="3154">
        <v>100</v>
      </c>
      <c r="E9" s="3084"/>
      <c r="F9" s="3130">
        <f>SUMIF(67:67,YEAR(E9)&amp;"-"&amp;INT((MONTH(E9)+2)/3),68:68)</f>
        <v>0</v>
      </c>
      <c r="G9" s="3475"/>
      <c r="H9" s="3129">
        <f>SUMIF(67:67,YEAR(G9)&amp;"-"&amp;INT((MONTH(G9)+2)/3),68:68)</f>
        <v>0</v>
      </c>
      <c r="I9" s="3475"/>
      <c r="J9" s="3129">
        <f>SUMIF(67:67,YEAR(I9)&amp;"-"&amp;INT((MONTH(I9)+2)/3),68:68)</f>
        <v>0</v>
      </c>
      <c r="K9" s="35"/>
      <c r="L9" s="2070"/>
      <c r="M9" s="2021"/>
      <c r="N9" s="2021"/>
      <c r="O9" s="2021"/>
      <c r="P9" s="4468" t="s">
        <v>1598</v>
      </c>
      <c r="Q9" s="4476"/>
      <c r="R9" s="3516" t="s">
        <v>13</v>
      </c>
      <c r="S9" s="3517">
        <f t="shared" ref="S9:S17" si="0">F9</f>
        <v>0</v>
      </c>
      <c r="T9" s="3516" t="s">
        <v>13</v>
      </c>
      <c r="U9" s="3517">
        <f t="shared" ref="U9:U17" si="1">H9</f>
        <v>0</v>
      </c>
      <c r="V9" s="3516" t="s">
        <v>13</v>
      </c>
      <c r="W9" s="3517">
        <f t="shared" ref="W9:W17" si="2">J9</f>
        <v>0</v>
      </c>
      <c r="X9" s="512"/>
      <c r="Y9" s="4439" t="s">
        <v>1598</v>
      </c>
      <c r="Z9" s="4440"/>
      <c r="AA9" s="41" t="e">
        <f>D9/F9</f>
        <v>#DIV/0!</v>
      </c>
      <c r="AB9" s="41" t="e">
        <f>D9/H9</f>
        <v>#DIV/0!</v>
      </c>
      <c r="AC9" s="41" t="e">
        <f>D9/J9</f>
        <v>#DIV/0!</v>
      </c>
    </row>
    <row r="10" spans="1:29" s="61" customFormat="1" ht="15.75" thickBot="1">
      <c r="A10" s="3444" t="s">
        <v>1599</v>
      </c>
      <c r="B10" s="3445"/>
      <c r="C10" s="3056" t="s">
        <v>1600</v>
      </c>
      <c r="D10" s="3154">
        <v>100</v>
      </c>
      <c r="E10" s="3056"/>
      <c r="F10" s="3142">
        <f>SUMIF(70:70,E10,71:71)-SUMIF(70:70,C10,71:71)+100</f>
        <v>0</v>
      </c>
      <c r="G10" s="3056"/>
      <c r="H10" s="3131">
        <f>SUMIF(70:70,G10,71:71)-SUMIF(70:70,C10,71:71)+100</f>
        <v>0</v>
      </c>
      <c r="I10" s="3056"/>
      <c r="J10" s="3131">
        <f>SUMIF(70:70,I10,71:71)-SUMIF(70:70,C10,71:71)+100</f>
        <v>0</v>
      </c>
      <c r="K10" s="35"/>
      <c r="L10" s="2070"/>
      <c r="M10" s="2021"/>
      <c r="N10" s="2021"/>
      <c r="O10" s="2021"/>
      <c r="P10" s="4468" t="s">
        <v>1601</v>
      </c>
      <c r="Q10" s="4469"/>
      <c r="R10" s="3516" t="s">
        <v>13</v>
      </c>
      <c r="S10" s="3517">
        <f t="shared" si="0"/>
        <v>0</v>
      </c>
      <c r="T10" s="3516" t="s">
        <v>13</v>
      </c>
      <c r="U10" s="3517">
        <f t="shared" si="1"/>
        <v>0</v>
      </c>
      <c r="V10" s="3516" t="s">
        <v>13</v>
      </c>
      <c r="W10" s="3517">
        <f t="shared" si="2"/>
        <v>0</v>
      </c>
      <c r="X10" s="512"/>
      <c r="Y10" s="4439" t="s">
        <v>1601</v>
      </c>
      <c r="Z10" s="4440"/>
      <c r="AA10" s="41" t="e">
        <f t="shared" ref="AA10:AA42" si="3">D10/F10</f>
        <v>#DIV/0!</v>
      </c>
      <c r="AB10" s="41" t="e">
        <f t="shared" ref="AB10:AB42" si="4">D10/H10</f>
        <v>#DIV/0!</v>
      </c>
      <c r="AC10" s="41" t="e">
        <f t="shared" ref="AC10:AC42" si="5">D10/J10</f>
        <v>#DIV/0!</v>
      </c>
    </row>
    <row r="11" spans="1:29" s="61" customFormat="1">
      <c r="A11" s="3378" t="s">
        <v>1602</v>
      </c>
      <c r="B11" s="3035" t="s">
        <v>1603</v>
      </c>
      <c r="C11" s="3446"/>
      <c r="D11" s="3155">
        <v>100</v>
      </c>
      <c r="E11" s="3446"/>
      <c r="F11" s="3132">
        <f>SUMIF(72:72,E11,73:73)-SUMIF(72:72,C11,73:73)+100</f>
        <v>100</v>
      </c>
      <c r="G11" s="3446"/>
      <c r="H11" s="3132">
        <f>SUMIF(72:72,G11,73:73)-SUMIF(72:72,C11,73:73)+100</f>
        <v>100</v>
      </c>
      <c r="I11" s="3446"/>
      <c r="J11" s="3132">
        <f>SUMIF(72:72,I11,73:73)-SUMIF(72:72,C11,73:73)+100</f>
        <v>100</v>
      </c>
      <c r="K11" s="35"/>
      <c r="L11" s="2070"/>
      <c r="M11" s="2021"/>
      <c r="N11" s="2021"/>
      <c r="O11" s="2122"/>
      <c r="P11" s="4480" t="s">
        <v>1604</v>
      </c>
      <c r="Q11" s="1787" t="str">
        <f t="shared" ref="Q11:Q17" si="6">B11</f>
        <v>用途</v>
      </c>
      <c r="R11" s="3516" t="s">
        <v>13</v>
      </c>
      <c r="S11" s="3517">
        <f t="shared" si="0"/>
        <v>100</v>
      </c>
      <c r="T11" s="3516" t="s">
        <v>13</v>
      </c>
      <c r="U11" s="3517">
        <f t="shared" si="1"/>
        <v>100</v>
      </c>
      <c r="V11" s="3516" t="s">
        <v>13</v>
      </c>
      <c r="W11" s="3517">
        <f t="shared" si="2"/>
        <v>100</v>
      </c>
      <c r="X11" s="512"/>
      <c r="Y11" s="4454"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060"/>
      <c r="F12" s="3133">
        <f>ROUND(100/'数据-取费表'!G16,1)</f>
        <v>117.1</v>
      </c>
      <c r="G12" s="3060"/>
      <c r="H12" s="3133">
        <f>ROUND(100/'数据-取费表'!G16,1)</f>
        <v>117.1</v>
      </c>
      <c r="I12" s="3060"/>
      <c r="J12" s="3133">
        <f>ROUND(100/'数据-取费表'!G16,1)</f>
        <v>117.1</v>
      </c>
      <c r="K12" s="462"/>
      <c r="L12" s="2071"/>
      <c r="M12" s="2072"/>
      <c r="N12" s="2072"/>
      <c r="O12" s="2123"/>
      <c r="P12" s="4480"/>
      <c r="Q12" s="1787" t="str">
        <f t="shared" si="6"/>
        <v>土地使用年限（年）</v>
      </c>
      <c r="R12" s="3516" t="s">
        <v>13</v>
      </c>
      <c r="S12" s="3517">
        <f t="shared" si="0"/>
        <v>117.1</v>
      </c>
      <c r="T12" s="3516" t="s">
        <v>13</v>
      </c>
      <c r="U12" s="3517">
        <f t="shared" si="1"/>
        <v>117.1</v>
      </c>
      <c r="V12" s="3516" t="s">
        <v>13</v>
      </c>
      <c r="W12" s="3517">
        <f t="shared" si="2"/>
        <v>117.1</v>
      </c>
      <c r="X12" s="512"/>
      <c r="Y12" s="4454"/>
      <c r="Z12" s="41" t="str">
        <f t="shared" si="7"/>
        <v>土地使用年限（年）</v>
      </c>
      <c r="AA12" s="41">
        <f t="shared" si="3"/>
        <v>0.8539709649871905</v>
      </c>
      <c r="AB12" s="41">
        <f t="shared" si="4"/>
        <v>0.8539709649871905</v>
      </c>
      <c r="AC12" s="41">
        <f t="shared" si="5"/>
        <v>0.8539709649871905</v>
      </c>
    </row>
    <row r="13" spans="1:29" ht="15">
      <c r="A13" s="3448"/>
      <c r="B13" s="3030" t="s">
        <v>1607</v>
      </c>
      <c r="C13" s="3059"/>
      <c r="D13" s="3156">
        <v>100</v>
      </c>
      <c r="E13" s="3059"/>
      <c r="F13" s="3133" t="e">
        <f>LOOKUP(E13,77:77,78:78)-LOOKUP(C13,77:77,78:78)+100</f>
        <v>#N/A</v>
      </c>
      <c r="G13" s="3087"/>
      <c r="H13" s="3133" t="e">
        <f>LOOKUP(G13,77:77,78:78)-LOOKUP(C13,77:77,78:78)+100</f>
        <v>#N/A</v>
      </c>
      <c r="I13" s="3059"/>
      <c r="J13" s="3133" t="e">
        <f>LOOKUP(I13,77:77,78:78)-LOOKUP(C13,77:77,78:78)+100</f>
        <v>#N/A</v>
      </c>
      <c r="K13" s="463"/>
      <c r="L13" s="2073"/>
      <c r="M13" s="2069"/>
      <c r="N13" s="2069"/>
      <c r="O13" s="2124"/>
      <c r="P13" s="4480"/>
      <c r="Q13" s="1787" t="str">
        <f t="shared" si="6"/>
        <v>容积率</v>
      </c>
      <c r="R13" s="3516" t="s">
        <v>13</v>
      </c>
      <c r="S13" s="3517" t="e">
        <f t="shared" si="0"/>
        <v>#N/A</v>
      </c>
      <c r="T13" s="3516" t="s">
        <v>13</v>
      </c>
      <c r="U13" s="3517" t="e">
        <f t="shared" si="1"/>
        <v>#N/A</v>
      </c>
      <c r="V13" s="3516" t="s">
        <v>13</v>
      </c>
      <c r="W13" s="3517" t="e">
        <f t="shared" si="2"/>
        <v>#N/A</v>
      </c>
      <c r="X13" s="512"/>
      <c r="Y13" s="4454"/>
      <c r="Z13" s="41" t="str">
        <f t="shared" si="7"/>
        <v>容积率</v>
      </c>
      <c r="AA13" s="41" t="e">
        <f t="shared" si="3"/>
        <v>#N/A</v>
      </c>
      <c r="AB13" s="41" t="e">
        <f t="shared" si="4"/>
        <v>#N/A</v>
      </c>
      <c r="AC13" s="41" t="e">
        <f t="shared" si="5"/>
        <v>#N/A</v>
      </c>
    </row>
    <row r="14" spans="1:29" s="61" customFormat="1" ht="15">
      <c r="A14" s="3449"/>
      <c r="B14" s="3036">
        <v>111</v>
      </c>
      <c r="C14" s="3060"/>
      <c r="D14" s="3157">
        <v>100</v>
      </c>
      <c r="E14" s="3470"/>
      <c r="F14" s="3133">
        <f>SUMIF(79:79,E14,80:80)-SUMIF(79:79,C14,80:80)+100</f>
        <v>100</v>
      </c>
      <c r="G14" s="3456"/>
      <c r="H14" s="3133">
        <f>SUMIF(79:79,G14,80:80)-SUMIF(79:79,C14,80:80)+100</f>
        <v>100</v>
      </c>
      <c r="I14" s="3470"/>
      <c r="J14" s="3133">
        <f>SUMIF(79:79,I14,80:80)-SUMIF(79:79,C14,80:80)+100</f>
        <v>100</v>
      </c>
      <c r="K14" s="462"/>
      <c r="L14" s="2070"/>
      <c r="M14" s="2021"/>
      <c r="N14" s="2021"/>
      <c r="O14" s="2122"/>
      <c r="P14" s="4480"/>
      <c r="Q14" s="1787">
        <f t="shared" si="6"/>
        <v>111</v>
      </c>
      <c r="R14" s="3516" t="s">
        <v>13</v>
      </c>
      <c r="S14" s="3517">
        <f t="shared" si="0"/>
        <v>100</v>
      </c>
      <c r="T14" s="3516" t="s">
        <v>13</v>
      </c>
      <c r="U14" s="3517">
        <f t="shared" si="1"/>
        <v>100</v>
      </c>
      <c r="V14" s="3516" t="s">
        <v>13</v>
      </c>
      <c r="W14" s="3517">
        <f t="shared" si="2"/>
        <v>100</v>
      </c>
      <c r="X14" s="512"/>
      <c r="Y14" s="4454"/>
      <c r="Z14" s="41">
        <f t="shared" si="7"/>
        <v>111</v>
      </c>
      <c r="AA14" s="41">
        <f>D14/F14</f>
        <v>1</v>
      </c>
      <c r="AB14" s="41">
        <f>D14/H14</f>
        <v>1</v>
      </c>
      <c r="AC14" s="41">
        <f>D14/J14</f>
        <v>1</v>
      </c>
    </row>
    <row r="15" spans="1:29" ht="15">
      <c r="A15" s="3448"/>
      <c r="B15" s="3036">
        <v>111</v>
      </c>
      <c r="C15" s="3061"/>
      <c r="D15" s="3158">
        <v>100</v>
      </c>
      <c r="E15" s="3470"/>
      <c r="F15" s="3133">
        <f>SUMIF(81:81,E15,82:82)-SUMIF(81:81,C15,82:82)+100</f>
        <v>100</v>
      </c>
      <c r="G15" s="3456"/>
      <c r="H15" s="3134">
        <f>SUMIF(81:81,G15,82:82)-SUMIF(81:81,C15,82:82)+100</f>
        <v>100</v>
      </c>
      <c r="I15" s="3470"/>
      <c r="J15" s="3134">
        <f>SUMIF(81:81,I15,82:82)-SUMIF(81:81,C15,82:82)+100</f>
        <v>100</v>
      </c>
      <c r="K15" s="462"/>
      <c r="L15" s="2074"/>
      <c r="M15" s="2069"/>
      <c r="N15" s="2069"/>
      <c r="O15" s="2124"/>
      <c r="P15" s="4480"/>
      <c r="Q15" s="1787">
        <f t="shared" si="6"/>
        <v>111</v>
      </c>
      <c r="R15" s="3516" t="s">
        <v>13</v>
      </c>
      <c r="S15" s="3517">
        <f t="shared" si="0"/>
        <v>100</v>
      </c>
      <c r="T15" s="3516" t="s">
        <v>13</v>
      </c>
      <c r="U15" s="3517">
        <f t="shared" si="1"/>
        <v>100</v>
      </c>
      <c r="V15" s="3516" t="s">
        <v>13</v>
      </c>
      <c r="W15" s="3517">
        <f t="shared" si="2"/>
        <v>100</v>
      </c>
      <c r="X15" s="512"/>
      <c r="Y15" s="4454"/>
      <c r="Z15" s="41">
        <f t="shared" si="7"/>
        <v>111</v>
      </c>
      <c r="AA15" s="41">
        <f t="shared" si="3"/>
        <v>1</v>
      </c>
      <c r="AB15" s="41">
        <f t="shared" si="4"/>
        <v>1</v>
      </c>
      <c r="AC15" s="41">
        <f t="shared" si="5"/>
        <v>1</v>
      </c>
    </row>
    <row r="16" spans="1:29" ht="15.75" thickBot="1">
      <c r="A16" s="3450"/>
      <c r="B16" s="3037">
        <v>111</v>
      </c>
      <c r="C16" s="3062"/>
      <c r="D16" s="3159">
        <v>100</v>
      </c>
      <c r="E16" s="3470"/>
      <c r="F16" s="3135">
        <f>SUMIF(83:83,E16,84:84)-SUMIF(83:83,C16,84:84)+100</f>
        <v>100</v>
      </c>
      <c r="G16" s="3456"/>
      <c r="H16" s="3135">
        <f>SUMIF(83:83,G16,84:84)-SUMIF(83:83,C16,84:84)+100</f>
        <v>100</v>
      </c>
      <c r="I16" s="3470"/>
      <c r="J16" s="3135">
        <f>SUMIF(83:83,I16,84:84)-SUMIF(83:83,C16,84:84)+100</f>
        <v>100</v>
      </c>
      <c r="K16" s="462"/>
      <c r="L16" s="2074"/>
      <c r="M16" s="2069"/>
      <c r="N16" s="2069"/>
      <c r="O16" s="2124"/>
      <c r="P16" s="4480"/>
      <c r="Q16" s="1787">
        <f t="shared" si="6"/>
        <v>111</v>
      </c>
      <c r="R16" s="3516" t="s">
        <v>13</v>
      </c>
      <c r="S16" s="3517">
        <f t="shared" si="0"/>
        <v>100</v>
      </c>
      <c r="T16" s="3516" t="s">
        <v>13</v>
      </c>
      <c r="U16" s="3517">
        <f t="shared" si="1"/>
        <v>100</v>
      </c>
      <c r="V16" s="3516" t="s">
        <v>13</v>
      </c>
      <c r="W16" s="3517">
        <f t="shared" si="2"/>
        <v>100</v>
      </c>
      <c r="X16" s="512"/>
      <c r="Y16" s="4454"/>
      <c r="Z16" s="41">
        <f t="shared" si="7"/>
        <v>111</v>
      </c>
      <c r="AA16" s="41">
        <f t="shared" si="3"/>
        <v>1</v>
      </c>
      <c r="AB16" s="41">
        <f t="shared" si="4"/>
        <v>1</v>
      </c>
      <c r="AC16" s="41">
        <f t="shared" si="5"/>
        <v>1</v>
      </c>
    </row>
    <row r="17" spans="1:29" ht="15">
      <c r="A17" s="3451" t="s">
        <v>1608</v>
      </c>
      <c r="B17" s="3528" t="s">
        <v>1838</v>
      </c>
      <c r="C17" s="3537">
        <f>估价对象房地状况!G15</f>
        <v>0</v>
      </c>
      <c r="D17" s="3160">
        <v>100</v>
      </c>
      <c r="E17" s="3088"/>
      <c r="F17" s="3136">
        <f>SUMIF(85:85,E18,86:86)-SUMIF(85:85,C18,86:86)+100</f>
        <v>100</v>
      </c>
      <c r="G17" s="3088"/>
      <c r="H17" s="3136">
        <f>SUMIF(85:85,G18,86:86)-SUMIF(85:85,C18,86:86)+100</f>
        <v>100</v>
      </c>
      <c r="I17" s="3094"/>
      <c r="J17" s="3136">
        <f>SUMIF(85:85,I18,86:86)-SUMIF(85:85,C18,86:86)+100</f>
        <v>100</v>
      </c>
      <c r="K17" s="463"/>
      <c r="L17" s="2074"/>
      <c r="M17" s="2069"/>
      <c r="N17" s="2069"/>
      <c r="O17" s="2124"/>
      <c r="P17" s="4529" t="s">
        <v>1609</v>
      </c>
      <c r="Q17" s="1587" t="str">
        <f t="shared" si="6"/>
        <v>产业集聚程度</v>
      </c>
      <c r="R17" s="3518" t="s">
        <v>13</v>
      </c>
      <c r="S17" s="3519">
        <f t="shared" si="0"/>
        <v>100</v>
      </c>
      <c r="T17" s="3518" t="s">
        <v>13</v>
      </c>
      <c r="U17" s="3519">
        <f t="shared" si="1"/>
        <v>100</v>
      </c>
      <c r="V17" s="3518" t="s">
        <v>13</v>
      </c>
      <c r="W17" s="3519">
        <f t="shared" si="2"/>
        <v>100</v>
      </c>
      <c r="X17" s="981"/>
      <c r="Y17" s="4482" t="s">
        <v>1609</v>
      </c>
      <c r="Z17" s="979" t="str">
        <f t="shared" si="7"/>
        <v>产业集聚程度</v>
      </c>
      <c r="AA17" s="979">
        <f t="shared" si="3"/>
        <v>1</v>
      </c>
      <c r="AB17" s="979">
        <f t="shared" si="4"/>
        <v>1</v>
      </c>
      <c r="AC17" s="979">
        <f t="shared" si="5"/>
        <v>1</v>
      </c>
    </row>
    <row r="18" spans="1:29" ht="15">
      <c r="A18" s="3448"/>
      <c r="B18" s="3529"/>
      <c r="C18" s="3064"/>
      <c r="D18" s="3161"/>
      <c r="E18" s="3114"/>
      <c r="F18" s="3137"/>
      <c r="G18" s="3114"/>
      <c r="H18" s="3138"/>
      <c r="I18" s="3114"/>
      <c r="J18" s="3137"/>
      <c r="K18" s="462"/>
      <c r="L18" s="2074"/>
      <c r="M18" s="2069"/>
      <c r="N18" s="2069"/>
      <c r="O18" s="2124"/>
      <c r="P18" s="4530"/>
      <c r="Q18" s="1587"/>
      <c r="R18" s="3518"/>
      <c r="S18" s="3519"/>
      <c r="T18" s="3518"/>
      <c r="U18" s="3519"/>
      <c r="V18" s="3518"/>
      <c r="W18" s="3519"/>
      <c r="X18" s="981"/>
      <c r="Y18" s="4483"/>
      <c r="Z18" s="979"/>
      <c r="AA18" s="979">
        <v>1</v>
      </c>
      <c r="AB18" s="979">
        <v>1</v>
      </c>
      <c r="AC18" s="979">
        <v>1</v>
      </c>
    </row>
    <row r="19" spans="1:29" ht="15">
      <c r="A19" s="3448"/>
      <c r="B19" s="3530" t="s">
        <v>1751</v>
      </c>
      <c r="C19" s="3065">
        <f>估价对象房地状况!G16</f>
        <v>0</v>
      </c>
      <c r="D19" s="3162">
        <v>100</v>
      </c>
      <c r="E19" s="3089"/>
      <c r="F19" s="3139">
        <f>SUMIF(87:87,E20,88:88)-SUMIF(87:87,C20,88:88)+100</f>
        <v>100</v>
      </c>
      <c r="G19" s="3089"/>
      <c r="H19" s="3139">
        <f>SUMIF(87:87,G20,88:88)-SUMIF(87:87,C20,88:88)+100</f>
        <v>100</v>
      </c>
      <c r="I19" s="3095"/>
      <c r="J19" s="3138">
        <f>SUMIF(87:87,I20,88:88)-SUMIF(87:87,C20,88:88)+100</f>
        <v>100</v>
      </c>
      <c r="K19" s="463"/>
      <c r="L19" s="2074"/>
      <c r="M19" s="2069"/>
      <c r="N19" s="2069"/>
      <c r="O19" s="2124"/>
      <c r="P19" s="4530"/>
      <c r="Q19" s="1587" t="str">
        <f>B19</f>
        <v>交通便捷度</v>
      </c>
      <c r="R19" s="3518" t="s">
        <v>13</v>
      </c>
      <c r="S19" s="3519">
        <f>F19</f>
        <v>100</v>
      </c>
      <c r="T19" s="3518" t="s">
        <v>13</v>
      </c>
      <c r="U19" s="3519">
        <f>H19</f>
        <v>100</v>
      </c>
      <c r="V19" s="3518" t="s">
        <v>13</v>
      </c>
      <c r="W19" s="3519">
        <f>J19</f>
        <v>100</v>
      </c>
      <c r="X19" s="981"/>
      <c r="Y19" s="4483"/>
      <c r="Z19" s="979" t="str">
        <f>Q19</f>
        <v>交通便捷度</v>
      </c>
      <c r="AA19" s="979">
        <f t="shared" si="3"/>
        <v>1</v>
      </c>
      <c r="AB19" s="979">
        <f t="shared" si="4"/>
        <v>1</v>
      </c>
      <c r="AC19" s="979">
        <f t="shared" si="5"/>
        <v>1</v>
      </c>
    </row>
    <row r="20" spans="1:29" ht="15">
      <c r="A20" s="3448"/>
      <c r="B20" s="3531"/>
      <c r="C20" s="3064"/>
      <c r="D20" s="3161"/>
      <c r="E20" s="3092"/>
      <c r="F20" s="3137"/>
      <c r="G20" s="3092"/>
      <c r="H20" s="3137"/>
      <c r="I20" s="3098"/>
      <c r="J20" s="3137"/>
      <c r="K20" s="462"/>
      <c r="L20" s="2074"/>
      <c r="M20" s="2069"/>
      <c r="N20" s="2069"/>
      <c r="O20" s="2124"/>
      <c r="P20" s="4530"/>
      <c r="Q20" s="1587"/>
      <c r="R20" s="3518"/>
      <c r="S20" s="3519"/>
      <c r="T20" s="3518"/>
      <c r="U20" s="3519"/>
      <c r="V20" s="3518"/>
      <c r="W20" s="3519"/>
      <c r="X20" s="981"/>
      <c r="Y20" s="4483"/>
      <c r="Z20" s="979"/>
      <c r="AA20" s="979">
        <v>1</v>
      </c>
      <c r="AB20" s="979">
        <v>1</v>
      </c>
      <c r="AC20" s="979">
        <v>1</v>
      </c>
    </row>
    <row r="21" spans="1:29" ht="15">
      <c r="A21" s="3448"/>
      <c r="B21" s="3530" t="s">
        <v>1789</v>
      </c>
      <c r="C21" s="3065">
        <f>估价对象房地状况!G17</f>
        <v>0</v>
      </c>
      <c r="D21" s="3162">
        <v>100</v>
      </c>
      <c r="E21" s="3089"/>
      <c r="F21" s="3139">
        <f>SUMIF(89:89,E22,90:90)-SUMIF(89:89,C22,90:90)+100</f>
        <v>100</v>
      </c>
      <c r="G21" s="3089"/>
      <c r="H21" s="3139">
        <f>SUMIF(89:89,G22,90:90)-SUMIF(89:89,C22,90:90)+100</f>
        <v>100</v>
      </c>
      <c r="I21" s="3089"/>
      <c r="J21" s="3139">
        <f>SUMIF(89:89,I22,90:90)-SUMIF(89:89,C22,90:90)+100</f>
        <v>100</v>
      </c>
      <c r="K21" s="463"/>
      <c r="L21" s="2074"/>
      <c r="M21" s="2069"/>
      <c r="N21" s="2069"/>
      <c r="O21" s="2124"/>
      <c r="P21" s="4530"/>
      <c r="Q21" s="1587" t="str">
        <f t="shared" ref="Q21:Q35" si="8">B21</f>
        <v>区域土地利用方向</v>
      </c>
      <c r="R21" s="3518" t="s">
        <v>13</v>
      </c>
      <c r="S21" s="3519">
        <f>F21</f>
        <v>100</v>
      </c>
      <c r="T21" s="3518" t="s">
        <v>13</v>
      </c>
      <c r="U21" s="3519">
        <f>H21</f>
        <v>100</v>
      </c>
      <c r="V21" s="3518" t="s">
        <v>13</v>
      </c>
      <c r="W21" s="3519">
        <f>J21</f>
        <v>100</v>
      </c>
      <c r="X21" s="981"/>
      <c r="Y21" s="4483"/>
      <c r="Z21" s="979" t="str">
        <f>Q21</f>
        <v>区域土地利用方向</v>
      </c>
      <c r="AA21" s="979">
        <f t="shared" si="3"/>
        <v>1</v>
      </c>
      <c r="AB21" s="979">
        <f t="shared" si="4"/>
        <v>1</v>
      </c>
      <c r="AC21" s="979">
        <f t="shared" si="5"/>
        <v>1</v>
      </c>
    </row>
    <row r="22" spans="1:29" ht="15">
      <c r="A22" s="3452"/>
      <c r="B22" s="3531"/>
      <c r="C22" s="3064"/>
      <c r="D22" s="3161"/>
      <c r="E22" s="3092"/>
      <c r="F22" s="3137"/>
      <c r="G22" s="3092"/>
      <c r="H22" s="3137"/>
      <c r="I22" s="3092"/>
      <c r="J22" s="3137"/>
      <c r="K22" s="536"/>
      <c r="L22" s="2074"/>
      <c r="M22" s="2069"/>
      <c r="N22" s="2069"/>
      <c r="O22" s="2124"/>
      <c r="P22" s="4530"/>
      <c r="Q22" s="1587"/>
      <c r="R22" s="3518"/>
      <c r="S22" s="3519"/>
      <c r="T22" s="3518"/>
      <c r="U22" s="3519"/>
      <c r="V22" s="3518"/>
      <c r="W22" s="3519"/>
      <c r="X22" s="981"/>
      <c r="Y22" s="4483"/>
      <c r="Z22" s="979"/>
      <c r="AA22" s="979"/>
      <c r="AB22" s="979"/>
      <c r="AC22" s="979"/>
    </row>
    <row r="23" spans="1:29" ht="15">
      <c r="A23" s="3452"/>
      <c r="B23" s="3530" t="s">
        <v>1839</v>
      </c>
      <c r="C23" s="3065">
        <f>估价对象房地状况!G18</f>
        <v>0</v>
      </c>
      <c r="D23" s="3162">
        <v>100</v>
      </c>
      <c r="E23" s="3089"/>
      <c r="F23" s="3138">
        <f>SUMIF(91:91,E24,92:92)-SUMIF(91:91,C24,92:92)+100</f>
        <v>100</v>
      </c>
      <c r="G23" s="3089"/>
      <c r="H23" s="3138">
        <f>SUMIF(91:91,G24,92:92)-SUMIF(91:91,C24,92:92)+100</f>
        <v>100</v>
      </c>
      <c r="I23" s="3095"/>
      <c r="J23" s="3138">
        <f>SUMIF(91:91,I24,92:92)-SUMIF(91:91,C24,92:92)+100</f>
        <v>100</v>
      </c>
      <c r="K23" s="463"/>
      <c r="L23" s="2074"/>
      <c r="M23" s="2069"/>
      <c r="N23" s="2069"/>
      <c r="O23" s="2124"/>
      <c r="P23" s="4530"/>
      <c r="Q23" s="1587" t="str">
        <f t="shared" si="8"/>
        <v>环境状况</v>
      </c>
      <c r="R23" s="3518" t="s">
        <v>13</v>
      </c>
      <c r="S23" s="3519">
        <f>F23</f>
        <v>100</v>
      </c>
      <c r="T23" s="3518" t="s">
        <v>13</v>
      </c>
      <c r="U23" s="3519">
        <f>H23</f>
        <v>100</v>
      </c>
      <c r="V23" s="3518" t="s">
        <v>13</v>
      </c>
      <c r="W23" s="3519">
        <f>J23</f>
        <v>100</v>
      </c>
      <c r="X23" s="981"/>
      <c r="Y23" s="4483"/>
      <c r="Z23" s="979" t="str">
        <f>Q23</f>
        <v>环境状况</v>
      </c>
      <c r="AA23" s="979">
        <f t="shared" si="3"/>
        <v>1</v>
      </c>
      <c r="AB23" s="979">
        <f t="shared" si="4"/>
        <v>1</v>
      </c>
      <c r="AC23" s="979">
        <f t="shared" si="5"/>
        <v>1</v>
      </c>
    </row>
    <row r="24" spans="1:29" ht="15">
      <c r="A24" s="3452"/>
      <c r="B24" s="3531"/>
      <c r="C24" s="3064"/>
      <c r="D24" s="3161"/>
      <c r="E24" s="3114"/>
      <c r="F24" s="3137"/>
      <c r="G24" s="3114"/>
      <c r="H24" s="3137"/>
      <c r="I24" s="3064"/>
      <c r="J24" s="3137"/>
      <c r="K24" s="462"/>
      <c r="L24" s="2074"/>
      <c r="M24" s="2069"/>
      <c r="N24" s="2069"/>
      <c r="O24" s="2124"/>
      <c r="P24" s="4530"/>
      <c r="Q24" s="1587"/>
      <c r="R24" s="3518"/>
      <c r="S24" s="3519"/>
      <c r="T24" s="3518"/>
      <c r="U24" s="3519"/>
      <c r="V24" s="3518"/>
      <c r="W24" s="3519"/>
      <c r="X24" s="981"/>
      <c r="Y24" s="4483"/>
      <c r="Z24" s="979"/>
      <c r="AA24" s="979">
        <v>1</v>
      </c>
      <c r="AB24" s="979">
        <v>1</v>
      </c>
      <c r="AC24" s="979">
        <v>1</v>
      </c>
    </row>
    <row r="25" spans="1:29" s="61" customFormat="1" ht="15">
      <c r="A25" s="3454"/>
      <c r="B25" s="3532" t="s">
        <v>1696</v>
      </c>
      <c r="C25" s="3065">
        <f>估价对象房地状况!G19</f>
        <v>0</v>
      </c>
      <c r="D25" s="3162">
        <v>100</v>
      </c>
      <c r="E25" s="3089"/>
      <c r="F25" s="3138">
        <f>SUMIF(93:93,E26,94:94)-SUMIF(93:93,C26,94:94)+100</f>
        <v>100</v>
      </c>
      <c r="G25" s="3089"/>
      <c r="H25" s="3138">
        <f>SUMIF(93:93,G26,94:94)-SUMIF(93:93,C26,94:94)+100</f>
        <v>100</v>
      </c>
      <c r="I25" s="3095"/>
      <c r="J25" s="3138">
        <f>SUMIF(93:93,I26,94:94)-SUMIF(93:93,C26,94:94)+100</f>
        <v>100</v>
      </c>
      <c r="K25" s="463"/>
      <c r="L25" s="2070"/>
      <c r="M25" s="2021"/>
      <c r="N25" s="2021"/>
      <c r="O25" s="2122"/>
      <c r="P25" s="4530"/>
      <c r="Q25" s="1787" t="str">
        <f t="shared" si="8"/>
        <v>公共配套设施</v>
      </c>
      <c r="R25" s="3516" t="s">
        <v>13</v>
      </c>
      <c r="S25" s="3517">
        <f>F25</f>
        <v>100</v>
      </c>
      <c r="T25" s="3516" t="s">
        <v>13</v>
      </c>
      <c r="U25" s="3517">
        <f>H25</f>
        <v>100</v>
      </c>
      <c r="V25" s="3516" t="s">
        <v>13</v>
      </c>
      <c r="W25" s="3517">
        <f>J25</f>
        <v>100</v>
      </c>
      <c r="X25" s="512"/>
      <c r="Y25" s="4483"/>
      <c r="Z25" s="41" t="str">
        <f>Q25</f>
        <v>公共配套设施</v>
      </c>
      <c r="AA25" s="979">
        <f>D25/F25</f>
        <v>1</v>
      </c>
      <c r="AB25" s="979">
        <f>D25/H25</f>
        <v>1</v>
      </c>
      <c r="AC25" s="979">
        <f>D25/J25</f>
        <v>1</v>
      </c>
    </row>
    <row r="26" spans="1:29" s="61" customFormat="1" ht="15">
      <c r="A26" s="3454"/>
      <c r="B26" s="3531"/>
      <c r="C26" s="3455"/>
      <c r="D26" s="3161"/>
      <c r="E26" s="3114"/>
      <c r="F26" s="3137"/>
      <c r="G26" s="3114"/>
      <c r="H26" s="3137"/>
      <c r="I26" s="3064"/>
      <c r="J26" s="3137"/>
      <c r="K26" s="462"/>
      <c r="L26" s="2070"/>
      <c r="M26" s="2021"/>
      <c r="N26" s="2021"/>
      <c r="O26" s="2122"/>
      <c r="P26" s="4530"/>
      <c r="Q26" s="1787"/>
      <c r="R26" s="3516"/>
      <c r="S26" s="3517"/>
      <c r="T26" s="3516"/>
      <c r="U26" s="3517"/>
      <c r="V26" s="3516"/>
      <c r="W26" s="3517"/>
      <c r="X26" s="512"/>
      <c r="Y26" s="4483"/>
      <c r="Z26" s="41"/>
      <c r="AA26" s="41">
        <v>1</v>
      </c>
      <c r="AB26" s="41">
        <v>1</v>
      </c>
      <c r="AC26" s="41">
        <v>1</v>
      </c>
    </row>
    <row r="27" spans="1:29" s="61" customFormat="1" ht="15">
      <c r="A27" s="3454"/>
      <c r="B27" s="3532" t="s">
        <v>1697</v>
      </c>
      <c r="C27" s="3065">
        <f>估价对象房地状况!G20</f>
        <v>0</v>
      </c>
      <c r="D27" s="3162">
        <v>100</v>
      </c>
      <c r="E27" s="3089"/>
      <c r="F27" s="3138">
        <f>SUMIF(95:95,E28,96:96)-SUMIF(95:95,C28,96:96)+100</f>
        <v>100</v>
      </c>
      <c r="G27" s="3089"/>
      <c r="H27" s="3138">
        <f>SUMIF(95:95,G28,96:96)-SUMIF(95:95,C28,96:96)+100</f>
        <v>100</v>
      </c>
      <c r="I27" s="3095"/>
      <c r="J27" s="3138">
        <f>SUMIF(95:95,I28,96:96)-SUMIF(95:95,C28,96:96)+100</f>
        <v>100</v>
      </c>
      <c r="K27" s="463"/>
      <c r="L27" s="2070"/>
      <c r="M27" s="2021"/>
      <c r="N27" s="2021"/>
      <c r="O27" s="2122"/>
      <c r="P27" s="4530"/>
      <c r="Q27" s="1787" t="str">
        <f t="shared" ref="Q27" si="9">B27</f>
        <v>基础设施水平</v>
      </c>
      <c r="R27" s="3516" t="s">
        <v>13</v>
      </c>
      <c r="S27" s="3517">
        <f>F27</f>
        <v>100</v>
      </c>
      <c r="T27" s="3516" t="s">
        <v>13</v>
      </c>
      <c r="U27" s="3517">
        <f>H27</f>
        <v>100</v>
      </c>
      <c r="V27" s="3516" t="s">
        <v>13</v>
      </c>
      <c r="W27" s="3517">
        <f>J27</f>
        <v>100</v>
      </c>
      <c r="X27" s="512"/>
      <c r="Y27" s="4483"/>
      <c r="Z27" s="41" t="str">
        <f>Q27</f>
        <v>基础设施水平</v>
      </c>
      <c r="AA27" s="979">
        <f>D27/F27</f>
        <v>1</v>
      </c>
      <c r="AB27" s="979">
        <f>D27/H27</f>
        <v>1</v>
      </c>
      <c r="AC27" s="979">
        <f>D27/J27</f>
        <v>1</v>
      </c>
    </row>
    <row r="28" spans="1:29" s="61" customFormat="1" ht="15">
      <c r="A28" s="3454"/>
      <c r="B28" s="3531"/>
      <c r="C28" s="3455"/>
      <c r="D28" s="3161"/>
      <c r="E28" s="3471"/>
      <c r="F28" s="3137"/>
      <c r="G28" s="3471"/>
      <c r="H28" s="3137"/>
      <c r="I28" s="3471"/>
      <c r="J28" s="3137"/>
      <c r="K28" s="462"/>
      <c r="L28" s="2070"/>
      <c r="M28" s="2021"/>
      <c r="N28" s="2021"/>
      <c r="O28" s="2122"/>
      <c r="P28" s="4530"/>
      <c r="Q28" s="1787"/>
      <c r="R28" s="3516"/>
      <c r="S28" s="3517"/>
      <c r="T28" s="3516"/>
      <c r="U28" s="3517"/>
      <c r="V28" s="3516"/>
      <c r="W28" s="3517"/>
      <c r="X28" s="512"/>
      <c r="Y28" s="4483"/>
      <c r="Z28" s="41"/>
      <c r="AA28" s="41">
        <v>1</v>
      </c>
      <c r="AB28" s="41">
        <v>1</v>
      </c>
      <c r="AC28" s="41">
        <v>1</v>
      </c>
    </row>
    <row r="29" spans="1:29" ht="15">
      <c r="A29" s="3448"/>
      <c r="B29" s="3531" t="s">
        <v>1698</v>
      </c>
      <c r="C29" s="3080"/>
      <c r="D29" s="3158">
        <v>100</v>
      </c>
      <c r="E29" s="3472"/>
      <c r="F29" s="3134">
        <f>SUMIF(97:97,E29,98:98)-SUMIF(97:97,C29,98:98)+100</f>
        <v>100</v>
      </c>
      <c r="G29" s="3472"/>
      <c r="H29" s="3134">
        <f>SUMIF(97:97,G29,98:98)-SUMIF(97:97,C29,98:98)+100</f>
        <v>100</v>
      </c>
      <c r="I29" s="3472"/>
      <c r="J29" s="3134">
        <f>SUMIF(97:97,I29,98:98)-SUMIF(97:97,C29,98:98)+100</f>
        <v>100</v>
      </c>
      <c r="K29" s="463"/>
      <c r="L29" s="2074"/>
      <c r="M29" s="2069"/>
      <c r="N29" s="2069"/>
      <c r="O29" s="2124"/>
      <c r="P29" s="4530"/>
      <c r="Q29" s="1587" t="str">
        <f t="shared" si="8"/>
        <v>临街状况</v>
      </c>
      <c r="R29" s="3518" t="s">
        <v>13</v>
      </c>
      <c r="S29" s="3519">
        <f t="shared" ref="S29:S42" si="10">F29</f>
        <v>100</v>
      </c>
      <c r="T29" s="3518" t="s">
        <v>13</v>
      </c>
      <c r="U29" s="3519">
        <f t="shared" ref="U29:U42" si="11">H29</f>
        <v>100</v>
      </c>
      <c r="V29" s="3518" t="s">
        <v>13</v>
      </c>
      <c r="W29" s="3519">
        <f t="shared" ref="W29:W42" si="12">J29</f>
        <v>100</v>
      </c>
      <c r="X29" s="981"/>
      <c r="Y29" s="4483"/>
      <c r="Z29" s="979" t="str">
        <f t="shared" ref="Z29:Z42" si="13">Q29</f>
        <v>临街状况</v>
      </c>
      <c r="AA29" s="979">
        <f t="shared" si="3"/>
        <v>1</v>
      </c>
      <c r="AB29" s="979">
        <f t="shared" si="4"/>
        <v>1</v>
      </c>
      <c r="AC29" s="979">
        <f t="shared" si="5"/>
        <v>1</v>
      </c>
    </row>
    <row r="30" spans="1:29" ht="27">
      <c r="A30" s="3448"/>
      <c r="B30" s="3532" t="s">
        <v>1733</v>
      </c>
      <c r="C30" s="3538">
        <f>估价对象房地状况!G22</f>
        <v>0</v>
      </c>
      <c r="D30" s="3162">
        <v>100</v>
      </c>
      <c r="E30" s="3089"/>
      <c r="F30" s="3138">
        <f>SUMIF(99:99,E31,100:100)-SUMIF(99:99,C31,100:100)+100</f>
        <v>100</v>
      </c>
      <c r="G30" s="3089"/>
      <c r="H30" s="3138">
        <f>SUMIF(99:99,G31,100:100)-SUMIF(99:99,C31,100:100)+100</f>
        <v>100</v>
      </c>
      <c r="I30" s="3095"/>
      <c r="J30" s="3138">
        <f>SUMIF(99:99,I31,100:100)-SUMIF(99:99,C31,100:100)+100</f>
        <v>100</v>
      </c>
      <c r="K30" s="463"/>
      <c r="L30" s="2074"/>
      <c r="M30" s="2069"/>
      <c r="N30" s="2069"/>
      <c r="O30" s="2124"/>
      <c r="P30" s="4530"/>
      <c r="Q30" s="1587" t="str">
        <f t="shared" si="8"/>
        <v>毗邻道路的类型与等级</v>
      </c>
      <c r="R30" s="3518" t="s">
        <v>13</v>
      </c>
      <c r="S30" s="3519">
        <f t="shared" si="10"/>
        <v>100</v>
      </c>
      <c r="T30" s="3518" t="s">
        <v>13</v>
      </c>
      <c r="U30" s="3519">
        <f t="shared" si="11"/>
        <v>100</v>
      </c>
      <c r="V30" s="3518" t="s">
        <v>13</v>
      </c>
      <c r="W30" s="3519">
        <f t="shared" si="12"/>
        <v>100</v>
      </c>
      <c r="X30" s="981"/>
      <c r="Y30" s="4483"/>
      <c r="Z30" s="979" t="str">
        <f t="shared" si="13"/>
        <v>毗邻道路的类型与等级</v>
      </c>
      <c r="AA30" s="979">
        <f t="shared" si="3"/>
        <v>1</v>
      </c>
      <c r="AB30" s="979">
        <f t="shared" si="4"/>
        <v>1</v>
      </c>
      <c r="AC30" s="979">
        <f t="shared" si="5"/>
        <v>1</v>
      </c>
    </row>
    <row r="31" spans="1:29" ht="15">
      <c r="A31" s="3448"/>
      <c r="B31" s="3531"/>
      <c r="C31" s="3064"/>
      <c r="D31" s="3161"/>
      <c r="E31" s="3114"/>
      <c r="F31" s="3137"/>
      <c r="G31" s="3114"/>
      <c r="H31" s="3137"/>
      <c r="I31" s="3114"/>
      <c r="J31" s="3137"/>
      <c r="K31" s="416"/>
      <c r="L31" s="2074"/>
      <c r="M31" s="2069"/>
      <c r="N31" s="2069"/>
      <c r="O31" s="2124"/>
      <c r="P31" s="4530"/>
      <c r="Q31" s="1587"/>
      <c r="R31" s="3518"/>
      <c r="S31" s="3519"/>
      <c r="T31" s="3518"/>
      <c r="U31" s="3519"/>
      <c r="V31" s="3518"/>
      <c r="W31" s="3519"/>
      <c r="X31" s="981"/>
      <c r="Y31" s="4483"/>
      <c r="Z31" s="979"/>
      <c r="AA31" s="979">
        <v>1</v>
      </c>
      <c r="AB31" s="979">
        <v>1</v>
      </c>
      <c r="AC31" s="979">
        <v>1</v>
      </c>
    </row>
    <row r="32" spans="1:29" ht="15">
      <c r="A32" s="3448"/>
      <c r="B32" s="3533" t="s">
        <v>1791</v>
      </c>
      <c r="C32" s="3453">
        <f>估价对象房地状况!G23</f>
        <v>0</v>
      </c>
      <c r="D32" s="3158">
        <v>100</v>
      </c>
      <c r="E32" s="3472"/>
      <c r="F32" s="3134">
        <f>SUMIF(101:101,E32,102:102)-SUMIF(101:101,C32,102:102)+100</f>
        <v>100</v>
      </c>
      <c r="G32" s="3472"/>
      <c r="H32" s="3134">
        <f>SUMIF(101:101,G32,102:102)-SUMIF(101:101,C32,102:102)+100</f>
        <v>100</v>
      </c>
      <c r="I32" s="3472"/>
      <c r="J32" s="3134">
        <f>SUMIF(101:101,I32,102:102)-SUMIF(101:101,C32,102:102)+100</f>
        <v>100</v>
      </c>
      <c r="K32" s="415"/>
      <c r="L32" s="2074"/>
      <c r="M32" s="2069"/>
      <c r="N32" s="2069"/>
      <c r="O32" s="2124"/>
      <c r="P32" s="4530"/>
      <c r="Q32" s="1587" t="str">
        <f t="shared" si="8"/>
        <v>土地级别</v>
      </c>
      <c r="R32" s="3518" t="s">
        <v>13</v>
      </c>
      <c r="S32" s="3519">
        <f t="shared" si="10"/>
        <v>100</v>
      </c>
      <c r="T32" s="3518" t="s">
        <v>13</v>
      </c>
      <c r="U32" s="3519">
        <f t="shared" si="11"/>
        <v>100</v>
      </c>
      <c r="V32" s="3518" t="s">
        <v>13</v>
      </c>
      <c r="W32" s="3519">
        <f t="shared" si="12"/>
        <v>100</v>
      </c>
      <c r="X32" s="981"/>
      <c r="Y32" s="4483"/>
      <c r="Z32" s="979" t="str">
        <f t="shared" si="13"/>
        <v>土地级别</v>
      </c>
      <c r="AA32" s="979">
        <f t="shared" si="3"/>
        <v>1</v>
      </c>
      <c r="AB32" s="979">
        <f t="shared" si="4"/>
        <v>1</v>
      </c>
      <c r="AC32" s="979">
        <f t="shared" si="5"/>
        <v>1</v>
      </c>
    </row>
    <row r="33" spans="1:31" ht="15">
      <c r="A33" s="3452"/>
      <c r="B33" s="3534">
        <v>111</v>
      </c>
      <c r="C33" s="3456"/>
      <c r="D33" s="3158">
        <v>100</v>
      </c>
      <c r="E33" s="3473"/>
      <c r="F33" s="3134">
        <f>SUMIF(103:103,E33,104:104)-SUMIF(103:103,C33,104:104)+100</f>
        <v>100</v>
      </c>
      <c r="G33" s="3473"/>
      <c r="H33" s="3134">
        <f>SUMIF(103:103,G33,104:104)-SUMIF(103:103,C33,104:104)+100</f>
        <v>100</v>
      </c>
      <c r="I33" s="3470"/>
      <c r="J33" s="3134">
        <f>SUMIF(103:103,I33,104:104)-SUMIF(103:103,C33,104:104)+100</f>
        <v>100</v>
      </c>
      <c r="K33" s="416"/>
      <c r="L33" s="2074"/>
      <c r="M33" s="2069"/>
      <c r="N33" s="2069"/>
      <c r="O33" s="2124"/>
      <c r="P33" s="4530"/>
      <c r="Q33" s="1587">
        <f t="shared" si="8"/>
        <v>111</v>
      </c>
      <c r="R33" s="3518" t="s">
        <v>13</v>
      </c>
      <c r="S33" s="3519">
        <f t="shared" si="10"/>
        <v>100</v>
      </c>
      <c r="T33" s="3518" t="s">
        <v>13</v>
      </c>
      <c r="U33" s="3519">
        <f t="shared" si="11"/>
        <v>100</v>
      </c>
      <c r="V33" s="3518" t="s">
        <v>13</v>
      </c>
      <c r="W33" s="3519">
        <f t="shared" si="12"/>
        <v>100</v>
      </c>
      <c r="X33" s="981"/>
      <c r="Y33" s="4483"/>
      <c r="Z33" s="979">
        <f t="shared" si="13"/>
        <v>111</v>
      </c>
      <c r="AA33" s="979">
        <f t="shared" si="3"/>
        <v>1</v>
      </c>
      <c r="AB33" s="979">
        <f t="shared" si="4"/>
        <v>1</v>
      </c>
      <c r="AC33" s="979">
        <f t="shared" si="5"/>
        <v>1</v>
      </c>
    </row>
    <row r="34" spans="1:31" ht="15">
      <c r="A34" s="3457"/>
      <c r="B34" s="3535">
        <v>111</v>
      </c>
      <c r="C34" s="3456"/>
      <c r="D34" s="3158">
        <v>100</v>
      </c>
      <c r="E34" s="3473"/>
      <c r="F34" s="3134">
        <f>SUMIF(105:105,E35,106:106)-SUMIF(105:105,C35,106:106)+100</f>
        <v>100</v>
      </c>
      <c r="G34" s="3473"/>
      <c r="H34" s="3134">
        <f>SUMIF(105:105,G34,106:106)-SUMIF(105:105,C34,106:106)+100</f>
        <v>100</v>
      </c>
      <c r="I34" s="3456"/>
      <c r="J34" s="3134">
        <f>SUMIF(105:105,I34,106:106)-SUMIF(105:105,C34,106:106)+100</f>
        <v>100</v>
      </c>
      <c r="K34" s="416"/>
      <c r="L34" s="2074"/>
      <c r="M34" s="2069"/>
      <c r="N34" s="2069"/>
      <c r="O34" s="2124"/>
      <c r="P34" s="4531" t="s">
        <v>1614</v>
      </c>
      <c r="Q34" s="1587">
        <f t="shared" si="8"/>
        <v>111</v>
      </c>
      <c r="R34" s="3518" t="s">
        <v>13</v>
      </c>
      <c r="S34" s="3519">
        <f t="shared" si="10"/>
        <v>100</v>
      </c>
      <c r="T34" s="3518" t="s">
        <v>13</v>
      </c>
      <c r="U34" s="3519">
        <f t="shared" si="11"/>
        <v>100</v>
      </c>
      <c r="V34" s="3518" t="s">
        <v>13</v>
      </c>
      <c r="W34" s="3519">
        <f t="shared" si="12"/>
        <v>100</v>
      </c>
      <c r="X34" s="981"/>
      <c r="Y34" s="4487" t="s">
        <v>1614</v>
      </c>
      <c r="Z34" s="979">
        <f t="shared" si="13"/>
        <v>111</v>
      </c>
      <c r="AA34" s="979">
        <f t="shared" si="3"/>
        <v>1</v>
      </c>
      <c r="AB34" s="979">
        <f t="shared" si="4"/>
        <v>1</v>
      </c>
      <c r="AC34" s="979">
        <f t="shared" si="5"/>
        <v>1</v>
      </c>
    </row>
    <row r="35" spans="1:31" s="297" customFormat="1" ht="15.75" thickBot="1">
      <c r="A35" s="3459"/>
      <c r="B35" s="3536">
        <v>111</v>
      </c>
      <c r="C35" s="3461"/>
      <c r="D35" s="3468">
        <v>100</v>
      </c>
      <c r="E35" s="3474"/>
      <c r="F35" s="3135">
        <f>SUMIF(107:107,E35,108:108)-SUMIF(107:107,C35,108:108)+100</f>
        <v>100</v>
      </c>
      <c r="G35" s="3474"/>
      <c r="H35" s="3135">
        <f>SUMIF(107:107,G35,108:108)-SUMIF(107:107,C35,108:108)+100</f>
        <v>100</v>
      </c>
      <c r="I35" s="3461"/>
      <c r="J35" s="3135">
        <f>SUMIF(107:107,I35,108:108)-SUMIF(107:107,C35,108:108)+100</f>
        <v>100</v>
      </c>
      <c r="K35" s="416"/>
      <c r="L35" s="2073"/>
      <c r="M35" s="2075"/>
      <c r="N35" s="2075"/>
      <c r="O35" s="2125"/>
      <c r="P35" s="4532"/>
      <c r="Q35" s="1587">
        <f t="shared" si="8"/>
        <v>111</v>
      </c>
      <c r="R35" s="3520" t="s">
        <v>13</v>
      </c>
      <c r="S35" s="3521">
        <f t="shared" si="10"/>
        <v>100</v>
      </c>
      <c r="T35" s="3520" t="s">
        <v>13</v>
      </c>
      <c r="U35" s="3521">
        <f t="shared" si="11"/>
        <v>100</v>
      </c>
      <c r="V35" s="3520" t="s">
        <v>13</v>
      </c>
      <c r="W35" s="3521">
        <f t="shared" si="12"/>
        <v>100</v>
      </c>
      <c r="X35" s="517"/>
      <c r="Y35" s="4487"/>
      <c r="Z35" s="518">
        <f t="shared" si="13"/>
        <v>111</v>
      </c>
      <c r="AA35" s="979">
        <f t="shared" si="3"/>
        <v>1</v>
      </c>
      <c r="AB35" s="979">
        <f t="shared" si="4"/>
        <v>1</v>
      </c>
      <c r="AC35" s="979">
        <f t="shared" si="5"/>
        <v>1</v>
      </c>
    </row>
    <row r="36" spans="1:31" ht="15">
      <c r="A36" s="3451" t="s">
        <v>1612</v>
      </c>
      <c r="B36" s="3041" t="s">
        <v>1792</v>
      </c>
      <c r="C36" s="3463"/>
      <c r="D36" s="3165">
        <v>100</v>
      </c>
      <c r="E36" s="3463"/>
      <c r="F36" s="3141" t="e">
        <f>LOOKUP(E36,110:110,111:111)-LOOKUP(C36,110:110,111:111)+100</f>
        <v>#N/A</v>
      </c>
      <c r="G36" s="3463"/>
      <c r="H36" s="3141" t="e">
        <f>LOOKUP(G36,110:110,111:111)-LOOKUP(C36,110:110,111:111)+100</f>
        <v>#N/A</v>
      </c>
      <c r="I36" s="3476"/>
      <c r="J36" s="3141" t="e">
        <f>LOOKUP(I36,110:110,111:111)-LOOKUP(C36,110:110,111:111)+100</f>
        <v>#N/A</v>
      </c>
      <c r="K36" s="416"/>
      <c r="L36" s="2074"/>
      <c r="M36" s="2069"/>
      <c r="N36" s="2069"/>
      <c r="O36" s="2124"/>
      <c r="P36" s="4532"/>
      <c r="Q36" s="1587" t="str">
        <f>B36</f>
        <v>宗地面积</v>
      </c>
      <c r="R36" s="3518" t="s">
        <v>13</v>
      </c>
      <c r="S36" s="3519" t="e">
        <f t="shared" si="10"/>
        <v>#N/A</v>
      </c>
      <c r="T36" s="3518" t="s">
        <v>13</v>
      </c>
      <c r="U36" s="3519" t="e">
        <f t="shared" si="11"/>
        <v>#N/A</v>
      </c>
      <c r="V36" s="3518" t="s">
        <v>13</v>
      </c>
      <c r="W36" s="3519" t="e">
        <f t="shared" si="12"/>
        <v>#N/A</v>
      </c>
      <c r="X36" s="981"/>
      <c r="Y36" s="4487"/>
      <c r="Z36" s="979" t="str">
        <f t="shared" si="13"/>
        <v>宗地面积</v>
      </c>
      <c r="AA36" s="979" t="e">
        <f t="shared" si="3"/>
        <v>#N/A</v>
      </c>
      <c r="AB36" s="979" t="e">
        <f t="shared" si="4"/>
        <v>#N/A</v>
      </c>
      <c r="AC36" s="979" t="e">
        <f t="shared" si="5"/>
        <v>#N/A</v>
      </c>
    </row>
    <row r="37" spans="1:31" ht="15">
      <c r="A37" s="3462"/>
      <c r="B37" s="3030" t="s">
        <v>1793</v>
      </c>
      <c r="C37" s="3070"/>
      <c r="D37" s="3158">
        <v>100</v>
      </c>
      <c r="E37" s="3070"/>
      <c r="F37" s="3134">
        <f>SUMIF(112:112,E37,113:113)-SUMIF(112:112,C37,113:113)+100</f>
        <v>100</v>
      </c>
      <c r="G37" s="3070"/>
      <c r="H37" s="3134">
        <f>SUMIF(112:112,G37,113:113)-SUMIF(112:112,C37,113:113)+100</f>
        <v>100</v>
      </c>
      <c r="I37" s="3070"/>
      <c r="J37" s="3134">
        <f>SUMIF(112:112,I37,113:113)-SUMIF(112:112,C37,113:113)+100</f>
        <v>100</v>
      </c>
      <c r="K37" s="415"/>
      <c r="L37" s="2074"/>
      <c r="M37" s="2069"/>
      <c r="N37" s="2069"/>
      <c r="O37" s="2124"/>
      <c r="P37" s="4532"/>
      <c r="Q37" s="1587" t="str">
        <f t="shared" ref="Q37:Q42" si="14">B37</f>
        <v>宗地形状</v>
      </c>
      <c r="R37" s="3518" t="s">
        <v>13</v>
      </c>
      <c r="S37" s="3519">
        <f t="shared" si="10"/>
        <v>100</v>
      </c>
      <c r="T37" s="3518" t="s">
        <v>13</v>
      </c>
      <c r="U37" s="3519">
        <f t="shared" si="11"/>
        <v>100</v>
      </c>
      <c r="V37" s="3518" t="s">
        <v>13</v>
      </c>
      <c r="W37" s="3519">
        <f t="shared" si="12"/>
        <v>100</v>
      </c>
      <c r="X37" s="981"/>
      <c r="Y37" s="4487"/>
      <c r="Z37" s="979" t="str">
        <f t="shared" si="13"/>
        <v>宗地形状</v>
      </c>
      <c r="AA37" s="979">
        <f t="shared" si="3"/>
        <v>1</v>
      </c>
      <c r="AB37" s="979">
        <f t="shared" si="4"/>
        <v>1</v>
      </c>
      <c r="AC37" s="979">
        <f t="shared" si="5"/>
        <v>1</v>
      </c>
    </row>
    <row r="38" spans="1:31" s="61" customFormat="1" ht="15">
      <c r="A38" s="3464"/>
      <c r="B38" s="3030" t="s">
        <v>1795</v>
      </c>
      <c r="C38" s="3465"/>
      <c r="D38" s="3156">
        <v>100</v>
      </c>
      <c r="E38" s="3465"/>
      <c r="F38" s="3134">
        <f>SUMIF(114:114,E38,115:115)-SUMIF(114:114,C38,115:115)+100</f>
        <v>100</v>
      </c>
      <c r="G38" s="3465"/>
      <c r="H38" s="3134">
        <f>SUMIF(114:114,G38,115:115)-SUMIF(114:114,C38,115:115)+100</f>
        <v>100</v>
      </c>
      <c r="I38" s="3465"/>
      <c r="J38" s="3134">
        <f>SUMIF(114:114,I38,115:115)-SUMIF(114:114,C38,115:115)+100</f>
        <v>100</v>
      </c>
      <c r="K38" s="415"/>
      <c r="L38" s="2070"/>
      <c r="M38" s="2021"/>
      <c r="N38" s="2021"/>
      <c r="O38" s="2122"/>
      <c r="P38" s="4532"/>
      <c r="Q38" s="1587" t="str">
        <f t="shared" si="14"/>
        <v>宗地开发程度</v>
      </c>
      <c r="R38" s="3516" t="s">
        <v>13</v>
      </c>
      <c r="S38" s="3517">
        <f t="shared" si="10"/>
        <v>100</v>
      </c>
      <c r="T38" s="3516" t="s">
        <v>13</v>
      </c>
      <c r="U38" s="3517">
        <f t="shared" si="11"/>
        <v>100</v>
      </c>
      <c r="V38" s="3516" t="s">
        <v>13</v>
      </c>
      <c r="W38" s="3517">
        <f t="shared" si="12"/>
        <v>100</v>
      </c>
      <c r="X38" s="512"/>
      <c r="Y38" s="4487"/>
      <c r="Z38" s="41" t="str">
        <f t="shared" si="13"/>
        <v>宗地开发程度</v>
      </c>
      <c r="AA38" s="41">
        <f t="shared" si="3"/>
        <v>1</v>
      </c>
      <c r="AB38" s="41">
        <f t="shared" si="4"/>
        <v>1</v>
      </c>
      <c r="AC38" s="41">
        <f t="shared" si="5"/>
        <v>1</v>
      </c>
    </row>
    <row r="39" spans="1:31" ht="15">
      <c r="A39" s="3462"/>
      <c r="B39" s="3030" t="s">
        <v>1796</v>
      </c>
      <c r="C39" s="3070"/>
      <c r="D39" s="3158">
        <v>100</v>
      </c>
      <c r="E39" s="3070"/>
      <c r="F39" s="3134">
        <f>SUMIF(116:116,E39,117:117)-SUMIF(116:116,C39,117:117)+100</f>
        <v>100</v>
      </c>
      <c r="G39" s="3070"/>
      <c r="H39" s="3134">
        <f>SUMIF(116:116,G39,117:117)-SUMIF(116:116,C39,117:117)+100</f>
        <v>100</v>
      </c>
      <c r="I39" s="3070"/>
      <c r="J39" s="3134">
        <f>SUMIF(116:116,I39,117:117)-SUMIF(116:116,C39,117:117)+100</f>
        <v>100</v>
      </c>
      <c r="K39" s="415"/>
      <c r="L39" s="2074"/>
      <c r="M39" s="2069"/>
      <c r="N39" s="2069"/>
      <c r="O39" s="2124"/>
      <c r="P39" s="4532" t="s">
        <v>1614</v>
      </c>
      <c r="Q39" s="1587" t="str">
        <f t="shared" si="14"/>
        <v>工程地质条件</v>
      </c>
      <c r="R39" s="3518" t="s">
        <v>13</v>
      </c>
      <c r="S39" s="3519">
        <f t="shared" si="10"/>
        <v>100</v>
      </c>
      <c r="T39" s="3518" t="s">
        <v>13</v>
      </c>
      <c r="U39" s="3519">
        <f t="shared" si="11"/>
        <v>100</v>
      </c>
      <c r="V39" s="3518" t="s">
        <v>13</v>
      </c>
      <c r="W39" s="3519">
        <f t="shared" si="12"/>
        <v>100</v>
      </c>
      <c r="X39" s="981"/>
      <c r="Y39" s="4487" t="s">
        <v>1614</v>
      </c>
      <c r="Z39" s="979" t="str">
        <f t="shared" si="13"/>
        <v>工程地质条件</v>
      </c>
      <c r="AA39" s="979">
        <f t="shared" si="3"/>
        <v>1</v>
      </c>
      <c r="AB39" s="979">
        <f t="shared" si="4"/>
        <v>1</v>
      </c>
      <c r="AC39" s="979">
        <f t="shared" si="5"/>
        <v>1</v>
      </c>
    </row>
    <row r="40" spans="1:31" ht="15">
      <c r="A40" s="3462"/>
      <c r="B40" s="3458">
        <v>111</v>
      </c>
      <c r="C40" s="3456"/>
      <c r="D40" s="3158">
        <v>100</v>
      </c>
      <c r="E40" s="3456"/>
      <c r="F40" s="3134">
        <f>SUMIF(118:118,E40,119:119)-SUMIF(118:118,C40,119:119)+100</f>
        <v>100</v>
      </c>
      <c r="G40" s="3456"/>
      <c r="H40" s="3134">
        <f>SUMIF(118:118,G40,119:119)-SUMIF(118:118,C40,119:119)+100</f>
        <v>100</v>
      </c>
      <c r="I40" s="3470"/>
      <c r="J40" s="3134">
        <f>SUMIF(118:118,I40,119:119)-SUMIF(118:118,C40,119:119)+100</f>
        <v>100</v>
      </c>
      <c r="K40" s="416"/>
      <c r="L40" s="2074"/>
      <c r="M40" s="2069"/>
      <c r="N40" s="2069"/>
      <c r="O40" s="2124"/>
      <c r="P40" s="4532"/>
      <c r="Q40" s="1587">
        <f t="shared" si="14"/>
        <v>111</v>
      </c>
      <c r="R40" s="3518" t="s">
        <v>13</v>
      </c>
      <c r="S40" s="3519">
        <f t="shared" si="10"/>
        <v>100</v>
      </c>
      <c r="T40" s="3518" t="s">
        <v>13</v>
      </c>
      <c r="U40" s="3519">
        <f t="shared" si="11"/>
        <v>100</v>
      </c>
      <c r="V40" s="3518" t="s">
        <v>13</v>
      </c>
      <c r="W40" s="3519">
        <f t="shared" si="12"/>
        <v>100</v>
      </c>
      <c r="X40" s="981"/>
      <c r="Y40" s="4487"/>
      <c r="Z40" s="979">
        <f t="shared" si="13"/>
        <v>111</v>
      </c>
      <c r="AA40" s="979">
        <f t="shared" si="3"/>
        <v>1</v>
      </c>
      <c r="AB40" s="979">
        <f t="shared" si="4"/>
        <v>1</v>
      </c>
      <c r="AC40" s="979">
        <f t="shared" si="5"/>
        <v>1</v>
      </c>
    </row>
    <row r="41" spans="1:31" ht="15">
      <c r="A41" s="3462"/>
      <c r="B41" s="3458">
        <v>111</v>
      </c>
      <c r="C41" s="3456"/>
      <c r="D41" s="3158">
        <v>100</v>
      </c>
      <c r="E41" s="3456"/>
      <c r="F41" s="3134">
        <f>SUMIF(120:120,E41,121:121)-SUMIF(120:120,C41,121:121)+100</f>
        <v>100</v>
      </c>
      <c r="G41" s="3456"/>
      <c r="H41" s="3134">
        <f>SUMIF(120:120,G41,121:121)-SUMIF(120:120,C41,121:121)+100</f>
        <v>100</v>
      </c>
      <c r="I41" s="3470"/>
      <c r="J41" s="3134">
        <f>SUMIF(120:120,I41,121:121)-SUMIF(120:120,C41,121:121)+100</f>
        <v>100</v>
      </c>
      <c r="K41" s="416"/>
      <c r="L41" s="2074"/>
      <c r="M41" s="2069"/>
      <c r="N41" s="2069"/>
      <c r="O41" s="2124"/>
      <c r="P41" s="4532"/>
      <c r="Q41" s="1587">
        <f t="shared" si="14"/>
        <v>111</v>
      </c>
      <c r="R41" s="3518" t="s">
        <v>13</v>
      </c>
      <c r="S41" s="3519">
        <f t="shared" si="10"/>
        <v>100</v>
      </c>
      <c r="T41" s="3518" t="s">
        <v>13</v>
      </c>
      <c r="U41" s="3519">
        <f t="shared" si="11"/>
        <v>100</v>
      </c>
      <c r="V41" s="3518" t="s">
        <v>13</v>
      </c>
      <c r="W41" s="3519">
        <f t="shared" si="12"/>
        <v>100</v>
      </c>
      <c r="X41" s="981"/>
      <c r="Y41" s="4487"/>
      <c r="Z41" s="979">
        <f t="shared" si="13"/>
        <v>111</v>
      </c>
      <c r="AA41" s="979">
        <f t="shared" si="3"/>
        <v>1</v>
      </c>
      <c r="AB41" s="979">
        <f t="shared" si="4"/>
        <v>1</v>
      </c>
      <c r="AC41" s="979">
        <f t="shared" si="5"/>
        <v>1</v>
      </c>
    </row>
    <row r="42" spans="1:31" s="297" customFormat="1" ht="15.75" thickBot="1">
      <c r="A42" s="3466"/>
      <c r="B42" s="3458">
        <v>111</v>
      </c>
      <c r="C42" s="3467"/>
      <c r="D42" s="3468">
        <v>100</v>
      </c>
      <c r="E42" s="3456"/>
      <c r="F42" s="3135">
        <f>SUMIF(122:122,E42,123:123)-SUMIF(122:122,C42,123:123)+100</f>
        <v>100</v>
      </c>
      <c r="G42" s="3456"/>
      <c r="H42" s="3135">
        <f>SUMIF(122:122,G42,123:123)-SUMIF(122:122,C42,123:123)+100</f>
        <v>100</v>
      </c>
      <c r="I42" s="3470"/>
      <c r="J42" s="3135">
        <f>SUMIF(122:122,I42,123:123)-SUMIF(122:122,C42,123:123)+100</f>
        <v>100</v>
      </c>
      <c r="K42" s="466"/>
      <c r="L42" s="2073"/>
      <c r="M42" s="2075"/>
      <c r="N42" s="2075"/>
      <c r="O42" s="2125"/>
      <c r="P42" s="4532"/>
      <c r="Q42" s="1587">
        <f t="shared" si="14"/>
        <v>111</v>
      </c>
      <c r="R42" s="3520" t="s">
        <v>13</v>
      </c>
      <c r="S42" s="3521">
        <f t="shared" si="10"/>
        <v>100</v>
      </c>
      <c r="T42" s="3520" t="s">
        <v>13</v>
      </c>
      <c r="U42" s="3521">
        <f t="shared" si="11"/>
        <v>100</v>
      </c>
      <c r="V42" s="3520" t="s">
        <v>13</v>
      </c>
      <c r="W42" s="3521">
        <f t="shared" si="12"/>
        <v>100</v>
      </c>
      <c r="X42" s="517"/>
      <c r="Y42" s="4487"/>
      <c r="Z42" s="518">
        <f t="shared" si="13"/>
        <v>111</v>
      </c>
      <c r="AA42" s="979">
        <f t="shared" si="3"/>
        <v>1</v>
      </c>
      <c r="AB42" s="979">
        <f t="shared" si="4"/>
        <v>1</v>
      </c>
      <c r="AC42" s="979">
        <f t="shared" si="5"/>
        <v>1</v>
      </c>
    </row>
    <row r="43" spans="1:31" ht="15">
      <c r="A43" s="304" t="s">
        <v>1762</v>
      </c>
      <c r="B43" s="1510" t="s">
        <v>1840</v>
      </c>
      <c r="C43" s="467" t="s">
        <v>0</v>
      </c>
      <c r="D43" s="3539"/>
      <c r="E43" s="3509"/>
      <c r="F43" s="3510"/>
      <c r="G43" s="3511"/>
      <c r="H43" s="3512"/>
      <c r="I43" s="3509"/>
      <c r="J43" s="3512"/>
      <c r="K43" s="3106"/>
      <c r="L43" s="2076"/>
      <c r="M43" s="2069"/>
      <c r="N43" s="2069"/>
      <c r="O43" s="2069"/>
      <c r="P43" s="4480" t="str">
        <f>A43</f>
        <v>成交单价</v>
      </c>
      <c r="Q43" s="4480"/>
      <c r="R43" s="4481">
        <f>E43</f>
        <v>0</v>
      </c>
      <c r="S43" s="4481"/>
      <c r="T43" s="4481">
        <f>G43</f>
        <v>0</v>
      </c>
      <c r="U43" s="4481"/>
      <c r="V43" s="4481">
        <f>I43</f>
        <v>0</v>
      </c>
      <c r="W43" s="4481"/>
      <c r="X43" s="283"/>
      <c r="Y43" s="519"/>
      <c r="Z43" s="283"/>
      <c r="AA43" s="283"/>
      <c r="AB43" s="283"/>
      <c r="AC43" s="283"/>
    </row>
    <row r="44" spans="1:31" ht="15.75" thickBot="1">
      <c r="A44" s="307" t="s">
        <v>1711</v>
      </c>
      <c r="B44" s="468"/>
      <c r="C44" s="3513" t="e">
        <f>R45</f>
        <v>#DIV/0!</v>
      </c>
      <c r="D44" s="3540" t="s">
        <v>2054</v>
      </c>
      <c r="E44" s="3513" t="e">
        <f>R44</f>
        <v>#DIV/0!</v>
      </c>
      <c r="F44" s="3044"/>
      <c r="G44" s="3514" t="e">
        <f>T44</f>
        <v>#DIV/0!</v>
      </c>
      <c r="H44" s="3044"/>
      <c r="I44" s="3513" t="e">
        <f>V44</f>
        <v>#DIV/0!</v>
      </c>
      <c r="J44" s="3044"/>
      <c r="K44" s="3099">
        <f>F44+H44+J44</f>
        <v>0</v>
      </c>
      <c r="L44" s="2076"/>
      <c r="M44" s="2069"/>
      <c r="N44" s="2069"/>
      <c r="O44" s="2069"/>
      <c r="P44" s="4480" t="str">
        <f>A44</f>
        <v>比较价值（元/平方米）</v>
      </c>
      <c r="Q44" s="4480"/>
      <c r="R44" s="4546" t="e">
        <f>ROUND(PRODUCT(R43,AA9:AA42),0)</f>
        <v>#DIV/0!</v>
      </c>
      <c r="S44" s="4546"/>
      <c r="T44" s="4546" t="e">
        <f>ROUND(PRODUCT(T43,AB9:AB42),0)</f>
        <v>#DIV/0!</v>
      </c>
      <c r="U44" s="4546"/>
      <c r="V44" s="4546" t="e">
        <f>ROUND(PRODUCT(V43,AC9:AC42),0)</f>
        <v>#DIV/0!</v>
      </c>
      <c r="W44" s="4546"/>
      <c r="X44" s="283"/>
      <c r="Y44" s="283"/>
      <c r="Z44" s="283"/>
      <c r="AA44" s="283"/>
      <c r="AB44" s="283"/>
      <c r="AC44" s="283"/>
    </row>
    <row r="45" spans="1:31" ht="15.75" thickBot="1">
      <c r="A45" s="309" t="s">
        <v>1712</v>
      </c>
      <c r="B45" s="310"/>
      <c r="C45" s="3515" t="e">
        <f>R45</f>
        <v>#DIV/0!</v>
      </c>
      <c r="D45" s="3515"/>
      <c r="E45" s="3515"/>
      <c r="F45" s="3515"/>
      <c r="G45" s="3515"/>
      <c r="H45" s="3515"/>
      <c r="I45" s="3515"/>
      <c r="J45" s="3515"/>
      <c r="K45" s="3541"/>
      <c r="L45" s="2076"/>
      <c r="M45" s="2069"/>
      <c r="N45" s="2069"/>
      <c r="O45" s="2069"/>
      <c r="P45" s="4477" t="str">
        <f>A45</f>
        <v>估价对象XX用房的比较价值（楼面单价，元/平方米）</v>
      </c>
      <c r="Q45" s="4478"/>
      <c r="R45" s="4547" t="e">
        <f>ROUND(IF(D44="简单平均",AVERAGE(R44:W44),R44*F44+T44*H44+V44*J44),0)</f>
        <v>#DIV/0!</v>
      </c>
      <c r="S45" s="4547"/>
      <c r="T45" s="4547"/>
      <c r="U45" s="4547"/>
      <c r="V45" s="4547"/>
      <c r="W45" s="4547"/>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3.5" customHeight="1">
      <c r="A48" s="2069"/>
      <c r="B48" s="2069"/>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3.5" customHeight="1">
      <c r="A49" s="2069"/>
      <c r="B49" s="2069"/>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3.5" customHeight="1">
      <c r="A50" s="2079"/>
      <c r="B50" s="2079"/>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1799</v>
      </c>
      <c r="B52" s="470" t="s">
        <v>1800</v>
      </c>
      <c r="C52" s="1511" t="s">
        <v>1801</v>
      </c>
      <c r="D52" s="1512" t="s">
        <v>1802</v>
      </c>
      <c r="E52" s="471" t="s">
        <v>1803</v>
      </c>
      <c r="F52" s="472" t="s">
        <v>1804</v>
      </c>
      <c r="G52" s="4506" t="s">
        <v>1805</v>
      </c>
      <c r="H52" s="4548"/>
      <c r="I52" s="3379" t="s">
        <v>1841</v>
      </c>
      <c r="J52" s="3379">
        <f>项目基本情况!F35</f>
        <v>0</v>
      </c>
      <c r="K52" s="1514" t="s">
        <v>1807</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1808</v>
      </c>
      <c r="B53" s="3416" t="e">
        <f>C45</f>
        <v>#DIV/0!</v>
      </c>
      <c r="C53" s="3443">
        <v>1</v>
      </c>
      <c r="D53" s="3420">
        <v>1</v>
      </c>
      <c r="E53" s="3419">
        <f>'数据-汇总表'!E8+'数据-汇总表'!E9</f>
        <v>1048.8</v>
      </c>
      <c r="F53" s="3422" t="e">
        <f t="shared" ref="F53:F62" si="15">ROUND(B53*E53/10000,0)</f>
        <v>#DIV/0!</v>
      </c>
      <c r="G53" s="4549"/>
      <c r="H53" s="4534"/>
      <c r="I53" s="2949">
        <v>1</v>
      </c>
      <c r="J53" s="2949">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1809</v>
      </c>
      <c r="B54" s="3417" t="e">
        <f>ROUND($C$45*C54*D54,0)</f>
        <v>#DIV/0!</v>
      </c>
      <c r="C54" s="3418">
        <f t="shared" ref="C54:C62" si="16">IF($C$52="北京市系数",I54,J54)</f>
        <v>0</v>
      </c>
      <c r="D54" s="3421">
        <v>0.25</v>
      </c>
      <c r="E54" s="3423"/>
      <c r="F54" s="3422" t="e">
        <f t="shared" si="15"/>
        <v>#DIV/0!</v>
      </c>
      <c r="G54" s="3430" t="s">
        <v>1810</v>
      </c>
      <c r="H54" s="3427">
        <f>项目基本情况!B37</f>
        <v>0</v>
      </c>
      <c r="I54" s="2949">
        <f>SUMIF(修正!A59:A70,H54,修正!B59:B70)</f>
        <v>0</v>
      </c>
      <c r="J54" s="3428"/>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1811</v>
      </c>
      <c r="B55" s="3417" t="e">
        <f t="shared" ref="B55:B62" si="17">ROUND($C$45*C55*D55,0)</f>
        <v>#DIV/0!</v>
      </c>
      <c r="C55" s="3418">
        <f t="shared" si="16"/>
        <v>0</v>
      </c>
      <c r="D55" s="3421">
        <v>0.25</v>
      </c>
      <c r="E55" s="3423"/>
      <c r="F55" s="3422" t="e">
        <f t="shared" si="15"/>
        <v>#DIV/0!</v>
      </c>
      <c r="G55" s="3431"/>
      <c r="H55" s="3427">
        <f>项目基本情况!B37</f>
        <v>0</v>
      </c>
      <c r="I55" s="2949">
        <f>SUMIF(修正!A59:A70,H55,修正!C59:C70)</f>
        <v>0</v>
      </c>
      <c r="J55" s="3428"/>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1812</v>
      </c>
      <c r="B56" s="3417" t="e">
        <f t="shared" si="17"/>
        <v>#DIV/0!</v>
      </c>
      <c r="C56" s="3418">
        <f t="shared" si="16"/>
        <v>0</v>
      </c>
      <c r="D56" s="3421">
        <v>0.25</v>
      </c>
      <c r="E56" s="3423"/>
      <c r="F56" s="3422" t="e">
        <f t="shared" si="15"/>
        <v>#DIV/0!</v>
      </c>
      <c r="G56" s="3431"/>
      <c r="H56" s="3427">
        <f>项目基本情况!B37</f>
        <v>0</v>
      </c>
      <c r="I56" s="2949">
        <f>SUMIF(修正!A59:A70,H56,修正!D59:D70)</f>
        <v>0</v>
      </c>
      <c r="J56" s="3428"/>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hidden="1">
      <c r="A57" s="475"/>
      <c r="B57" s="3417"/>
      <c r="C57" s="3418"/>
      <c r="D57" s="3421"/>
      <c r="E57" s="3423"/>
      <c r="F57" s="3422"/>
      <c r="G57" s="3432"/>
      <c r="H57" s="3427"/>
      <c r="I57" s="2949"/>
      <c r="J57" s="3428"/>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1813</v>
      </c>
      <c r="B58" s="3417" t="e">
        <f t="shared" si="17"/>
        <v>#DIV/0!</v>
      </c>
      <c r="C58" s="3418">
        <f t="shared" si="16"/>
        <v>0</v>
      </c>
      <c r="D58" s="3421">
        <v>0.25</v>
      </c>
      <c r="E58" s="3424">
        <f>'数据-汇总表'!E11</f>
        <v>0</v>
      </c>
      <c r="F58" s="3422" t="e">
        <f t="shared" si="15"/>
        <v>#DIV/0!</v>
      </c>
      <c r="G58" s="3433" t="s">
        <v>1814</v>
      </c>
      <c r="H58" s="3427">
        <f>项目基本情况!C37</f>
        <v>0</v>
      </c>
      <c r="I58" s="2949">
        <f>SUMIF(修正!A59:A70,H58,修正!E59:E70)</f>
        <v>0</v>
      </c>
      <c r="J58" s="3428"/>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1815</v>
      </c>
      <c r="B59" s="3417" t="e">
        <f t="shared" si="17"/>
        <v>#DIV/0!</v>
      </c>
      <c r="C59" s="3418">
        <f t="shared" si="16"/>
        <v>0</v>
      </c>
      <c r="D59" s="3421">
        <v>0.25</v>
      </c>
      <c r="E59" s="3424">
        <f>'数据-汇总表'!E12</f>
        <v>0</v>
      </c>
      <c r="F59" s="3422" t="e">
        <f t="shared" si="15"/>
        <v>#DIV/0!</v>
      </c>
      <c r="G59" s="3434" t="s">
        <v>1816</v>
      </c>
      <c r="H59" s="3427">
        <f>IF(G59="商业",项目基本情况!B37,IF(G59="办公",项目基本情况!C37,IF(G59="住宅",项目基本情况!D37,项目基本情况!E37)))</f>
        <v>0</v>
      </c>
      <c r="I59" s="2949">
        <f>SUMIF(修正!A59:A70,H59,修正!F59:F70)</f>
        <v>0</v>
      </c>
      <c r="J59" s="3428"/>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1817</v>
      </c>
      <c r="B60" s="3417" t="e">
        <f t="shared" si="17"/>
        <v>#DIV/0!</v>
      </c>
      <c r="C60" s="3418">
        <f t="shared" si="16"/>
        <v>0</v>
      </c>
      <c r="D60" s="3421">
        <v>0.25</v>
      </c>
      <c r="E60" s="3424">
        <f>'数据-汇总表'!E13</f>
        <v>0</v>
      </c>
      <c r="F60" s="3422" t="e">
        <f t="shared" si="15"/>
        <v>#DIV/0!</v>
      </c>
      <c r="G60" s="3434" t="s">
        <v>1818</v>
      </c>
      <c r="H60" s="3427">
        <f>IF(G60="商业",项目基本情况!B37,IF(G60="办公",项目基本情况!C37,IF(G60="住宅",项目基本情况!D37,项目基本情况!E37)))</f>
        <v>0</v>
      </c>
      <c r="I60" s="2949">
        <f>SUMIF(修正!A59:A70,H60,修正!G59:G70)</f>
        <v>0</v>
      </c>
      <c r="J60" s="3428"/>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1819</v>
      </c>
      <c r="B61" s="3417" t="e">
        <f t="shared" si="17"/>
        <v>#DIV/0!</v>
      </c>
      <c r="C61" s="3418">
        <f t="shared" si="16"/>
        <v>0</v>
      </c>
      <c r="D61" s="3421">
        <v>0.25</v>
      </c>
      <c r="E61" s="3424">
        <f>'数据-汇总表'!E14</f>
        <v>0</v>
      </c>
      <c r="F61" s="3422" t="e">
        <f t="shared" si="15"/>
        <v>#DIV/0!</v>
      </c>
      <c r="G61" s="3433" t="s">
        <v>1810</v>
      </c>
      <c r="H61" s="3427">
        <f>项目基本情况!B37</f>
        <v>0</v>
      </c>
      <c r="I61" s="2949">
        <f>SUMIF(修正!A59:A70,H61,修正!G59:G70)</f>
        <v>0</v>
      </c>
      <c r="J61" s="3428"/>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1820</v>
      </c>
      <c r="B62" s="3417" t="e">
        <f t="shared" si="17"/>
        <v>#DIV/0!</v>
      </c>
      <c r="C62" s="3418">
        <f t="shared" si="16"/>
        <v>0</v>
      </c>
      <c r="D62" s="3421">
        <v>0.25</v>
      </c>
      <c r="E62" s="3424">
        <f>'数据-汇总表'!E15</f>
        <v>0</v>
      </c>
      <c r="F62" s="3422" t="e">
        <f t="shared" si="15"/>
        <v>#DIV/0!</v>
      </c>
      <c r="G62" s="3435" t="s">
        <v>1814</v>
      </c>
      <c r="H62" s="3429">
        <f>项目基本情况!C37</f>
        <v>0</v>
      </c>
      <c r="I62" s="2949">
        <f>SUMIF(修正!A59:A70,H62,修正!G59:G70)</f>
        <v>0</v>
      </c>
      <c r="J62" s="3428"/>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1821</v>
      </c>
      <c r="B63" s="477" t="s">
        <v>20</v>
      </c>
      <c r="C63" s="477" t="s">
        <v>21</v>
      </c>
      <c r="D63" s="477" t="s">
        <v>386</v>
      </c>
      <c r="E63" s="3425">
        <f>IF(B43="楼面地价",SUM(E53:E62),'数据-汇总表'!D3)</f>
        <v>0</v>
      </c>
      <c r="F63" s="3426" t="e">
        <f>IF(B43="楼面地价",SUM(F53:F62),ROUND(C45*E63/10000,0))</f>
        <v>#DIV/0!</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1716</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1634</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1599</v>
      </c>
      <c r="B70" s="325"/>
      <c r="C70" s="337" t="s">
        <v>1694</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1637</v>
      </c>
      <c r="B72" s="340" t="s">
        <v>1603</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1606</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c r="D77" s="360"/>
      <c r="E77" s="360"/>
      <c r="F77" s="360"/>
      <c r="G77" s="360"/>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1608</v>
      </c>
      <c r="B85" s="340" t="s">
        <v>1747</v>
      </c>
      <c r="C85" s="382" t="s">
        <v>1639</v>
      </c>
      <c r="D85" s="382" t="s">
        <v>1640</v>
      </c>
      <c r="E85" s="382" t="s">
        <v>1641</v>
      </c>
      <c r="F85" s="382" t="s">
        <v>1642</v>
      </c>
      <c r="G85" s="382" t="s">
        <v>1643</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100</v>
      </c>
      <c r="E86" s="355">
        <f>D86-$K17</f>
        <v>100</v>
      </c>
      <c r="F86" s="355">
        <f>E86-$K17</f>
        <v>100</v>
      </c>
      <c r="G86" s="355">
        <f>F86-$K17</f>
        <v>100</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1644</v>
      </c>
      <c r="C87" s="386" t="s">
        <v>1639</v>
      </c>
      <c r="D87" s="386" t="s">
        <v>1640</v>
      </c>
      <c r="E87" s="386" t="s">
        <v>1641</v>
      </c>
      <c r="F87" s="386" t="s">
        <v>1642</v>
      </c>
      <c r="G87" s="386" t="s">
        <v>1643</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100</v>
      </c>
      <c r="E88" s="355">
        <f>D88-$K19</f>
        <v>100</v>
      </c>
      <c r="F88" s="355">
        <f>E88-$K19</f>
        <v>100</v>
      </c>
      <c r="G88" s="355">
        <f>F88-$K19</f>
        <v>100</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1825</v>
      </c>
      <c r="C89" s="382" t="s">
        <v>1639</v>
      </c>
      <c r="D89" s="382" t="s">
        <v>1640</v>
      </c>
      <c r="E89" s="382" t="s">
        <v>1641</v>
      </c>
      <c r="F89" s="382" t="s">
        <v>1642</v>
      </c>
      <c r="G89" s="382" t="s">
        <v>1643</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100</v>
      </c>
      <c r="E90" s="355">
        <f>D90-$K21</f>
        <v>100</v>
      </c>
      <c r="F90" s="355">
        <f>E90-$K21</f>
        <v>100</v>
      </c>
      <c r="G90" s="355">
        <f>F90-$K21</f>
        <v>100</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1826</v>
      </c>
      <c r="C91" s="382" t="s">
        <v>1639</v>
      </c>
      <c r="D91" s="382" t="s">
        <v>1640</v>
      </c>
      <c r="E91" s="382" t="s">
        <v>1641</v>
      </c>
      <c r="F91" s="382" t="s">
        <v>1642</v>
      </c>
      <c r="G91" s="382" t="s">
        <v>1643</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100</v>
      </c>
      <c r="E92" s="355">
        <f>D92-$K23</f>
        <v>100</v>
      </c>
      <c r="F92" s="355">
        <f>E92-$K23</f>
        <v>100</v>
      </c>
      <c r="G92" s="355">
        <f>F92-$K23</f>
        <v>100</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1696</v>
      </c>
      <c r="C93" s="382" t="s">
        <v>1639</v>
      </c>
      <c r="D93" s="382" t="s">
        <v>1640</v>
      </c>
      <c r="E93" s="382" t="s">
        <v>1641</v>
      </c>
      <c r="F93" s="382" t="s">
        <v>1642</v>
      </c>
      <c r="G93" s="382" t="s">
        <v>1643</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100</v>
      </c>
      <c r="E94" s="355">
        <f>D94-$K25</f>
        <v>100</v>
      </c>
      <c r="F94" s="355">
        <f>E94-$K25</f>
        <v>100</v>
      </c>
      <c r="G94" s="355">
        <f>F94-$K25</f>
        <v>100</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1843</v>
      </c>
      <c r="C95" s="453" t="s">
        <v>1717</v>
      </c>
      <c r="D95" s="453" t="s">
        <v>1718</v>
      </c>
      <c r="E95" s="453" t="s">
        <v>1719</v>
      </c>
      <c r="F95" s="453" t="s">
        <v>1720</v>
      </c>
      <c r="G95" s="453" t="s">
        <v>1721</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100</v>
      </c>
      <c r="E96" s="355">
        <f>D96-$K27</f>
        <v>100</v>
      </c>
      <c r="F96" s="355">
        <f>E96-$K27</f>
        <v>100</v>
      </c>
      <c r="G96" s="355">
        <f>F96-$K27</f>
        <v>100</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1827</v>
      </c>
      <c r="D97" s="350" t="s">
        <v>1828</v>
      </c>
      <c r="E97" s="350" t="s">
        <v>1829</v>
      </c>
      <c r="F97" s="350" t="s">
        <v>1830</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1733</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1791</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c r="D110" s="5"/>
      <c r="E110" s="5"/>
      <c r="F110" s="5"/>
      <c r="G110" s="5"/>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c r="D111" s="398"/>
      <c r="E111" s="398"/>
      <c r="F111" s="398"/>
      <c r="G111" s="398"/>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1832</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1834</v>
      </c>
      <c r="C114" s="365"/>
      <c r="D114" s="365"/>
      <c r="E114" s="365"/>
      <c r="F114" s="365"/>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1835</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C2" sqref="C2"/>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1539</v>
      </c>
      <c r="B1" s="62"/>
      <c r="C1" s="849"/>
      <c r="D1" s="848"/>
      <c r="E1" s="2146"/>
      <c r="F1" s="2146"/>
      <c r="G1" s="2030"/>
      <c r="H1" s="2146"/>
      <c r="I1" s="2146"/>
      <c r="J1" s="2146"/>
      <c r="K1" s="2147">
        <f>MATCH(C1,'数据-取费表'!A6:A16,0)+5</f>
        <v>7</v>
      </c>
    </row>
    <row r="2" spans="1:33" ht="18" customHeight="1">
      <c r="A2" s="114" t="s">
        <v>1437</v>
      </c>
      <c r="B2" s="2667">
        <f ca="1">IF(D2="含税",C37,C36)</f>
        <v>-22</v>
      </c>
      <c r="C2" s="189" t="s">
        <v>1540</v>
      </c>
      <c r="D2" s="3775"/>
      <c r="E2" s="2146"/>
      <c r="G2" s="2146"/>
      <c r="H2" s="2146"/>
      <c r="I2" s="2146"/>
      <c r="J2" s="2146"/>
      <c r="K2" s="2146"/>
    </row>
    <row r="3" spans="1:33" ht="18" customHeight="1">
      <c r="A3" s="116" t="s">
        <v>1439</v>
      </c>
      <c r="B3" s="2667">
        <f ca="1">ROUND(B2*10000/IF(C1="",'数据-汇总表'!E3,INDIRECT("'数据-取费表'!K"&amp;$K$1)),0)</f>
        <v>-210</v>
      </c>
      <c r="C3" s="189" t="s">
        <v>1541</v>
      </c>
      <c r="E3" s="565"/>
      <c r="I3" s="2146"/>
      <c r="J3" s="2146"/>
      <c r="K3" s="2146"/>
    </row>
    <row r="4" spans="1:33" ht="18" customHeight="1">
      <c r="A4" s="3832" t="s">
        <v>3673</v>
      </c>
      <c r="B4" s="3837" t="e">
        <f ca="1">ROUND(B2*10000/IF(C1="",'数据-汇总表'!D3,INDIRECT("'数据-取费表'!R"&amp;$K$1)),0)</f>
        <v>#DIV/0!</v>
      </c>
      <c r="C4" s="3836" t="s">
        <v>1541</v>
      </c>
      <c r="E4" s="565"/>
      <c r="I4" s="2146"/>
      <c r="J4" s="2146"/>
      <c r="K4" s="2146"/>
    </row>
    <row r="5" spans="1:33" ht="18" customHeight="1" thickBot="1">
      <c r="A5" s="112"/>
      <c r="B5" s="3833" t="e">
        <f ca="1">ROUND(B2/(IF(C1="",'数据-汇总表'!D3,INDIRECT("'数据-取费表'!R"&amp;$K$1))/666.67),0)</f>
        <v>#DIV/0!</v>
      </c>
      <c r="C5" s="3835" t="s">
        <v>3671</v>
      </c>
      <c r="E5" s="565"/>
      <c r="I5" s="2146"/>
      <c r="J5" s="2146"/>
      <c r="K5" s="2146"/>
    </row>
    <row r="6" spans="1:33" s="566" customFormat="1" ht="16.5" customHeight="1">
      <c r="A6" s="2858" t="s">
        <v>3398</v>
      </c>
      <c r="B6" s="2857"/>
      <c r="C6" s="4554" t="s">
        <v>3400</v>
      </c>
      <c r="D6" s="4554"/>
      <c r="E6" s="4554"/>
      <c r="F6" s="4554"/>
      <c r="G6" s="4554"/>
      <c r="H6" s="4554"/>
      <c r="I6" s="4554"/>
      <c r="J6" s="4554"/>
      <c r="K6" s="4555"/>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SUMIF('数据-汇总表'!$C19:$C33,假设开发法!C7,'数据-汇总表'!$E19:$E33)</f>
        <v>0</v>
      </c>
      <c r="D9" s="2918">
        <f>SUMIF('数据-汇总表'!$C19:$C33,假设开发法!D7,'数据-汇总表'!$E19:$E33)</f>
        <v>0</v>
      </c>
      <c r="E9" s="2918">
        <f>SUMIF('数据-汇总表'!$C19:$C33,假设开发法!E7,'数据-汇总表'!$E19:$E33)</f>
        <v>0</v>
      </c>
      <c r="F9" s="2918">
        <f>SUMIF('数据-汇总表'!$C19:$C33,假设开发法!F7,'数据-汇总表'!$E19:$E33)</f>
        <v>0</v>
      </c>
      <c r="G9" s="2918">
        <f>SUMIF('数据-汇总表'!$C19:$C33,假设开发法!G7,'数据-汇总表'!$E19:$E33)</f>
        <v>0</v>
      </c>
      <c r="H9" s="2918">
        <f>SUMIF('数据-汇总表'!$C19:$C33,假设开发法!H7,'数据-汇总表'!$E19:$E33)</f>
        <v>0</v>
      </c>
      <c r="I9" s="2918">
        <f>SUMIF('数据-汇总表'!$C19:$C33,假设开发法!I7,'数据-汇总表'!$E19:$E33)</f>
        <v>0</v>
      </c>
      <c r="J9" s="2918">
        <f>SUMIF('数据-汇总表'!$C19:$C33,假设开发法!J7,'数据-汇总表'!$E19:$E33)</f>
        <v>0</v>
      </c>
      <c r="K9" s="2919">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58" t="s">
        <v>3413</v>
      </c>
      <c r="B11" s="4559"/>
      <c r="C11" s="4559"/>
      <c r="D11" s="4559"/>
      <c r="E11" s="4559"/>
      <c r="F11" s="4559"/>
      <c r="G11" s="4559"/>
      <c r="H11" s="4559"/>
      <c r="I11" s="4559"/>
      <c r="J11" s="4559"/>
      <c r="K11" s="4560"/>
    </row>
    <row r="12" spans="1:33" s="572" customFormat="1" ht="13.5" customHeight="1">
      <c r="A12" s="3599" t="s">
        <v>3554</v>
      </c>
      <c r="B12" s="2882" t="s">
        <v>1548</v>
      </c>
      <c r="C12" s="2883" t="s">
        <v>1549</v>
      </c>
      <c r="D12" s="1242" t="s">
        <v>1550</v>
      </c>
      <c r="E12" s="1242" t="s">
        <v>1551</v>
      </c>
      <c r="F12" s="1242" t="s">
        <v>1552</v>
      </c>
      <c r="G12" s="2924" t="s">
        <v>3424</v>
      </c>
      <c r="H12" s="2882"/>
      <c r="I12" s="2882"/>
      <c r="J12" s="2882"/>
      <c r="K12" s="2884"/>
    </row>
    <row r="13" spans="1:33" s="572" customFormat="1" ht="13.5" customHeight="1">
      <c r="A13" s="2632">
        <v>1</v>
      </c>
      <c r="B13" s="2885" t="s">
        <v>3399</v>
      </c>
      <c r="C13" s="2869">
        <f>SUM(C10:K10)</f>
        <v>0</v>
      </c>
      <c r="D13" s="571"/>
      <c r="E13" s="571"/>
      <c r="F13" s="571"/>
      <c r="G13" s="2886"/>
      <c r="H13" s="2886"/>
      <c r="I13" s="2886"/>
      <c r="J13" s="2886"/>
      <c r="K13" s="2887"/>
    </row>
    <row r="14" spans="1:33" s="574" customFormat="1" ht="13.5" customHeight="1">
      <c r="A14" s="2632">
        <v>2</v>
      </c>
      <c r="B14" s="581" t="s">
        <v>1563</v>
      </c>
      <c r="C14" s="2909" t="str">
        <f>F14&amp;"V"</f>
        <v>0.0305V</v>
      </c>
      <c r="D14" s="191"/>
      <c r="E14" s="191"/>
      <c r="F14" s="2877">
        <f>IF(项目基本情况!B8="出让",0,'数据-取费表'!B49+'数据-取费表'!B50)</f>
        <v>3.0499999999999999E-2</v>
      </c>
      <c r="G14" s="3615" t="s">
        <v>3711</v>
      </c>
      <c r="H14" s="38"/>
      <c r="I14" s="38"/>
      <c r="J14" s="38"/>
      <c r="K14" s="40"/>
    </row>
    <row r="15" spans="1:33" s="574" customFormat="1" ht="13.5" customHeight="1">
      <c r="A15" s="2632">
        <v>3</v>
      </c>
      <c r="B15" s="2860" t="s">
        <v>3401</v>
      </c>
      <c r="C15" s="2870">
        <f ca="1">SUM(C16:C19)+C25+C26</f>
        <v>21</v>
      </c>
      <c r="D15" s="581"/>
      <c r="E15" s="191"/>
      <c r="F15" s="2870"/>
      <c r="G15" s="2927" t="s">
        <v>3712</v>
      </c>
      <c r="H15" s="72"/>
      <c r="I15" s="72"/>
      <c r="J15" s="72"/>
      <c r="K15" s="2888"/>
    </row>
    <row r="16" spans="1:33" s="574" customFormat="1" ht="13.5" customHeight="1">
      <c r="A16" s="570" t="s">
        <v>355</v>
      </c>
      <c r="B16" s="2902" t="s">
        <v>3414</v>
      </c>
      <c r="C16" s="2871">
        <f ca="1">IF(C1="",'数据-取费表'!P16,INDIRECT("'数据-取费表'!P"&amp;$K$1)+INDIRECT("'数据-取费表'!ar"&amp;$K$1))</f>
        <v>0</v>
      </c>
      <c r="D16" s="573"/>
      <c r="E16" s="72"/>
      <c r="F16" s="2878">
        <f ca="1">1-IF('数据-取费表'!B24=0,1,IF(C1="",'数据-取费表'!N16,INDIRECT("'数据-取费表'!n"&amp;$K$1)))</f>
        <v>0</v>
      </c>
      <c r="G16" s="2886"/>
      <c r="H16" s="2886"/>
      <c r="I16" s="2886"/>
      <c r="J16" s="2886"/>
      <c r="K16" s="2887"/>
    </row>
    <row r="17" spans="1:33" s="574" customFormat="1" ht="13.5" customHeight="1">
      <c r="A17" s="570" t="s">
        <v>1545</v>
      </c>
      <c r="B17" s="2902" t="s">
        <v>3415</v>
      </c>
      <c r="C17" s="2911">
        <f ca="1">ROUND(C16*F17,0)</f>
        <v>0</v>
      </c>
      <c r="D17" s="573"/>
      <c r="E17" s="72"/>
      <c r="F17" s="2878">
        <f>'数据-取费表'!B33</f>
        <v>0.05</v>
      </c>
      <c r="G17" s="3863" t="s">
        <v>3723</v>
      </c>
      <c r="H17" s="2886"/>
      <c r="I17" s="2886"/>
      <c r="J17" s="2886"/>
      <c r="K17" s="2887"/>
    </row>
    <row r="18" spans="1:33" s="574" customFormat="1" ht="13.5" customHeight="1">
      <c r="A18" s="570" t="s">
        <v>1547</v>
      </c>
      <c r="B18" s="2902" t="s">
        <v>3416</v>
      </c>
      <c r="C18" s="2911">
        <f ca="1">ROUND(IF(C1="",SUMIF('数据-取费表'!C:C,"住宅",'数据-取费表'!P:P)*F18,IF(INDIRECT("'数据-取费表'!c"&amp;$K$1)="住宅",INDIRECT("'数据-取费表'!P"&amp;$K$1)*F18,0)),0)</f>
        <v>0</v>
      </c>
      <c r="D18" s="590"/>
      <c r="E18" s="72"/>
      <c r="F18" s="2878">
        <f>'数据-取费表'!B34</f>
        <v>0</v>
      </c>
      <c r="G18" s="2886" t="s">
        <v>1553</v>
      </c>
      <c r="H18" s="2886"/>
      <c r="I18" s="2886"/>
      <c r="J18" s="2886"/>
      <c r="K18" s="2887"/>
    </row>
    <row r="19" spans="1:33" s="574" customFormat="1" ht="13.5" customHeight="1">
      <c r="A19" s="570" t="s">
        <v>3403</v>
      </c>
      <c r="B19" s="2902" t="s">
        <v>3417</v>
      </c>
      <c r="C19" s="2911">
        <f ca="1">C20+C23+C24</f>
        <v>21</v>
      </c>
      <c r="D19" s="590"/>
      <c r="E19" s="72"/>
      <c r="F19" s="2878"/>
      <c r="G19" s="2886"/>
      <c r="H19" s="2886"/>
      <c r="I19" s="2886"/>
      <c r="J19" s="2886"/>
      <c r="K19" s="2887"/>
    </row>
    <row r="20" spans="1:33" s="574" customFormat="1" ht="13.5" customHeight="1">
      <c r="A20" s="2861" t="s">
        <v>3406</v>
      </c>
      <c r="B20" s="2889" t="s">
        <v>1558</v>
      </c>
      <c r="C20" s="2911">
        <f ca="1">C21+C22-IF(C1="",'数据-取费表'!B29,IF(G20="已全部缴纳",C21+C22,H20))</f>
        <v>21</v>
      </c>
      <c r="D20" s="590"/>
      <c r="E20" s="18"/>
      <c r="F20" s="2879"/>
      <c r="G20" s="2890"/>
      <c r="H20" s="2891"/>
      <c r="I20" s="2892" t="s">
        <v>1559</v>
      </c>
      <c r="J20" s="72"/>
      <c r="K20" s="2888"/>
    </row>
    <row r="21" spans="1:33" s="574" customFormat="1" ht="13.5" customHeight="1">
      <c r="A21" s="2904" t="s">
        <v>3409</v>
      </c>
      <c r="B21" s="2905" t="s">
        <v>3420</v>
      </c>
      <c r="C21" s="2912">
        <f ca="1">ROUND(D21*E21/10000,0)</f>
        <v>0</v>
      </c>
      <c r="D21" s="2914">
        <f ca="1">IF(C1="",'数据-汇总表'!E5,IF(INDIRECT("'数据-取费表'!c"&amp;$K$1)="住宅",INDIRECT("'数据-取费表'!k"&amp;$K$1),0))</f>
        <v>0</v>
      </c>
      <c r="E21" s="2912">
        <f>'数据-取费表'!B27</f>
        <v>160</v>
      </c>
      <c r="F21" s="2906"/>
      <c r="G21" s="204"/>
      <c r="H21" s="204"/>
      <c r="I21" s="204"/>
      <c r="J21" s="204"/>
      <c r="K21" s="1960"/>
    </row>
    <row r="22" spans="1:33" s="574" customFormat="1" ht="13.5" customHeight="1">
      <c r="A22" s="2904" t="s">
        <v>3410</v>
      </c>
      <c r="B22" s="2905" t="s">
        <v>3421</v>
      </c>
      <c r="C22" s="2912">
        <f ca="1">ROUND(D22*E22/10000,0)</f>
        <v>21</v>
      </c>
      <c r="D22" s="2914">
        <f ca="1">IF(C1="",'数据-汇总表'!E6,IF(INDIRECT("'数据-取费表'!c"&amp;$K$1)="住宅",INDIRECT("'数据-取费表'!s"&amp;$K$1),INDIRECT("'数据-取费表'!k"&amp;$K$1)+INDIRECT("'数据-取费表'!s"&amp;$K$1)))</f>
        <v>1048.8</v>
      </c>
      <c r="E22" s="2912">
        <f>'数据-取费表'!B28</f>
        <v>200</v>
      </c>
      <c r="F22" s="2906"/>
      <c r="G22" s="204"/>
      <c r="H22" s="204"/>
      <c r="I22" s="204"/>
      <c r="J22" s="204"/>
      <c r="K22" s="1960"/>
    </row>
    <row r="23" spans="1:33" s="575" customFormat="1" ht="13.5" customHeight="1">
      <c r="A23" s="2861" t="s">
        <v>3407</v>
      </c>
      <c r="B23" s="2889" t="s">
        <v>1554</v>
      </c>
      <c r="C23" s="2911">
        <f ca="1">ROUND(D23*E23*F16/10000,0)</f>
        <v>0</v>
      </c>
      <c r="D23" s="2915">
        <f ca="1">IF(C1="",'数据-汇总表'!E3,INDIRECT("'数据-取费表'!K"&amp;$K$1)+INDIRECT("'数据-取费表'!S"&amp;$K$1))</f>
        <v>1048.8</v>
      </c>
      <c r="E23" s="2911">
        <f>'数据-取费表'!B35</f>
        <v>200</v>
      </c>
      <c r="F23" s="2879"/>
      <c r="G23" s="2885" t="s">
        <v>3713</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3408</v>
      </c>
      <c r="B24" s="2889" t="s">
        <v>1556</v>
      </c>
      <c r="C24" s="2911">
        <f ca="1">ROUND(D24*E24/10000,0)</f>
        <v>0</v>
      </c>
      <c r="D24" s="2915">
        <f ca="1">D23</f>
        <v>1048.8</v>
      </c>
      <c r="E24" s="2911">
        <f>'数据-取费表'!B32</f>
        <v>0</v>
      </c>
      <c r="F24" s="2874"/>
      <c r="G24" s="72" t="s">
        <v>1557</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3404</v>
      </c>
      <c r="B25" s="2903" t="s">
        <v>3418</v>
      </c>
      <c r="C25" s="2873">
        <f ca="1">ROUND(C16*F25,0)</f>
        <v>0</v>
      </c>
      <c r="D25" s="2862"/>
      <c r="E25" s="2863"/>
      <c r="F25" s="2878">
        <f>'数据-取费表'!B36</f>
        <v>0.01</v>
      </c>
      <c r="G25" s="2862"/>
      <c r="H25" s="2862"/>
      <c r="I25" s="2862"/>
      <c r="J25" s="2862"/>
      <c r="K25" s="2893"/>
    </row>
    <row r="26" spans="1:33" s="575" customFormat="1" ht="13.5" customHeight="1">
      <c r="A26" s="2859" t="s">
        <v>3405</v>
      </c>
      <c r="B26" s="2902" t="s">
        <v>3419</v>
      </c>
      <c r="C26" s="2874">
        <f ca="1">ROUND(C16*F26,0)</f>
        <v>0</v>
      </c>
      <c r="D26" s="576"/>
      <c r="E26" s="580"/>
      <c r="F26" s="2878">
        <f>'数据-取费表'!B37</f>
        <v>0.01</v>
      </c>
      <c r="G26" s="72" t="s">
        <v>1555</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1560</v>
      </c>
      <c r="C27" s="2870">
        <f ca="1">ROUND(C15*F27,0)</f>
        <v>0</v>
      </c>
      <c r="D27" s="191"/>
      <c r="E27" s="191"/>
      <c r="F27" s="2877">
        <f>'数据-取费表'!B38</f>
        <v>0.02</v>
      </c>
      <c r="G27" s="2886" t="s">
        <v>1561</v>
      </c>
      <c r="H27" s="2886"/>
      <c r="I27" s="2886"/>
      <c r="J27" s="2886"/>
      <c r="K27" s="2887"/>
    </row>
    <row r="28" spans="1:33" s="574" customFormat="1" ht="13.5" customHeight="1">
      <c r="A28" s="2632">
        <v>5</v>
      </c>
      <c r="B28" s="581" t="s">
        <v>1562</v>
      </c>
      <c r="C28" s="2870">
        <f ca="1">ROUND(C13*F28*F16,0)</f>
        <v>0</v>
      </c>
      <c r="D28" s="191"/>
      <c r="E28" s="191"/>
      <c r="F28" s="2877">
        <f>'数据-取费表'!B39</f>
        <v>0.01</v>
      </c>
      <c r="G28" s="2886" t="s">
        <v>3714</v>
      </c>
      <c r="H28" s="2886"/>
      <c r="I28" s="2886"/>
      <c r="J28" s="2886"/>
      <c r="K28" s="2887"/>
    </row>
    <row r="29" spans="1:33" s="574" customFormat="1" ht="13.5" customHeight="1">
      <c r="A29" s="2632">
        <v>6</v>
      </c>
      <c r="B29" s="2860" t="s">
        <v>3402</v>
      </c>
      <c r="C29" s="2909" t="str">
        <f ca="1">C31&amp;"+"&amp;C30&amp;"V"</f>
        <v>0+0V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1564</v>
      </c>
      <c r="C30" s="2875">
        <f ca="1">ROUND(IF('数据-取费表'!B22&lt;=1,(1+F14)*F29*'数据-取费表'!B24,(1+F14)*(POWER((1+F29),'数据-取费表'!B24)-1)),4)</f>
        <v>0</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1545</v>
      </c>
      <c r="B31" s="2889" t="s">
        <v>3422</v>
      </c>
      <c r="C31" s="2871">
        <f ca="1">ROUND(IF('数据-取费表'!B22&lt;=1,(C15+C27+C28)*F29*'数据-取费表'!B24/2,(C15+C27+C28)*(POWER((1+F29),'数据-取费表'!B24/2)-1)),0)</f>
        <v>0</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1568</v>
      </c>
      <c r="C32" s="2894">
        <f>ROUND(C13*F32/(1+'数据-取费表'!C43),0)</f>
        <v>0</v>
      </c>
      <c r="D32" s="2886"/>
      <c r="E32" s="2898"/>
      <c r="F32" s="2895"/>
      <c r="G32" s="4556" t="s">
        <v>3412</v>
      </c>
      <c r="H32" s="4556"/>
      <c r="I32" s="4556"/>
      <c r="J32" s="4556"/>
      <c r="K32" s="4557"/>
    </row>
    <row r="33" spans="1:11" s="194" customFormat="1" ht="13.5" customHeight="1">
      <c r="A33" s="2632">
        <v>8</v>
      </c>
      <c r="B33" s="2864" t="s">
        <v>1565</v>
      </c>
      <c r="C33" s="2913" t="str">
        <f ca="1">C35&amp;"+"&amp;C34&amp;"V"</f>
        <v>2+0V</v>
      </c>
      <c r="D33" s="190"/>
      <c r="E33" s="191"/>
      <c r="F33" s="2881">
        <f ca="1">IF(C1="",'数据-取费表'!Q16,INDIRECT("'数据-取费表'!q"&amp;$K$1))</f>
        <v>0.1</v>
      </c>
      <c r="G33" s="38"/>
      <c r="H33" s="38"/>
      <c r="I33" s="38"/>
      <c r="J33" s="38"/>
      <c r="K33" s="40"/>
    </row>
    <row r="34" spans="1:11" s="195" customFormat="1" ht="13.5" customHeight="1">
      <c r="A34" s="2908" t="s">
        <v>355</v>
      </c>
      <c r="B34" s="2889" t="s">
        <v>1566</v>
      </c>
      <c r="C34" s="2875">
        <f ca="1">ROUND((1+F14)*F33*'数据-取费表'!B24/'数据-取费表'!B22,4)</f>
        <v>0</v>
      </c>
      <c r="D34" s="192"/>
      <c r="E34" s="576"/>
      <c r="F34" s="2880"/>
      <c r="G34" s="72" t="s">
        <v>1567</v>
      </c>
      <c r="H34" s="72"/>
      <c r="I34" s="72"/>
      <c r="J34" s="72"/>
      <c r="K34" s="2888"/>
    </row>
    <row r="35" spans="1:11" s="195" customFormat="1" ht="13.5" customHeight="1">
      <c r="A35" s="2908" t="s">
        <v>1545</v>
      </c>
      <c r="B35" s="2889" t="s">
        <v>3422</v>
      </c>
      <c r="C35" s="2876">
        <f ca="1">ROUND((C15+C27+C28)*F33,0)</f>
        <v>2</v>
      </c>
      <c r="D35" s="192"/>
      <c r="E35" s="576"/>
      <c r="F35" s="2880"/>
      <c r="G35" s="72"/>
      <c r="H35" s="72"/>
      <c r="I35" s="72"/>
      <c r="J35" s="72"/>
      <c r="K35" s="2888"/>
    </row>
    <row r="36" spans="1:11" s="572" customFormat="1" ht="15">
      <c r="A36" s="2632">
        <v>9</v>
      </c>
      <c r="B36" s="2885" t="s">
        <v>3411</v>
      </c>
      <c r="C36" s="2869">
        <f ca="1">ROUND((C13-C15-C27-C28-C31-C35-C32)/(1+F14+C30+C34),0)</f>
        <v>-22</v>
      </c>
      <c r="D36" s="2886"/>
      <c r="E36" s="2886"/>
      <c r="F36" s="190"/>
      <c r="G36" s="2923" t="s">
        <v>3423</v>
      </c>
      <c r="H36" s="2886"/>
      <c r="I36" s="2886"/>
      <c r="J36" s="2886"/>
      <c r="K36" s="2887"/>
    </row>
    <row r="37" spans="1:11" s="3029" customFormat="1" ht="15.75" thickBot="1">
      <c r="A37" s="2899">
        <v>10</v>
      </c>
      <c r="B37" s="2900" t="s">
        <v>3517</v>
      </c>
      <c r="C37" s="3026">
        <f ca="1">ROUND(C36*(1+F37),0)</f>
        <v>-24</v>
      </c>
      <c r="D37" s="3027"/>
      <c r="E37" s="3028"/>
      <c r="F37" s="2901">
        <v>0.09</v>
      </c>
      <c r="G37" s="2885" t="s">
        <v>3518</v>
      </c>
      <c r="H37" s="2886"/>
      <c r="I37" s="2886"/>
      <c r="J37" s="2886"/>
      <c r="K37" s="2887"/>
    </row>
    <row r="38" spans="1:11" ht="12.75" customHeight="1"/>
    <row r="44" spans="1:11" s="3597" customFormat="1" ht="19.5" thickBot="1">
      <c r="A44" s="3602" t="s">
        <v>3527</v>
      </c>
      <c r="B44" s="1953"/>
      <c r="C44" s="3603"/>
      <c r="D44" s="1953"/>
      <c r="E44" s="1953"/>
      <c r="F44" s="1953"/>
      <c r="G44" s="1953"/>
    </row>
    <row r="45" spans="1:11" s="3597" customFormat="1" ht="15">
      <c r="A45" s="3599" t="s">
        <v>3554</v>
      </c>
      <c r="B45" s="2882" t="s">
        <v>1548</v>
      </c>
      <c r="C45" s="2883" t="s">
        <v>1549</v>
      </c>
      <c r="D45" s="1242" t="s">
        <v>1550</v>
      </c>
      <c r="E45" s="1242" t="s">
        <v>1551</v>
      </c>
      <c r="F45" s="1242" t="s">
        <v>1552</v>
      </c>
      <c r="G45" s="2924" t="s">
        <v>3424</v>
      </c>
    </row>
    <row r="46" spans="1:11" s="3597" customFormat="1">
      <c r="A46" s="677">
        <v>1</v>
      </c>
      <c r="B46" s="2903" t="s">
        <v>3528</v>
      </c>
      <c r="C46" s="2873">
        <f>C13</f>
        <v>0</v>
      </c>
      <c r="D46" s="677"/>
      <c r="E46" s="677"/>
      <c r="F46" s="677"/>
      <c r="G46" s="677"/>
    </row>
    <row r="47" spans="1:11" s="3597" customFormat="1">
      <c r="A47" s="677">
        <v>2</v>
      </c>
      <c r="B47" s="2903" t="s">
        <v>3530</v>
      </c>
      <c r="C47" s="2873" t="str">
        <f>C14</f>
        <v>0.0305V</v>
      </c>
      <c r="D47" s="677"/>
      <c r="E47" s="677"/>
      <c r="F47" s="677"/>
      <c r="G47" s="677"/>
    </row>
    <row r="48" spans="1:11" s="3597" customFormat="1">
      <c r="A48" s="677">
        <v>3</v>
      </c>
      <c r="B48" s="2903" t="s">
        <v>3529</v>
      </c>
      <c r="C48" s="2873" t="e">
        <f ca="1">C49+C59+C60+C63</f>
        <v>#VALUE!</v>
      </c>
      <c r="D48" s="677"/>
      <c r="E48" s="677"/>
      <c r="F48" s="677"/>
      <c r="G48" s="677"/>
    </row>
    <row r="49" spans="1:7" s="3597" customFormat="1">
      <c r="A49" s="3600" t="s">
        <v>355</v>
      </c>
      <c r="B49" s="2903" t="s">
        <v>3539</v>
      </c>
      <c r="C49" s="2873">
        <f ca="1">C50+C51+C52+C53+C57+C58</f>
        <v>21</v>
      </c>
      <c r="D49" s="677"/>
      <c r="E49" s="677"/>
      <c r="F49" s="677"/>
      <c r="G49" s="677"/>
    </row>
    <row r="50" spans="1:7" s="3597" customFormat="1">
      <c r="A50" s="3601" t="s">
        <v>3540</v>
      </c>
      <c r="B50" s="2903" t="s">
        <v>3544</v>
      </c>
      <c r="C50" s="2873">
        <f ca="1">C16</f>
        <v>0</v>
      </c>
      <c r="D50" s="677"/>
      <c r="E50" s="677"/>
      <c r="F50" s="677"/>
      <c r="G50" s="677"/>
    </row>
    <row r="51" spans="1:7" s="3597" customFormat="1">
      <c r="A51" s="3601" t="s">
        <v>3555</v>
      </c>
      <c r="B51" s="677" t="s">
        <v>3541</v>
      </c>
      <c r="C51" s="2873">
        <f t="shared" ref="C51:C53" ca="1" si="0">C17</f>
        <v>0</v>
      </c>
      <c r="D51" s="677"/>
      <c r="E51" s="677"/>
      <c r="F51" s="677"/>
      <c r="G51" s="677"/>
    </row>
    <row r="52" spans="1:7" s="3597" customFormat="1">
      <c r="A52" s="3601" t="s">
        <v>3556</v>
      </c>
      <c r="B52" s="677" t="s">
        <v>3542</v>
      </c>
      <c r="C52" s="2873">
        <f t="shared" ca="1" si="0"/>
        <v>0</v>
      </c>
      <c r="D52" s="677"/>
      <c r="E52" s="677"/>
      <c r="F52" s="677"/>
      <c r="G52" s="677"/>
    </row>
    <row r="53" spans="1:7" s="3597" customFormat="1">
      <c r="A53" s="3601" t="s">
        <v>3557</v>
      </c>
      <c r="B53" s="677" t="s">
        <v>3543</v>
      </c>
      <c r="C53" s="2873">
        <f t="shared" ca="1" si="0"/>
        <v>21</v>
      </c>
      <c r="D53" s="677"/>
      <c r="E53" s="677"/>
      <c r="F53" s="677"/>
      <c r="G53" s="677"/>
    </row>
    <row r="54" spans="1:7" s="3597" customFormat="1">
      <c r="A54" s="3858" t="s">
        <v>3409</v>
      </c>
      <c r="B54" s="3859" t="s">
        <v>3547</v>
      </c>
      <c r="C54" s="3860">
        <f ca="1">C20</f>
        <v>21</v>
      </c>
      <c r="D54" s="677"/>
      <c r="E54" s="677"/>
      <c r="F54" s="677"/>
      <c r="G54" s="677"/>
    </row>
    <row r="55" spans="1:7" s="3597" customFormat="1">
      <c r="A55" s="3858" t="s">
        <v>3410</v>
      </c>
      <c r="B55" s="3859" t="s">
        <v>3548</v>
      </c>
      <c r="C55" s="3860">
        <f ca="1">C23</f>
        <v>0</v>
      </c>
      <c r="D55" s="677"/>
      <c r="E55" s="677"/>
      <c r="F55" s="677"/>
      <c r="G55" s="677"/>
    </row>
    <row r="56" spans="1:7" s="3597" customFormat="1">
      <c r="A56" s="3858" t="s">
        <v>3708</v>
      </c>
      <c r="B56" s="3859" t="s">
        <v>3549</v>
      </c>
      <c r="C56" s="3860">
        <f ca="1">C24</f>
        <v>0</v>
      </c>
      <c r="D56" s="677"/>
      <c r="E56" s="677"/>
      <c r="F56" s="677"/>
      <c r="G56" s="677"/>
    </row>
    <row r="57" spans="1:7" s="3597" customFormat="1">
      <c r="A57" s="3601" t="s">
        <v>3558</v>
      </c>
      <c r="B57" s="677" t="s">
        <v>3545</v>
      </c>
      <c r="C57" s="2873">
        <f ca="1">C25</f>
        <v>0</v>
      </c>
      <c r="D57" s="677"/>
      <c r="E57" s="677"/>
      <c r="F57" s="677"/>
      <c r="G57" s="677"/>
    </row>
    <row r="58" spans="1:7" s="3597" customFormat="1">
      <c r="A58" s="3601" t="s">
        <v>3559</v>
      </c>
      <c r="B58" s="677" t="s">
        <v>3546</v>
      </c>
      <c r="C58" s="2873">
        <f ca="1">C26</f>
        <v>0</v>
      </c>
      <c r="D58" s="677"/>
      <c r="E58" s="677"/>
      <c r="F58" s="677"/>
      <c r="G58" s="677"/>
    </row>
    <row r="59" spans="1:7" s="3597" customFormat="1">
      <c r="A59" s="3600" t="s">
        <v>3538</v>
      </c>
      <c r="B59" s="2903" t="s">
        <v>3532</v>
      </c>
      <c r="C59" s="2873">
        <f ca="1">C27</f>
        <v>0</v>
      </c>
      <c r="D59" s="677"/>
      <c r="E59" s="677"/>
      <c r="F59" s="677"/>
      <c r="G59" s="677"/>
    </row>
    <row r="60" spans="1:7" s="3597" customFormat="1">
      <c r="A60" s="3600" t="s">
        <v>3550</v>
      </c>
      <c r="B60" s="2903" t="s">
        <v>3551</v>
      </c>
      <c r="C60" s="2873">
        <f ca="1">C61+C62</f>
        <v>0</v>
      </c>
      <c r="D60" s="677"/>
      <c r="E60" s="677"/>
      <c r="F60" s="677"/>
      <c r="G60" s="677"/>
    </row>
    <row r="61" spans="1:7" s="3597" customFormat="1">
      <c r="A61" s="3601" t="s">
        <v>3540</v>
      </c>
      <c r="B61" s="2903" t="s">
        <v>3535</v>
      </c>
      <c r="C61" s="2873">
        <f ca="1">C28</f>
        <v>0</v>
      </c>
      <c r="D61" s="677"/>
      <c r="E61" s="677"/>
      <c r="F61" s="677"/>
      <c r="G61" s="677"/>
    </row>
    <row r="62" spans="1:7" s="3597" customFormat="1">
      <c r="A62" s="3601" t="s">
        <v>3552</v>
      </c>
      <c r="B62" s="2903" t="s">
        <v>3534</v>
      </c>
      <c r="C62" s="2873">
        <f>C32</f>
        <v>0</v>
      </c>
      <c r="D62" s="677"/>
      <c r="E62" s="677"/>
      <c r="F62" s="677"/>
      <c r="G62" s="677"/>
    </row>
    <row r="63" spans="1:7" s="3597" customFormat="1">
      <c r="A63" s="3600" t="s">
        <v>3553</v>
      </c>
      <c r="B63" s="2903" t="s">
        <v>3533</v>
      </c>
      <c r="C63" s="2873" t="str">
        <f ca="1">C29</f>
        <v>0+0V</v>
      </c>
      <c r="D63" s="677"/>
      <c r="E63" s="677"/>
      <c r="F63" s="677"/>
      <c r="G63" s="677"/>
    </row>
    <row r="64" spans="1:7" s="3597" customFormat="1">
      <c r="A64" s="677">
        <v>4</v>
      </c>
      <c r="B64" s="2903" t="s">
        <v>3536</v>
      </c>
      <c r="C64" s="2873" t="str">
        <f ca="1">C33</f>
        <v>2+0V</v>
      </c>
      <c r="D64" s="677"/>
      <c r="E64" s="677"/>
      <c r="F64" s="677"/>
      <c r="G64" s="677"/>
    </row>
    <row r="65" spans="1:7" s="3597" customFormat="1">
      <c r="A65" s="677">
        <v>5</v>
      </c>
      <c r="B65" s="2903" t="s">
        <v>3537</v>
      </c>
      <c r="C65" s="2873">
        <f ca="1">C36</f>
        <v>-22</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3"/>
      <c r="C2" s="4183"/>
      <c r="D2" s="4183"/>
      <c r="E2" s="4183"/>
    </row>
    <row r="3" spans="1:5" ht="18">
      <c r="A3" s="4184" t="str">
        <f>IF(项目基本情况!B9="房地产市场价值","估价结果一览表（市场价值不需“结果表-1”）","估价结果一览表")</f>
        <v>估价结果一览表</v>
      </c>
      <c r="B3" s="4184"/>
      <c r="C3" s="4184"/>
      <c r="D3" s="4184"/>
      <c r="E3" s="4184"/>
    </row>
    <row r="4" spans="1:5" ht="19.5" thickBot="1">
      <c r="A4" s="1108"/>
      <c r="B4" s="4182" t="s">
        <v>904</v>
      </c>
      <c r="C4" s="4182"/>
      <c r="D4" s="4182"/>
      <c r="E4" s="1108"/>
    </row>
    <row r="5" spans="1:5" ht="16.5" thickTop="1">
      <c r="B5" s="4180" t="s">
        <v>896</v>
      </c>
      <c r="C5" s="1109" t="s">
        <v>897</v>
      </c>
      <c r="D5" s="591" t="e">
        <f ca="1">结果表!H101</f>
        <v>#REF!</v>
      </c>
    </row>
    <row r="6" spans="1:5" ht="15.75">
      <c r="B6" s="4180"/>
      <c r="C6" s="1109" t="s">
        <v>898</v>
      </c>
      <c r="D6" s="591" t="e">
        <f ca="1">NUMBERSTRING(INT(D5*10000),2)&amp;"元整"</f>
        <v>#REF!</v>
      </c>
    </row>
    <row r="7" spans="1:5" ht="15.75">
      <c r="B7" s="4185"/>
      <c r="C7" s="1110" t="s">
        <v>899</v>
      </c>
      <c r="D7" s="592" t="e">
        <f ca="1">结果表!H102</f>
        <v>#REF!</v>
      </c>
    </row>
    <row r="8" spans="1:5" ht="15.75">
      <c r="B8" s="4186" t="str">
        <f>结果表!E103</f>
        <v>2.估价师知悉的法定优先受偿款</v>
      </c>
      <c r="C8" s="1111" t="s">
        <v>900</v>
      </c>
      <c r="D8" s="592">
        <f>结果表!H103</f>
        <v>0</v>
      </c>
    </row>
    <row r="9" spans="1:5" ht="15.75">
      <c r="B9" s="4188"/>
      <c r="C9" s="1109" t="s">
        <v>898</v>
      </c>
      <c r="D9" s="591" t="str">
        <f>NUMBERSTRING(INT(D8*10000),2)&amp;"元整"</f>
        <v>零元整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0</v>
      </c>
    </row>
    <row r="13" spans="1:5" ht="15.75">
      <c r="B13" s="4179" t="str">
        <f>结果表!E107</f>
        <v>3.房地产抵押价值</v>
      </c>
      <c r="C13" s="1114" t="s">
        <v>897</v>
      </c>
      <c r="D13" s="594" t="e">
        <f ca="1">结果表!H107</f>
        <v>#REF!</v>
      </c>
    </row>
    <row r="14" spans="1:5" ht="15.75">
      <c r="B14" s="4180"/>
      <c r="C14" s="1109" t="s">
        <v>898</v>
      </c>
      <c r="D14" s="591" t="e">
        <f ca="1">NUMBERSTRING(INT(D13*10000),2)&amp;"元整"</f>
        <v>#REF!</v>
      </c>
    </row>
    <row r="15" spans="1:5" ht="15">
      <c r="B15" s="4185"/>
      <c r="C15" s="1110" t="s">
        <v>908</v>
      </c>
      <c r="D15" s="599" t="e">
        <f ca="1">结果表!H108</f>
        <v>#REF!</v>
      </c>
    </row>
    <row r="16" spans="1:5" ht="15">
      <c r="B16" s="4186" t="str">
        <f>结果表!E109</f>
        <v>——</v>
      </c>
      <c r="C16" s="1114" t="s">
        <v>909</v>
      </c>
      <c r="D16" s="1115" t="str">
        <f>结果表!H109</f>
        <v>——</v>
      </c>
    </row>
    <row r="17" spans="1:5" ht="15.75">
      <c r="B17" s="4187"/>
      <c r="C17" s="1109" t="s">
        <v>910</v>
      </c>
      <c r="D17" s="591" t="e">
        <f>NUMBERSTRING(INT(D16*10000),2)&amp;"元整"</f>
        <v>#VALUE!</v>
      </c>
    </row>
    <row r="18" spans="1:5" ht="15">
      <c r="B18" s="4188"/>
      <c r="C18" s="1110" t="s">
        <v>899</v>
      </c>
      <c r="D18" s="599" t="str">
        <f>结果表!H110</f>
        <v>——</v>
      </c>
    </row>
    <row r="19" spans="1:5" ht="15.75">
      <c r="B19" s="4179" t="str">
        <f>结果表!E111</f>
        <v>——</v>
      </c>
      <c r="C19" s="1114" t="s">
        <v>897</v>
      </c>
      <c r="D19" s="592" t="str">
        <f>结果表!H111</f>
        <v>——</v>
      </c>
    </row>
    <row r="20" spans="1:5" ht="15.75">
      <c r="B20" s="4180"/>
      <c r="C20" s="1109" t="s">
        <v>910</v>
      </c>
      <c r="D20" s="591" t="e">
        <f>NUMBERSTRING(INT(D19*10000),2)&amp;"元整"</f>
        <v>#VALUE!</v>
      </c>
    </row>
    <row r="21" spans="1:5" ht="15.75" thickBot="1">
      <c r="B21" s="4181"/>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1999</v>
      </c>
      <c r="B1" s="4"/>
      <c r="C1" s="4"/>
      <c r="D1" s="4"/>
      <c r="E1" s="4"/>
      <c r="F1" s="2126"/>
      <c r="G1" s="2126"/>
      <c r="H1" s="2126"/>
      <c r="I1" s="2126"/>
      <c r="J1" s="2126"/>
      <c r="K1" s="2126"/>
      <c r="L1" s="2126"/>
      <c r="M1" s="2126"/>
      <c r="N1" s="2126"/>
      <c r="O1" s="2126"/>
      <c r="P1" s="2126"/>
    </row>
    <row r="2" spans="1:16" ht="15.75">
      <c r="A2" s="1657" t="s">
        <v>1991</v>
      </c>
      <c r="B2" s="3223" t="e">
        <f ca="1">SUMIF(B6:B13,"&lt;&gt;#ref!",B6:B13)</f>
        <v>#DIV/0!</v>
      </c>
      <c r="C2" s="1657" t="s">
        <v>1992</v>
      </c>
      <c r="D2" s="1657" t="s">
        <v>1993</v>
      </c>
      <c r="E2" s="3224">
        <f ca="1">SUMIF(E6:E13,"&lt;&gt;#ref!",E6:E13)</f>
        <v>0</v>
      </c>
      <c r="F2" s="2126"/>
      <c r="G2" s="2126"/>
      <c r="H2" s="2126"/>
      <c r="I2" s="2126"/>
      <c r="J2" s="2126"/>
      <c r="K2" s="2126"/>
      <c r="L2" s="2126"/>
      <c r="M2" s="2126"/>
      <c r="N2" s="2126"/>
      <c r="O2" s="2126"/>
      <c r="P2" s="2126"/>
    </row>
    <row r="3" spans="1:16" ht="15.75">
      <c r="A3" s="1657" t="s">
        <v>1994</v>
      </c>
      <c r="B3" s="3223" t="e">
        <f ca="1">ROUND(B2*10000/E2,0)</f>
        <v>#DIV/0!</v>
      </c>
      <c r="C3" s="1657" t="s">
        <v>2000</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1995</v>
      </c>
      <c r="B5" s="1980" t="s">
        <v>1996</v>
      </c>
      <c r="C5" s="1658"/>
      <c r="D5" s="2126"/>
      <c r="E5" s="1981" t="s">
        <v>1997</v>
      </c>
      <c r="F5" s="2126"/>
      <c r="G5" s="2126"/>
      <c r="H5" s="2126"/>
      <c r="I5" s="2126"/>
      <c r="J5" s="2126"/>
      <c r="K5" s="2126"/>
      <c r="L5" s="2126"/>
      <c r="M5" s="2126"/>
      <c r="N5" s="2126"/>
      <c r="O5" s="2126"/>
      <c r="P5" s="2126"/>
    </row>
    <row r="6" spans="1:16" ht="15.75">
      <c r="A6" s="1979" t="s">
        <v>1998</v>
      </c>
      <c r="B6" s="3223" t="e">
        <f ca="1">SUMIF(INDIRECT("'"&amp;A6&amp;"'"&amp;"!A:A"),"总价",INDIRECT("'"&amp;A6&amp;"'"&amp;"!B:B"))</f>
        <v>#DIV/0!</v>
      </c>
      <c r="C6" s="1657" t="s">
        <v>1992</v>
      </c>
      <c r="D6" s="2126"/>
      <c r="E6" s="3224">
        <f ca="1">SUMIF(INDIRECT("'"&amp;A6&amp;"'"&amp;"!C:C"),"建筑面积",INDIRECT("'"&amp;A6&amp;"'"&amp;"!D:D"))</f>
        <v>0</v>
      </c>
      <c r="F6" s="2126"/>
      <c r="G6" s="2126"/>
      <c r="H6" s="2126"/>
      <c r="I6" s="2126"/>
      <c r="J6" s="2126"/>
      <c r="K6" s="2126"/>
      <c r="L6" s="2126"/>
      <c r="M6" s="2126"/>
      <c r="N6" s="2126"/>
      <c r="O6" s="2126"/>
      <c r="P6" s="2126"/>
    </row>
    <row r="7" spans="1:16" ht="15.75">
      <c r="A7" s="1979"/>
      <c r="B7" s="3223" t="e">
        <f ca="1">SUMIF(INDIRECT("'"&amp;A7&amp;"'"&amp;"!A:A"),"总价",INDIRECT("'"&amp;A7&amp;"'"&amp;"!B:B"))</f>
        <v>#REF!</v>
      </c>
      <c r="C7" s="1657" t="s">
        <v>1992</v>
      </c>
      <c r="D7" s="2126"/>
      <c r="E7" s="3224"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3" t="e">
        <f t="shared" ref="B8:B13" ca="1" si="1">SUMIF(INDIRECT("'"&amp;A8&amp;"'"&amp;"!A:A"),"总价",INDIRECT("'"&amp;A8&amp;"'"&amp;"!B:B"))</f>
        <v>#REF!</v>
      </c>
      <c r="C8" s="1657" t="s">
        <v>1992</v>
      </c>
      <c r="D8" s="2126"/>
      <c r="E8" s="3224" t="e">
        <f t="shared" ca="1" si="0"/>
        <v>#REF!</v>
      </c>
      <c r="F8" s="2126"/>
      <c r="G8" s="2126"/>
      <c r="H8" s="2126"/>
      <c r="I8" s="2126"/>
      <c r="J8" s="2126"/>
      <c r="K8" s="2126"/>
      <c r="L8" s="2126"/>
      <c r="M8" s="2126"/>
      <c r="N8" s="2126"/>
      <c r="O8" s="2126"/>
      <c r="P8" s="2126"/>
    </row>
    <row r="9" spans="1:16" ht="15.75">
      <c r="A9" s="1979"/>
      <c r="B9" s="3223" t="e">
        <f t="shared" ca="1" si="1"/>
        <v>#REF!</v>
      </c>
      <c r="C9" s="1657" t="s">
        <v>1992</v>
      </c>
      <c r="D9" s="2126"/>
      <c r="E9" s="3224" t="e">
        <f t="shared" ca="1" si="0"/>
        <v>#REF!</v>
      </c>
      <c r="F9" s="2126"/>
      <c r="G9" s="2126"/>
      <c r="H9" s="2126"/>
      <c r="I9" s="2126"/>
      <c r="J9" s="2126"/>
      <c r="K9" s="2126"/>
      <c r="L9" s="2126"/>
      <c r="M9" s="2126"/>
      <c r="N9" s="2126"/>
      <c r="O9" s="2126"/>
      <c r="P9" s="2126"/>
    </row>
    <row r="10" spans="1:16" ht="15.75">
      <c r="A10" s="1979"/>
      <c r="B10" s="3223" t="e">
        <f t="shared" ca="1" si="1"/>
        <v>#REF!</v>
      </c>
      <c r="C10" s="1657" t="s">
        <v>1992</v>
      </c>
      <c r="D10" s="2126"/>
      <c r="E10" s="3224" t="e">
        <f t="shared" ca="1" si="0"/>
        <v>#REF!</v>
      </c>
      <c r="F10" s="2126"/>
      <c r="G10" s="2126"/>
      <c r="H10" s="2126"/>
      <c r="I10" s="2126"/>
      <c r="J10" s="2126"/>
      <c r="K10" s="2126"/>
      <c r="L10" s="2126"/>
      <c r="M10" s="2126"/>
      <c r="N10" s="2126"/>
      <c r="O10" s="2126"/>
      <c r="P10" s="2126"/>
    </row>
    <row r="11" spans="1:16" ht="15.75">
      <c r="A11" s="1979"/>
      <c r="B11" s="3223" t="e">
        <f t="shared" ca="1" si="1"/>
        <v>#REF!</v>
      </c>
      <c r="C11" s="1657" t="s">
        <v>1992</v>
      </c>
      <c r="D11" s="2126"/>
      <c r="E11" s="3224" t="e">
        <f t="shared" ca="1" si="0"/>
        <v>#REF!</v>
      </c>
      <c r="F11" s="2126"/>
      <c r="G11" s="2126"/>
      <c r="H11" s="2126"/>
      <c r="I11" s="2126"/>
      <c r="J11" s="2126"/>
      <c r="K11" s="2126"/>
      <c r="L11" s="2126"/>
      <c r="M11" s="2126"/>
      <c r="N11" s="2126"/>
      <c r="O11" s="2126"/>
      <c r="P11" s="2126"/>
    </row>
    <row r="12" spans="1:16" ht="15.75">
      <c r="A12" s="1979"/>
      <c r="B12" s="3223" t="e">
        <f t="shared" ca="1" si="1"/>
        <v>#REF!</v>
      </c>
      <c r="C12" s="1657" t="s">
        <v>1992</v>
      </c>
      <c r="D12" s="2126"/>
      <c r="E12" s="3224" t="e">
        <f t="shared" ca="1" si="0"/>
        <v>#REF!</v>
      </c>
      <c r="F12" s="2126"/>
      <c r="G12" s="2126"/>
      <c r="H12" s="2126"/>
      <c r="I12" s="2126"/>
      <c r="J12" s="2126"/>
      <c r="K12" s="2126"/>
      <c r="L12" s="2126"/>
      <c r="M12" s="2126"/>
      <c r="N12" s="2126"/>
      <c r="O12" s="2126"/>
      <c r="P12" s="2126"/>
    </row>
    <row r="13" spans="1:16" ht="15.75">
      <c r="A13" s="1979"/>
      <c r="B13" s="3223" t="e">
        <f t="shared" ca="1" si="1"/>
        <v>#REF!</v>
      </c>
      <c r="C13" s="1657" t="s">
        <v>1992</v>
      </c>
      <c r="D13" s="2126"/>
      <c r="E13" s="3224"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75">
      <c r="A2" s="114" t="s">
        <v>1852</v>
      </c>
      <c r="B2" s="2667" t="e">
        <f>C30</f>
        <v>#DIV/0!</v>
      </c>
      <c r="C2" s="1521" t="s">
        <v>1853</v>
      </c>
      <c r="D2" s="85" t="s">
        <v>1854</v>
      </c>
      <c r="E2" s="2603"/>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7"/>
      <c r="K2" s="813"/>
      <c r="L2" s="1522" t="s">
        <v>1857</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1858</v>
      </c>
      <c r="B3" s="2667" t="e">
        <f>ROUND(B2*10000/D1,0)</f>
        <v>#DIV/0!</v>
      </c>
      <c r="C3" s="1521" t="s">
        <v>1859</v>
      </c>
      <c r="D3" s="85" t="s">
        <v>1860</v>
      </c>
      <c r="E3" s="2601"/>
      <c r="F3" s="1523"/>
      <c r="G3" s="3225">
        <f>IF(F3="宗地容积率",'数据-汇总表'!I4,IF(F3="估价对象容积率",'数据-汇总表'!I6,'数据-汇总表'!I7))</f>
        <v>0</v>
      </c>
      <c r="H3" s="85" t="s">
        <v>1861</v>
      </c>
      <c r="I3" s="559"/>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3679</v>
      </c>
      <c r="B4" s="3847" t="e">
        <f>ROUND(B2*10000/F1,0)</f>
        <v>#DIV/0!</v>
      </c>
      <c r="C4" s="3846" t="s">
        <v>3680</v>
      </c>
      <c r="D4" s="3847" t="e">
        <f>ROUND(B2/(F1/666.67),0)</f>
        <v>#DIV/0!</v>
      </c>
      <c r="E4" s="3846" t="s">
        <v>3681</v>
      </c>
      <c r="F4" s="3844"/>
      <c r="G4" s="3844"/>
      <c r="H4" s="3844"/>
      <c r="I4" s="3844"/>
      <c r="J4" s="3845"/>
      <c r="K4" s="813"/>
      <c r="L4" s="1522" t="s">
        <v>1864</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1865</v>
      </c>
      <c r="C5" s="3226" t="e">
        <f>ROUND(IF(E2="商业",C6*C7*C17+C20,(IF(E2="住宅",C6*C13*C17+C20,IF(E2="办公",C6*C12*C17+C20,C6+C20)))),0)</f>
        <v>#DIV/0!</v>
      </c>
      <c r="D5" s="3227" t="e">
        <f>ROUND(C6*C17+C20,0)</f>
        <v>#DIV/0!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1867</v>
      </c>
      <c r="B6" s="1535" t="s">
        <v>1868</v>
      </c>
      <c r="C6" s="3228">
        <f>SUMIF(L1:L12,G2,M1:M12)</f>
        <v>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3139</v>
      </c>
      <c r="B7" s="1540" t="s">
        <v>1870</v>
      </c>
      <c r="C7" s="3230" t="e">
        <f>IF(C8="不临65条商业街",1,ROUND(1+(1.6*E8+1.2*E9+0.8*E10+0.4*E11)*C9,4))</f>
        <v>#DIV/0!</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1873</v>
      </c>
      <c r="X7" s="869">
        <f>G2</f>
        <v>0</v>
      </c>
      <c r="Y7" s="869" t="s">
        <v>1874</v>
      </c>
      <c r="Z7" s="870">
        <f>G3</f>
        <v>0</v>
      </c>
      <c r="AA7" s="871"/>
      <c r="AB7" s="871"/>
      <c r="AC7" s="872"/>
      <c r="AD7" s="873"/>
      <c r="AE7" s="873"/>
      <c r="AF7" s="873"/>
      <c r="AG7" s="873"/>
      <c r="AH7" s="873"/>
      <c r="AI7" s="873"/>
      <c r="AJ7" s="874"/>
    </row>
    <row r="8" spans="1:36" ht="15">
      <c r="A8" s="2498"/>
      <c r="B8" s="85" t="s">
        <v>1875</v>
      </c>
      <c r="C8" s="1545"/>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65" t="s">
        <v>1878</v>
      </c>
      <c r="X8" s="4566"/>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
      <c r="A9" s="2498"/>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67"/>
      <c r="X9" s="2547" t="s">
        <v>3168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1894</v>
      </c>
      <c r="C10" s="3189">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67"/>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1897</v>
      </c>
      <c r="C11" s="3197">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3140</v>
      </c>
      <c r="B12" s="2502" t="s">
        <v>3141</v>
      </c>
      <c r="C12" s="3231"/>
      <c r="D12" s="2503" t="s">
        <v>3142</v>
      </c>
      <c r="E12" s="2504" t="s">
        <v>3143</v>
      </c>
      <c r="F12" s="2505"/>
      <c r="G12" s="2506"/>
      <c r="H12" s="2506"/>
      <c r="I12" s="2506"/>
      <c r="J12" s="2507"/>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3144</v>
      </c>
      <c r="B13" s="1553" t="s">
        <v>1900</v>
      </c>
      <c r="C13" s="3229">
        <f>ROUND(C16*D16*E16*F16*G16*H16*I16*J16,4)</f>
        <v>0</v>
      </c>
      <c r="D13" s="1554" t="s">
        <v>1901</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1903</v>
      </c>
      <c r="C14" s="1559" t="s">
        <v>1904</v>
      </c>
      <c r="D14" s="976" t="s">
        <v>1905</v>
      </c>
      <c r="E14" s="24" t="s">
        <v>1906</v>
      </c>
      <c r="F14" s="2508" t="s">
        <v>3145</v>
      </c>
      <c r="G14" s="2508" t="s">
        <v>3145</v>
      </c>
      <c r="H14" s="2508" t="s">
        <v>3145</v>
      </c>
      <c r="I14" s="2508" t="s">
        <v>3145</v>
      </c>
      <c r="J14" s="2508" t="s">
        <v>3145</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3146</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1907</v>
      </c>
      <c r="C16" s="3232"/>
      <c r="D16" s="3232"/>
      <c r="E16" s="3232"/>
      <c r="F16" s="3232">
        <v>1</v>
      </c>
      <c r="G16" s="3232">
        <v>1</v>
      </c>
      <c r="H16" s="3232">
        <v>1</v>
      </c>
      <c r="I16" s="3232">
        <v>1</v>
      </c>
      <c r="J16" s="3233">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3147</v>
      </c>
      <c r="B17" s="2513" t="s">
        <v>3148</v>
      </c>
      <c r="C17" s="3234">
        <f>ROUND(IF(OR(E2="工业",E2="公共服务"),1,IF(AND(E18=0,E19=0),1,IF(AND(E18=J24,E19=G19),0.8,IF(E19=0,1+E17*(-0.2),1+E17*G17*(-0.2))))),4)</f>
        <v>1</v>
      </c>
      <c r="D17" s="2514" t="s">
        <v>3149</v>
      </c>
      <c r="E17" s="2521" t="e">
        <f>ROUND(G18/I18,2)</f>
        <v>#DIV/0!</v>
      </c>
      <c r="F17" s="2514" t="s">
        <v>3152</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3150</v>
      </c>
      <c r="E18" s="2749"/>
      <c r="F18" s="2516" t="s">
        <v>3153</v>
      </c>
      <c r="G18" s="2519">
        <f>ROUND(1-(1/(POWER(1+G24,E18))),4)</f>
        <v>0</v>
      </c>
      <c r="H18" s="2516" t="s">
        <v>3155</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3151</v>
      </c>
      <c r="E19" s="3235"/>
      <c r="F19" s="2528" t="s">
        <v>3154</v>
      </c>
      <c r="G19" s="3235"/>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68" t="s">
        <v>3156</v>
      </c>
      <c r="B20" s="83" t="s">
        <v>1912</v>
      </c>
      <c r="C20" s="3236" t="e">
        <f>ROUND(IF(F21="与级别开发程度一致",0,(G21-E21)/C21),0)</f>
        <v>#DIV/0!</v>
      </c>
      <c r="D20" s="2530" t="s">
        <v>1916</v>
      </c>
      <c r="E20" s="2531"/>
      <c r="F20" s="4574" t="s">
        <v>1913</v>
      </c>
      <c r="G20" s="4575"/>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69"/>
      <c r="B21" s="1674" t="s">
        <v>1915</v>
      </c>
      <c r="C21" s="3237">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1918</v>
      </c>
      <c r="C22" s="3238">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1919</v>
      </c>
      <c r="C23" s="32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1920</v>
      </c>
      <c r="E23" s="551">
        <v>44197</v>
      </c>
      <c r="F23" s="1571" t="s">
        <v>1921</v>
      </c>
      <c r="G23" s="552">
        <f>'数据-取费表'!B2</f>
        <v>46044</v>
      </c>
      <c r="H23" s="2532"/>
      <c r="I23" s="2533" t="str">
        <f>IF(H23="季度增幅（自定义）",SUMIF(N25:N28,E2,O25:O28),"")</f>
        <v/>
      </c>
      <c r="J23" s="2622"/>
      <c r="K23" s="818"/>
      <c r="L23" s="1572" t="s">
        <v>1922</v>
      </c>
      <c r="M23" s="958">
        <f>ROUND(SUMIF(地价!B2:G2,E2,地价!B16:G16),0)</f>
        <v>0</v>
      </c>
      <c r="N23" s="1573" t="s">
        <v>1923</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1924</v>
      </c>
      <c r="C24" s="554" t="e">
        <f>ROUND(POWER(1+G24,J24-I24)*(POWER(1+G24,I24)-1)/(POWER(1+G24,J24)-1),4)</f>
        <v>#DIV/0!</v>
      </c>
      <c r="D24" s="1577" t="s">
        <v>1925</v>
      </c>
      <c r="E24" s="963">
        <f>存贷款利率!E28/100</f>
        <v>4.3499999999999997E-2</v>
      </c>
      <c r="F24" s="1577" t="s">
        <v>1917</v>
      </c>
      <c r="G24" s="556">
        <f>SUMIF(M30:Q30,E2,M33:Q33)</f>
        <v>0</v>
      </c>
      <c r="H24" s="1577" t="s">
        <v>1926</v>
      </c>
      <c r="I24" s="557" t="e">
        <f>SUMIF('数据-取费表'!C6:C15,E2,'数据-取费表'!F6:F15)/COUNTIF('数据-取费表'!C6:C15,E2)</f>
        <v>#DIV/0!</v>
      </c>
      <c r="J24" s="558">
        <f>IF(E2="住宅",70,IF(E2="商业",40,50))</f>
        <v>50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1931</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1932</v>
      </c>
      <c r="B26" s="1587" t="s">
        <v>1933</v>
      </c>
      <c r="C26" s="1587" t="s">
        <v>3157</v>
      </c>
      <c r="D26" s="3240">
        <f>IF(E26=G26,F26,IF(G3&lt;10,ROUND(F26+(H26-F26)*(G3-E26)/(G26-E26),4),"——"))</f>
        <v>0</v>
      </c>
      <c r="E26" s="3240">
        <f>ROUNDDOWN(G3,1)</f>
        <v>0</v>
      </c>
      <c r="F26" s="3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40">
        <f>ROUNDUP(G3,1)</f>
        <v>0</v>
      </c>
      <c r="H26" s="3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3158</v>
      </c>
      <c r="J26" s="3171" t="str">
        <f>IF(G3&gt;=10,D115,"——")</f>
        <v>——</v>
      </c>
      <c r="K26" s="818"/>
      <c r="L26" s="2133"/>
      <c r="M26" s="2133"/>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1935</v>
      </c>
      <c r="B27" s="1588" t="s">
        <v>1936</v>
      </c>
      <c r="C27" s="3241">
        <f>ROUND(IF(I3&lt;6,SUMPRODUCT((B106:B110=I3)*(C105:N105=G2)*(C106:N110)),SUMIF(C105:N105,G2,C112:N112)),4)</f>
        <v>0</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1938</v>
      </c>
      <c r="C28" s="550">
        <f>SUMIF(A47:A101,E2,B47:B101)</f>
        <v>0</v>
      </c>
      <c r="D28" s="1569"/>
      <c r="E28" s="1594"/>
      <c r="F28" s="1594"/>
      <c r="G28" s="1594"/>
      <c r="H28" s="1594"/>
      <c r="I28" s="1594"/>
      <c r="J28" s="1595"/>
      <c r="K28" s="818"/>
      <c r="L28" s="2133"/>
      <c r="M28" s="2133"/>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1940</v>
      </c>
      <c r="C29" s="555"/>
      <c r="D29" s="1543"/>
      <c r="E29" s="1543"/>
      <c r="F29" s="1598"/>
      <c r="G29" s="1543"/>
      <c r="H29" s="1543"/>
      <c r="I29" s="1543"/>
      <c r="J29" s="1544"/>
      <c r="K29" s="813"/>
      <c r="L29" s="1519"/>
      <c r="M29" s="1519"/>
      <c r="N29" s="2130" t="s">
        <v>1941</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1942</v>
      </c>
      <c r="C30" s="3242" t="e">
        <f>IF(B25="容积率修正",E33+SUM(E37:E42),SUM(V2:V16)+SUM(E37:E42))</f>
        <v>#DIV/0!</v>
      </c>
      <c r="D30" s="1600"/>
      <c r="E30" s="1517"/>
      <c r="F30" s="1601"/>
      <c r="G30" s="1517"/>
      <c r="H30" s="1517"/>
      <c r="I30" s="1517"/>
      <c r="J30" s="1602"/>
      <c r="K30" s="813"/>
      <c r="L30" s="2538" t="s">
        <v>1854</v>
      </c>
      <c r="M30" s="2539" t="s">
        <v>1908</v>
      </c>
      <c r="N30" s="2539" t="s">
        <v>1909</v>
      </c>
      <c r="O30" s="2539" t="s">
        <v>1910</v>
      </c>
      <c r="P30" s="2539" t="s">
        <v>1911</v>
      </c>
      <c r="Q30" s="2542" t="s">
        <v>3162</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1943</v>
      </c>
      <c r="C31" s="3243" t="e">
        <f>E34+SUM(I37:I42)</f>
        <v>#DIV/0!</v>
      </c>
      <c r="D31" s="1604"/>
      <c r="E31" s="1605"/>
      <c r="F31" s="1606"/>
      <c r="G31" s="1605"/>
      <c r="H31" s="1605"/>
      <c r="I31" s="1605"/>
      <c r="J31" s="1607"/>
      <c r="K31" s="813"/>
      <c r="L31" s="2540" t="s">
        <v>1914</v>
      </c>
      <c r="M31" s="2748">
        <v>0.25</v>
      </c>
      <c r="N31" s="2748">
        <v>0.2</v>
      </c>
      <c r="O31" s="2748">
        <v>0.15</v>
      </c>
      <c r="P31" s="2748">
        <v>0.1</v>
      </c>
      <c r="Q31" s="3253">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1944</v>
      </c>
      <c r="C32" s="1610" t="s">
        <v>1945</v>
      </c>
      <c r="D32" s="1610" t="s">
        <v>1946</v>
      </c>
      <c r="E32" s="1611" t="s">
        <v>1947</v>
      </c>
      <c r="F32" s="1612"/>
      <c r="G32" s="1556"/>
      <c r="H32" s="1556"/>
      <c r="I32" s="1556"/>
      <c r="J32" s="1557"/>
      <c r="K32" s="813"/>
      <c r="L32" s="2541" t="s">
        <v>1917</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1948</v>
      </c>
      <c r="C33" s="3246" t="e">
        <f>ROUND(C5*C22*C23*C24*C25*C28,0)</f>
        <v>#DIV/0!</v>
      </c>
      <c r="D33" s="3249"/>
      <c r="E33" s="3251" t="e">
        <f>ROUND(C33*D33/10000,0)</f>
        <v>#DIV/0!</v>
      </c>
      <c r="F33" s="2534" t="s">
        <v>3160</v>
      </c>
      <c r="G33" s="1615"/>
      <c r="H33" s="1615"/>
      <c r="I33" s="1615"/>
      <c r="J33" s="1616"/>
      <c r="K33" s="813"/>
      <c r="L33" s="2537" t="s">
        <v>3163</v>
      </c>
      <c r="M33" s="3254">
        <v>5.5E-2</v>
      </c>
      <c r="N33" s="3254">
        <v>5.5E-2</v>
      </c>
      <c r="O33" s="3254">
        <v>0.05</v>
      </c>
      <c r="P33" s="3254">
        <v>0.05</v>
      </c>
      <c r="Q33" s="3254">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1949</v>
      </c>
      <c r="C34" s="3247" t="e">
        <f>ROUND(IF(E2="工业",C33*M42,IF(B25="楼层修正",SUM(V2:V16)*M41*10000/D34,C33*M41)),0)</f>
        <v>#DIV/0!</v>
      </c>
      <c r="D34" s="3250"/>
      <c r="E34" s="3251" t="e">
        <f>ROUND(IF(B25="楼层修正",SUM(V2:V16)*M40,C34*D34/10000),0)</f>
        <v>#DIV/0!</v>
      </c>
      <c r="F34" s="1619" t="s">
        <v>1950</v>
      </c>
      <c r="G34" s="1620"/>
      <c r="H34" s="1620"/>
      <c r="I34" s="1620"/>
      <c r="J34" s="1621"/>
      <c r="K34" s="813"/>
      <c r="L34" s="2537" t="s">
        <v>3164</v>
      </c>
      <c r="M34" s="3254">
        <v>6.5000000000000002E-2</v>
      </c>
      <c r="N34" s="3254">
        <v>6.5000000000000002E-2</v>
      </c>
      <c r="O34" s="3254">
        <v>0.06</v>
      </c>
      <c r="P34" s="3254">
        <v>0.06</v>
      </c>
      <c r="Q34" s="3254">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1951</v>
      </c>
      <c r="C35" s="2535" t="s">
        <v>3161</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1945</v>
      </c>
      <c r="D36" s="315" t="s">
        <v>1946</v>
      </c>
      <c r="E36" s="315" t="s">
        <v>1947</v>
      </c>
      <c r="F36" s="242" t="s">
        <v>1953</v>
      </c>
      <c r="G36" s="1627" t="s">
        <v>1945</v>
      </c>
      <c r="H36" s="1627" t="s">
        <v>1946</v>
      </c>
      <c r="I36" s="1627" t="s">
        <v>1947</v>
      </c>
      <c r="J36" s="156"/>
      <c r="K36" s="1637" t="s">
        <v>3165</v>
      </c>
      <c r="L36" s="2623">
        <f ca="1">'数据-取费表'!B41</f>
        <v>3.0599999999999999E-2</v>
      </c>
      <c r="M36" s="3255">
        <f ca="1">ROUND($L$36*(1+M31),3)</f>
        <v>3.7999999999999999E-2</v>
      </c>
      <c r="N36" s="3255">
        <f ca="1">ROUND($L$36*(1+N31),3)</f>
        <v>3.6999999999999998E-2</v>
      </c>
      <c r="O36" s="3255">
        <f ca="1">ROUND($L$36*(1+O31),3)</f>
        <v>3.5000000000000003E-2</v>
      </c>
      <c r="P36" s="3255">
        <f ca="1">ROUND($L$36*(1+P31),3)</f>
        <v>3.4000000000000002E-2</v>
      </c>
      <c r="Q36" s="3255">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72"/>
      <c r="B37" s="1628" t="s">
        <v>1954</v>
      </c>
      <c r="C37" s="3246" t="e">
        <f>ROUND(D5*C22*C23*C24*C28*F37,0)</f>
        <v>#DIV/0!</v>
      </c>
      <c r="D37" s="3249"/>
      <c r="E37" s="3248" t="e">
        <f>ROUND(C37*D37/10000,0)</f>
        <v>#DIV/0!</v>
      </c>
      <c r="F37" s="3189">
        <f>SUMIF(修正!A59:A70,G2,修正!B59:B70)</f>
        <v>0</v>
      </c>
      <c r="G37" s="3248" t="e">
        <f>ROUND(IF(E2="工业",C37*$M$42,C37*$M$41),0)</f>
        <v>#DIV/0!</v>
      </c>
      <c r="H37" s="3189">
        <f>D37</f>
        <v>0</v>
      </c>
      <c r="I37" s="3248" t="e">
        <f>ROUND(G37*H37/10000,0)</f>
        <v>#DIV/0!</v>
      </c>
      <c r="J37" s="2287"/>
      <c r="K37" s="2544" t="s">
        <v>3166</v>
      </c>
      <c r="L37" s="3256">
        <f ca="1">L36+K38</f>
        <v>3.56E-2</v>
      </c>
      <c r="M37" s="3255">
        <f ca="1">ROUND($L$37*(1+M31),3)</f>
        <v>4.4999999999999998E-2</v>
      </c>
      <c r="N37" s="3255">
        <f t="shared" ref="N37:Q37" ca="1" si="3">ROUND($L$37*(1+N31),3)</f>
        <v>4.2999999999999997E-2</v>
      </c>
      <c r="O37" s="3255">
        <f t="shared" ca="1" si="3"/>
        <v>4.1000000000000002E-2</v>
      </c>
      <c r="P37" s="3255">
        <f t="shared" ca="1" si="3"/>
        <v>3.9E-2</v>
      </c>
      <c r="Q37" s="3255">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73"/>
      <c r="B38" s="1559" t="s">
        <v>1955</v>
      </c>
      <c r="C38" s="3246" t="e">
        <f>ROUND(D5*C22*C23*C24*C28*F38,0)</f>
        <v>#DIV/0!</v>
      </c>
      <c r="D38" s="3249"/>
      <c r="E38" s="3248" t="e">
        <f t="shared" ref="E38:E42" si="4">ROUND(C38*D38/10000,0)</f>
        <v>#DIV/0!</v>
      </c>
      <c r="F38" s="3189">
        <f>SUMIF(修正!A59:A70,G2,修正!C59:C70)</f>
        <v>0</v>
      </c>
      <c r="G38" s="3248" t="e">
        <f>ROUND(IF(E2="工业",C38*$M$42,C38*$M$41),0)</f>
        <v>#DIV/0!</v>
      </c>
      <c r="H38" s="3189">
        <f t="shared" ref="H38:H42" si="5">D38</f>
        <v>0</v>
      </c>
      <c r="I38" s="3248"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73"/>
      <c r="B39" s="1559" t="s">
        <v>3159</v>
      </c>
      <c r="C39" s="3246" t="e">
        <f>ROUND(D5*C22*C23*C24*C28*F39,0)</f>
        <v>#DIV/0!</v>
      </c>
      <c r="D39" s="3249"/>
      <c r="E39" s="3248" t="e">
        <f t="shared" si="4"/>
        <v>#DIV/0!</v>
      </c>
      <c r="F39" s="3189">
        <f>SUMIF(修正!A59:A70,G2,修正!D59:D70)</f>
        <v>0</v>
      </c>
      <c r="G39" s="3248" t="e">
        <f>ROUND(IF(E2="工业",C39*$M$42,C39*$M$41),0)</f>
        <v>#DIV/0!</v>
      </c>
      <c r="H39" s="3189">
        <f t="shared" si="5"/>
        <v>0</v>
      </c>
      <c r="I39" s="3248"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1956</v>
      </c>
      <c r="C40" s="3248" t="e">
        <f>ROUND(D5*C22*C23*C24*C28*F40,0)</f>
        <v>#DIV/0!</v>
      </c>
      <c r="D40" s="3249"/>
      <c r="E40" s="3248" t="e">
        <f t="shared" si="4"/>
        <v>#DIV/0!</v>
      </c>
      <c r="F40" s="3244">
        <f>SUMIF(修正!A59:A70,G2,修正!E59:E70)</f>
        <v>0</v>
      </c>
      <c r="G40" s="3248" t="e">
        <f>ROUND(IF(E2="工业",C40*$M$42,C40*$M$41),0)</f>
        <v>#DIV/0!</v>
      </c>
      <c r="H40" s="3189">
        <f t="shared" si="5"/>
        <v>0</v>
      </c>
      <c r="I40" s="3248" t="e">
        <f t="shared" si="6"/>
        <v>#DIV/0!</v>
      </c>
      <c r="J40" s="716"/>
      <c r="L40" s="1630" t="s">
        <v>1957</v>
      </c>
      <c r="M40" s="1631"/>
      <c r="Z40" s="814"/>
      <c r="AA40" s="814"/>
      <c r="AB40" s="814"/>
      <c r="AC40" s="814"/>
      <c r="AD40" s="814"/>
      <c r="AE40" s="814"/>
      <c r="AF40" s="814"/>
      <c r="AG40" s="814"/>
      <c r="AH40" s="814"/>
      <c r="AI40" s="814"/>
      <c r="AJ40" s="814"/>
    </row>
    <row r="41" spans="1:37" s="813" customFormat="1">
      <c r="A41" s="1629"/>
      <c r="B41" s="1559" t="s">
        <v>1958</v>
      </c>
      <c r="C41" s="3248" t="e">
        <f>ROUND(D5*C22*C23*C44*C28*F41,0)</f>
        <v>#DIV/0!</v>
      </c>
      <c r="D41" s="3249"/>
      <c r="E41" s="3248" t="e">
        <f t="shared" si="4"/>
        <v>#DIV/0!</v>
      </c>
      <c r="F41" s="3244">
        <f>SUMIF(修正!A59:A70,G2,修正!F59:F70)</f>
        <v>0</v>
      </c>
      <c r="G41" s="3248" t="e">
        <f>ROUND(IF(E2="工业",C41*$M$42,C41*$M$41),0)</f>
        <v>#DIV/0!</v>
      </c>
      <c r="H41" s="3189">
        <f t="shared" si="5"/>
        <v>0</v>
      </c>
      <c r="I41" s="3248" t="e">
        <f t="shared" si="6"/>
        <v>#DIV/0!</v>
      </c>
      <c r="J41" s="716"/>
      <c r="L41" s="2545" t="s">
        <v>3167</v>
      </c>
      <c r="M41" s="1632">
        <v>0.25</v>
      </c>
      <c r="Z41" s="814"/>
      <c r="AA41" s="814"/>
      <c r="AB41" s="814"/>
      <c r="AC41" s="814"/>
      <c r="AD41" s="814"/>
      <c r="AE41" s="814"/>
      <c r="AF41" s="814"/>
      <c r="AG41" s="814"/>
      <c r="AH41" s="814"/>
      <c r="AI41" s="814"/>
      <c r="AJ41" s="814"/>
    </row>
    <row r="42" spans="1:37" s="813" customFormat="1" ht="13.5" thickBot="1">
      <c r="A42" s="1617"/>
      <c r="B42" s="1633" t="s">
        <v>1959</v>
      </c>
      <c r="C42" s="3247" t="e">
        <f>ROUND(D5*C22*C23*C44*C28*F42,0)</f>
        <v>#DIV/0!</v>
      </c>
      <c r="D42" s="3250"/>
      <c r="E42" s="3247" t="e">
        <f t="shared" si="4"/>
        <v>#DIV/0!</v>
      </c>
      <c r="F42" s="3252">
        <f>SUMIF(修正!A59:A70,G2,修正!G59:G70)</f>
        <v>0</v>
      </c>
      <c r="G42" s="3247" t="e">
        <f>ROUND(IF(E2="工业",C42*$M$42,C42*$M$41),0)</f>
        <v>#DIV/0!</v>
      </c>
      <c r="H42" s="3245">
        <f t="shared" si="5"/>
        <v>0</v>
      </c>
      <c r="I42" s="3247" t="e">
        <f t="shared" si="6"/>
        <v>#DIV/0!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2038</v>
      </c>
      <c r="C44" s="242" t="e">
        <f>ROUND(POWER(1+E44,H44-G44)*(POWER(1+E44,G44)-1)/(POWER(1+E44,H44)-1),4)</f>
        <v>#DIV/0!</v>
      </c>
      <c r="D44" s="86" t="s">
        <v>1917</v>
      </c>
      <c r="E44" s="1664">
        <f>G24</f>
        <v>0</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1961</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24.75">
      <c r="A50" s="1643" t="s">
        <v>1970</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1971</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3169</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1972</v>
      </c>
      <c r="B53" s="1647" t="s">
        <v>1973</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1974</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1975</v>
      </c>
      <c r="B55" s="1648" t="s">
        <v>1976</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1977</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1978</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1979</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24">
      <c r="A61" s="1643" t="s">
        <v>1982</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1971</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3169</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1972</v>
      </c>
      <c r="B64" s="1647" t="s">
        <v>1973</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1974</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1975</v>
      </c>
      <c r="B66" s="1648" t="s">
        <v>1976</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1977</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1978</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1979</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24">
      <c r="A72" s="1643" t="s">
        <v>1984</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1971</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3169</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1985</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1977</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1978</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1975</v>
      </c>
      <c r="B78" s="1648" t="s">
        <v>1976</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1979</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1986</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1987</v>
      </c>
      <c r="B81" s="1641">
        <f>1+E83</f>
        <v>1</v>
      </c>
      <c r="C81" s="537"/>
      <c r="D81" s="537"/>
      <c r="E81" s="538"/>
      <c r="F81" s="1642"/>
      <c r="G81" s="3"/>
      <c r="H81" s="3"/>
      <c r="I81" s="3"/>
      <c r="J81" s="4"/>
      <c r="K81" s="4"/>
      <c r="L81" s="4"/>
      <c r="M81" s="4"/>
      <c r="N81" s="4"/>
      <c r="Z81" s="1520"/>
      <c r="AA81" s="1570"/>
      <c r="AG81" s="815"/>
      <c r="AK81" s="1570"/>
    </row>
    <row r="82" spans="1:37" ht="24.75">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24">
      <c r="A83" s="1643" t="s">
        <v>1988</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1971</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3170</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1985</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1977</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1978</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1975</v>
      </c>
      <c r="B89" s="1648" t="s">
        <v>1989</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1990</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2514</v>
      </c>
      <c r="B91" s="2562">
        <f>1+E93</f>
        <v>1</v>
      </c>
      <c r="C91" s="2555"/>
      <c r="D91" s="2556"/>
      <c r="E91" s="1381"/>
      <c r="F91" s="1381"/>
      <c r="G91" s="2557"/>
      <c r="H91" s="2558"/>
      <c r="I91" s="2559"/>
      <c r="J91" s="2560"/>
      <c r="K91" s="2560"/>
      <c r="L91" s="2560"/>
      <c r="M91" s="2560"/>
      <c r="N91" s="2560"/>
    </row>
    <row r="92" spans="1:37" ht="24.75">
      <c r="A92" s="2563" t="s">
        <v>3171</v>
      </c>
      <c r="B92" s="1940"/>
      <c r="C92" s="1940" t="s">
        <v>3180</v>
      </c>
      <c r="D92" s="1940" t="s">
        <v>3181</v>
      </c>
      <c r="E92" s="2536" t="s">
        <v>3182</v>
      </c>
      <c r="F92" s="2565" t="s">
        <v>3183</v>
      </c>
      <c r="G92" s="1940" t="s">
        <v>3184</v>
      </c>
      <c r="H92" s="2572" t="s">
        <v>3187</v>
      </c>
      <c r="I92" s="1940" t="s">
        <v>3188</v>
      </c>
      <c r="J92" s="1787" t="s">
        <v>3189</v>
      </c>
      <c r="K92" s="1787" t="s">
        <v>3190</v>
      </c>
      <c r="L92" s="1787" t="s">
        <v>3191</v>
      </c>
      <c r="M92" s="1787" t="s">
        <v>3192</v>
      </c>
      <c r="N92" s="1787" t="s">
        <v>3193</v>
      </c>
    </row>
    <row r="93" spans="1:37" ht="24">
      <c r="A93" s="2553" t="s">
        <v>3172</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3173</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3169</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3174</v>
      </c>
      <c r="B96" s="2569" t="s">
        <v>3185</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3175</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3176</v>
      </c>
      <c r="B98" s="2570" t="s">
        <v>3186</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3177</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3178</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3179</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70" t="s">
        <v>3194</v>
      </c>
      <c r="B103" s="4570"/>
      <c r="C103" s="4570"/>
      <c r="D103" s="4570"/>
      <c r="E103" s="4570"/>
      <c r="F103" s="4570"/>
      <c r="G103" s="4570"/>
      <c r="H103" s="4570"/>
      <c r="I103" s="4570"/>
      <c r="J103" s="4570"/>
      <c r="K103" s="1373"/>
      <c r="L103" s="1373"/>
      <c r="M103" s="1373"/>
      <c r="N103" s="1373"/>
    </row>
    <row r="104" spans="1:14">
      <c r="A104" s="4571" t="s">
        <v>3195</v>
      </c>
      <c r="B104" s="4571" t="s">
        <v>3196</v>
      </c>
      <c r="C104" s="2573" t="s">
        <v>3197</v>
      </c>
      <c r="D104" s="2574"/>
      <c r="E104" s="2574"/>
      <c r="F104" s="2574"/>
      <c r="G104" s="2574"/>
      <c r="H104" s="2574"/>
      <c r="I104" s="2574"/>
      <c r="J104" s="2575"/>
      <c r="K104" s="2576"/>
      <c r="L104" s="2576"/>
      <c r="M104" s="2576"/>
      <c r="N104" s="2576"/>
    </row>
    <row r="105" spans="1:14">
      <c r="A105" s="4571"/>
      <c r="B105" s="4571"/>
      <c r="C105" s="2577" t="s">
        <v>3198</v>
      </c>
      <c r="D105" s="2577" t="s">
        <v>3199</v>
      </c>
      <c r="E105" s="2577" t="s">
        <v>3200</v>
      </c>
      <c r="F105" s="2577" t="s">
        <v>3201</v>
      </c>
      <c r="G105" s="2577" t="s">
        <v>3202</v>
      </c>
      <c r="H105" s="2577" t="s">
        <v>3203</v>
      </c>
      <c r="I105" s="2577" t="s">
        <v>3204</v>
      </c>
      <c r="J105" s="2577" t="s">
        <v>3205</v>
      </c>
      <c r="K105" s="2577" t="s">
        <v>3206</v>
      </c>
      <c r="L105" s="2577" t="s">
        <v>3207</v>
      </c>
      <c r="M105" s="2577" t="s">
        <v>3208</v>
      </c>
      <c r="N105" s="2577" t="s">
        <v>3209</v>
      </c>
    </row>
    <row r="106" spans="1:14">
      <c r="A106" s="4561" t="s">
        <v>3210</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62"/>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62"/>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62"/>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62"/>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62"/>
      <c r="B111" s="2577" t="s">
        <v>3168</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63"/>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64" t="s">
        <v>3211</v>
      </c>
      <c r="B113" s="4564"/>
      <c r="C113" s="4564"/>
      <c r="D113" s="4564"/>
      <c r="E113" s="4564"/>
      <c r="F113" s="4564"/>
      <c r="G113" s="4564"/>
      <c r="H113" s="4564"/>
      <c r="I113" s="4564"/>
      <c r="J113" s="4564"/>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3212</v>
      </c>
      <c r="B116" s="2597">
        <f>G3</f>
        <v>0</v>
      </c>
      <c r="C116" s="2582" t="s">
        <v>3213</v>
      </c>
      <c r="D116" s="2583">
        <f>SUMPRODUCT((A118:A122=F116)*(B117:M117=H116)*B118:M122)</f>
        <v>0</v>
      </c>
      <c r="E116" s="85" t="s">
        <v>3214</v>
      </c>
      <c r="F116" s="2584">
        <f>E2</f>
        <v>0</v>
      </c>
      <c r="G116" s="85" t="s">
        <v>3215</v>
      </c>
      <c r="H116" s="2584">
        <f>G2</f>
        <v>0</v>
      </c>
      <c r="I116" s="85"/>
      <c r="J116" s="2585"/>
      <c r="K116" s="2585"/>
      <c r="L116" s="2585"/>
      <c r="M116" s="2585"/>
      <c r="N116" s="2580"/>
    </row>
    <row r="117" spans="1:14">
      <c r="A117" s="2586"/>
      <c r="B117" s="2587" t="s">
        <v>3216</v>
      </c>
      <c r="C117" s="2587" t="s">
        <v>3217</v>
      </c>
      <c r="D117" s="2587" t="s">
        <v>3218</v>
      </c>
      <c r="E117" s="2588" t="s">
        <v>3219</v>
      </c>
      <c r="F117" s="2588" t="s">
        <v>3220</v>
      </c>
      <c r="G117" s="2588" t="s">
        <v>3221</v>
      </c>
      <c r="H117" s="2589" t="s">
        <v>3222</v>
      </c>
      <c r="I117" s="2589" t="s">
        <v>3223</v>
      </c>
      <c r="J117" s="2590" t="s">
        <v>3224</v>
      </c>
      <c r="K117" s="2590" t="s">
        <v>3225</v>
      </c>
      <c r="L117" s="2590" t="s">
        <v>3226</v>
      </c>
      <c r="M117" s="2591" t="s">
        <v>3227</v>
      </c>
      <c r="N117" s="2580"/>
    </row>
    <row r="118" spans="1:14">
      <c r="A118" s="2540" t="s">
        <v>3228</v>
      </c>
      <c r="B118" s="2572">
        <f>ROUND(0.9968-0.011*B116,4)</f>
        <v>0.99680000000000002</v>
      </c>
      <c r="C118" s="2572">
        <f>B118</f>
        <v>0.99680000000000002</v>
      </c>
      <c r="D118" s="2572">
        <f>ROUND(0.949-0.014*B116,4)</f>
        <v>0.94899999999999995</v>
      </c>
      <c r="E118" s="2572">
        <f>D118</f>
        <v>0.94899999999999995</v>
      </c>
      <c r="F118" s="2572">
        <f>E118</f>
        <v>0.94899999999999995</v>
      </c>
      <c r="G118" s="2572">
        <f>F118</f>
        <v>0.94899999999999995</v>
      </c>
      <c r="H118" s="2572">
        <f>G118</f>
        <v>0.94899999999999995</v>
      </c>
      <c r="I118" s="2572">
        <f>ROUND(0.8486-0.018*B116,4)</f>
        <v>0.84860000000000002</v>
      </c>
      <c r="J118" s="2572">
        <f t="shared" ref="J118:M122" si="35">I118</f>
        <v>0.84860000000000002</v>
      </c>
      <c r="K118" s="2572">
        <f t="shared" si="35"/>
        <v>0.84860000000000002</v>
      </c>
      <c r="L118" s="2572">
        <f t="shared" si="35"/>
        <v>0.84860000000000002</v>
      </c>
      <c r="M118" s="2592">
        <f t="shared" si="35"/>
        <v>0.84860000000000002</v>
      </c>
      <c r="N118" s="2580"/>
    </row>
    <row r="119" spans="1:14">
      <c r="A119" s="2540" t="s">
        <v>3229</v>
      </c>
      <c r="B119" s="2572">
        <f>ROUND(0.993-0.0112*B116,4)</f>
        <v>0.99299999999999999</v>
      </c>
      <c r="C119" s="2572">
        <f>B119</f>
        <v>0.99299999999999999</v>
      </c>
      <c r="D119" s="2572">
        <f>ROUND(0.9415-0.0142*B116,4)</f>
        <v>0.9415</v>
      </c>
      <c r="E119" s="2572">
        <f t="shared" ref="E119:H120" si="36">D119</f>
        <v>0.9415</v>
      </c>
      <c r="F119" s="2572">
        <f t="shared" si="36"/>
        <v>0.9415</v>
      </c>
      <c r="G119" s="2572">
        <f t="shared" si="36"/>
        <v>0.9415</v>
      </c>
      <c r="H119" s="2572">
        <f t="shared" si="36"/>
        <v>0.9415</v>
      </c>
      <c r="I119" s="2572">
        <f>ROUND(0.838-0.0182*B116,4)</f>
        <v>0.83799999999999997</v>
      </c>
      <c r="J119" s="2572">
        <f t="shared" si="35"/>
        <v>0.83799999999999997</v>
      </c>
      <c r="K119" s="2572">
        <f t="shared" si="35"/>
        <v>0.83799999999999997</v>
      </c>
      <c r="L119" s="2572">
        <f t="shared" si="35"/>
        <v>0.83799999999999997</v>
      </c>
      <c r="M119" s="2592">
        <f t="shared" si="35"/>
        <v>0.83799999999999997</v>
      </c>
      <c r="N119" s="2580"/>
    </row>
    <row r="120" spans="1:14">
      <c r="A120" s="2540" t="s">
        <v>3230</v>
      </c>
      <c r="B120" s="2572">
        <f>ROUND(0.9448-0.0115*B116,4)</f>
        <v>0.94479999999999997</v>
      </c>
      <c r="C120" s="2572">
        <f>B120</f>
        <v>0.94479999999999997</v>
      </c>
      <c r="D120" s="2572">
        <f>ROUND(0.937-0.0145*B116,4)</f>
        <v>0.93700000000000006</v>
      </c>
      <c r="E120" s="2572">
        <f t="shared" si="36"/>
        <v>0.93700000000000006</v>
      </c>
      <c r="F120" s="2572">
        <f t="shared" si="36"/>
        <v>0.93700000000000006</v>
      </c>
      <c r="G120" s="2572">
        <f t="shared" si="36"/>
        <v>0.93700000000000006</v>
      </c>
      <c r="H120" s="2572">
        <f t="shared" si="36"/>
        <v>0.93700000000000006</v>
      </c>
      <c r="I120" s="2572">
        <f>ROUND(0.7965-0.0185*B116,4)</f>
        <v>0.79649999999999999</v>
      </c>
      <c r="J120" s="2572">
        <f t="shared" si="35"/>
        <v>0.79649999999999999</v>
      </c>
      <c r="K120" s="2572">
        <f t="shared" si="35"/>
        <v>0.79649999999999999</v>
      </c>
      <c r="L120" s="2572">
        <f t="shared" si="35"/>
        <v>0.79649999999999999</v>
      </c>
      <c r="M120" s="2592">
        <f t="shared" si="35"/>
        <v>0.79649999999999999</v>
      </c>
      <c r="N120" s="2580"/>
    </row>
    <row r="121" spans="1:14" ht="13.5" thickBot="1">
      <c r="A121" s="2593" t="s">
        <v>3231</v>
      </c>
      <c r="B121" s="2594">
        <f>ROUND(0.7836-0.012*B116,4)</f>
        <v>0.78359999999999996</v>
      </c>
      <c r="C121" s="2594">
        <f>B121</f>
        <v>0.78359999999999996</v>
      </c>
      <c r="D121" s="2594">
        <f>ROUND(0.753-0.015*B116,4)</f>
        <v>0.753</v>
      </c>
      <c r="E121" s="2594">
        <f>D121</f>
        <v>0.753</v>
      </c>
      <c r="F121" s="2594">
        <f>E121</f>
        <v>0.753</v>
      </c>
      <c r="G121" s="2594">
        <f>ROUND(0.6612-0.018*B116,4)</f>
        <v>0.66120000000000001</v>
      </c>
      <c r="H121" s="2594">
        <f>G121</f>
        <v>0.66120000000000001</v>
      </c>
      <c r="I121" s="2594">
        <f>ROUND(0.5905-0.019*B116,4)</f>
        <v>0.59050000000000002</v>
      </c>
      <c r="J121" s="2594">
        <f t="shared" si="35"/>
        <v>0.59050000000000002</v>
      </c>
      <c r="K121" s="2594">
        <f t="shared" si="35"/>
        <v>0.59050000000000002</v>
      </c>
      <c r="L121" s="2594">
        <f t="shared" si="35"/>
        <v>0.59050000000000002</v>
      </c>
      <c r="M121" s="2595">
        <f t="shared" si="35"/>
        <v>0.59050000000000002</v>
      </c>
      <c r="N121" s="2580"/>
    </row>
    <row r="122" spans="1:14">
      <c r="A122" s="2596" t="s">
        <v>2514</v>
      </c>
      <c r="B122" s="2572">
        <f>ROUND(0.9404-0.0106*B116,4)</f>
        <v>0.94040000000000001</v>
      </c>
      <c r="C122" s="2572">
        <f>B122</f>
        <v>0.94040000000000001</v>
      </c>
      <c r="D122" s="2572">
        <f>ROUND(0.8955-0.0135*B116,4)</f>
        <v>0.89549999999999996</v>
      </c>
      <c r="E122" s="2572">
        <f t="shared" ref="E122:H122" si="37">D122</f>
        <v>0.89549999999999996</v>
      </c>
      <c r="F122" s="2572">
        <f t="shared" si="37"/>
        <v>0.89549999999999996</v>
      </c>
      <c r="G122" s="2572">
        <f t="shared" si="37"/>
        <v>0.89549999999999996</v>
      </c>
      <c r="H122" s="2572">
        <f t="shared" si="37"/>
        <v>0.89549999999999996</v>
      </c>
      <c r="I122" s="2572">
        <f>ROUND(0.7632-0.0166*B116,4)</f>
        <v>0.76319999999999999</v>
      </c>
      <c r="J122" s="2572">
        <f t="shared" si="35"/>
        <v>0.76319999999999999</v>
      </c>
      <c r="K122" s="2572">
        <f t="shared" si="35"/>
        <v>0.76319999999999999</v>
      </c>
      <c r="L122" s="2572">
        <f t="shared" si="35"/>
        <v>0.76319999999999999</v>
      </c>
      <c r="M122" s="2592">
        <f t="shared" si="35"/>
        <v>0.76319999999999999</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F26" sqref="F26"/>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3560</v>
      </c>
      <c r="B1" s="62"/>
      <c r="C1" s="849"/>
      <c r="D1" s="848"/>
      <c r="E1" s="2146"/>
      <c r="F1" s="2146"/>
      <c r="G1" s="2030"/>
      <c r="H1" s="2146"/>
      <c r="I1" s="2146"/>
      <c r="J1" s="2146"/>
      <c r="K1" s="2147">
        <f>MATCH(C1,'数据-取费表'!A6:A16,0)+5</f>
        <v>7</v>
      </c>
    </row>
    <row r="2" spans="1:33" ht="18" customHeight="1">
      <c r="A2" s="114" t="s">
        <v>1437</v>
      </c>
      <c r="B2" s="2667">
        <f ca="1">C34</f>
        <v>-237</v>
      </c>
      <c r="C2" s="189" t="s">
        <v>1540</v>
      </c>
      <c r="D2" s="189"/>
      <c r="E2" s="2146"/>
      <c r="F2" s="2146"/>
      <c r="G2" s="2146"/>
      <c r="H2" s="2146"/>
      <c r="I2" s="2146"/>
      <c r="J2" s="2146"/>
      <c r="K2" s="2146"/>
    </row>
    <row r="3" spans="1:33" ht="18" customHeight="1">
      <c r="A3" s="116" t="s">
        <v>1439</v>
      </c>
      <c r="B3" s="2667">
        <f ca="1">ROUND(B2*10000/IF(C1="",'数据-汇总表'!E3,INDIRECT("'数据-取费表'!K"&amp;$K$1)),0)</f>
        <v>-2260</v>
      </c>
      <c r="C3" s="189" t="s">
        <v>1541</v>
      </c>
      <c r="D3" s="189"/>
      <c r="E3" s="2146"/>
      <c r="F3" s="2146"/>
      <c r="G3" s="2146"/>
      <c r="H3" s="2146"/>
      <c r="I3" s="2146"/>
      <c r="J3" s="2146"/>
      <c r="K3" s="2146"/>
    </row>
    <row r="4" spans="1:33" ht="18" customHeight="1">
      <c r="A4" s="3840" t="s">
        <v>3676</v>
      </c>
      <c r="B4" s="2666" t="e">
        <f ca="1">ROUND(B2*10000/IF(C1="",'数据-汇总表'!D3,INDIRECT("'数据-取费表'!R"&amp;$K$1)),0)</f>
        <v>#DIV/0!</v>
      </c>
      <c r="C4" s="1416" t="s">
        <v>3678</v>
      </c>
      <c r="D4" s="189"/>
      <c r="E4" s="2146"/>
      <c r="F4" s="2146"/>
      <c r="G4" s="2146"/>
      <c r="H4" s="2146"/>
      <c r="I4" s="2146"/>
      <c r="J4" s="2146"/>
      <c r="K4" s="2146"/>
    </row>
    <row r="5" spans="1:33" ht="18" customHeight="1" thickBot="1">
      <c r="A5" s="112"/>
      <c r="B5" s="3849" t="e">
        <f ca="1">ROUND(B2/(IF(C1="",'数据-汇总表'!D3,INDIRECT("'数据-取费表'!R"&amp;$K$1))/666.67),0)</f>
        <v>#DIV/0!</v>
      </c>
      <c r="C5" s="3843" t="s">
        <v>3677</v>
      </c>
      <c r="D5" s="189"/>
      <c r="E5" s="2146"/>
      <c r="F5" s="2146"/>
      <c r="G5" s="2146"/>
      <c r="H5" s="2146"/>
      <c r="I5" s="2146"/>
      <c r="J5" s="2146"/>
      <c r="K5" s="2146"/>
    </row>
    <row r="6" spans="1:33" s="566" customFormat="1" ht="16.5" customHeight="1">
      <c r="A6" s="2858" t="s">
        <v>3564</v>
      </c>
      <c r="B6" s="2857"/>
      <c r="C6" s="4554" t="s">
        <v>3400</v>
      </c>
      <c r="D6" s="4554"/>
      <c r="E6" s="4554"/>
      <c r="F6" s="4554"/>
      <c r="G6" s="4554"/>
      <c r="H6" s="4554"/>
      <c r="I6" s="4554"/>
      <c r="J6" s="4554"/>
      <c r="K6" s="4555"/>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SUMIF('数据-汇总表'!$C19:$C33,'剩余法（现房）'!C7,'数据-汇总表'!$E19:$E33)</f>
        <v>0</v>
      </c>
      <c r="D9" s="2918">
        <f>SUMIF('数据-汇总表'!$C19:$C33,'剩余法（现房）'!D7,'数据-汇总表'!$E19:$E33)</f>
        <v>0</v>
      </c>
      <c r="E9" s="2918">
        <f>SUMIF('数据-汇总表'!$C19:$C33,'剩余法（现房）'!E7,'数据-汇总表'!$E19:$E33)</f>
        <v>0</v>
      </c>
      <c r="F9" s="2918">
        <f>SUMIF('数据-汇总表'!$C19:$C33,'剩余法（现房）'!F7,'数据-汇总表'!$E19:$E33)</f>
        <v>0</v>
      </c>
      <c r="G9" s="2918">
        <f>SUMIF('数据-汇总表'!$C19:$C33,'剩余法（现房）'!G7,'数据-汇总表'!$E19:$E33)</f>
        <v>0</v>
      </c>
      <c r="H9" s="2918">
        <f>SUMIF('数据-汇总表'!$C19:$C33,'剩余法（现房）'!H7,'数据-汇总表'!$E19:$E33)</f>
        <v>0</v>
      </c>
      <c r="I9" s="2918">
        <f>SUMIF('数据-汇总表'!$C19:$C33,'剩余法（现房）'!I7,'数据-汇总表'!$E19:$E33)</f>
        <v>0</v>
      </c>
      <c r="J9" s="2918">
        <f>SUMIF('数据-汇总表'!$C19:$C33,'剩余法（现房）'!J7,'数据-汇总表'!$E19:$E33)</f>
        <v>0</v>
      </c>
      <c r="K9" s="2919">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76" t="s">
        <v>3565</v>
      </c>
      <c r="B11" s="4577"/>
      <c r="C11" s="4577"/>
      <c r="D11" s="4577"/>
      <c r="E11" s="4577"/>
      <c r="F11" s="4577"/>
      <c r="G11" s="4577"/>
      <c r="H11" s="4577"/>
      <c r="I11" s="4577"/>
      <c r="J11" s="4577"/>
      <c r="K11" s="4578"/>
    </row>
    <row r="12" spans="1:33" s="572" customFormat="1" ht="13.5" customHeight="1">
      <c r="A12" s="3599" t="s">
        <v>3554</v>
      </c>
      <c r="B12" s="2882" t="s">
        <v>1548</v>
      </c>
      <c r="C12" s="2883" t="s">
        <v>1549</v>
      </c>
      <c r="D12" s="1242" t="s">
        <v>1550</v>
      </c>
      <c r="E12" s="1242" t="s">
        <v>1551</v>
      </c>
      <c r="F12" s="1242" t="s">
        <v>1552</v>
      </c>
      <c r="G12" s="3811" t="s">
        <v>3424</v>
      </c>
      <c r="H12" s="3812"/>
      <c r="I12" s="3812"/>
      <c r="J12" s="3812"/>
      <c r="K12" s="3813"/>
    </row>
    <row r="13" spans="1:33" s="572" customFormat="1" ht="13.5" customHeight="1">
      <c r="A13" s="2632">
        <v>1</v>
      </c>
      <c r="B13" s="2885" t="s">
        <v>3566</v>
      </c>
      <c r="C13" s="2869">
        <f>SUM(C10:K10)</f>
        <v>0</v>
      </c>
      <c r="D13" s="571"/>
      <c r="E13" s="571"/>
      <c r="F13" s="3613"/>
      <c r="G13" s="3800"/>
      <c r="H13" s="3799"/>
      <c r="I13" s="3799"/>
      <c r="J13" s="3799"/>
      <c r="K13" s="3814"/>
    </row>
    <row r="14" spans="1:33" s="572" customFormat="1" ht="13.5" customHeight="1">
      <c r="A14" s="2632">
        <v>2</v>
      </c>
      <c r="B14" s="2886" t="s">
        <v>3670</v>
      </c>
      <c r="C14" s="2869">
        <v>0</v>
      </c>
      <c r="D14" s="2886"/>
      <c r="E14" s="2886"/>
      <c r="F14" s="2772">
        <v>0</v>
      </c>
      <c r="G14" s="4011" t="s">
        <v>3721</v>
      </c>
      <c r="H14" s="3799"/>
      <c r="I14" s="3799"/>
      <c r="J14" s="3799"/>
      <c r="K14" s="3814"/>
    </row>
    <row r="15" spans="1:33" s="574" customFormat="1" ht="13.5" customHeight="1">
      <c r="A15" s="2632">
        <v>3</v>
      </c>
      <c r="B15" s="581" t="s">
        <v>3639</v>
      </c>
      <c r="C15" s="2678">
        <f ca="1">C32-C33</f>
        <v>237</v>
      </c>
      <c r="D15" s="581"/>
      <c r="E15" s="191"/>
      <c r="F15" s="3614"/>
      <c r="G15" s="3801" t="s">
        <v>3584</v>
      </c>
      <c r="H15" s="577"/>
      <c r="I15" s="577"/>
      <c r="J15" s="577"/>
      <c r="K15" s="578"/>
    </row>
    <row r="16" spans="1:33" s="574" customFormat="1" ht="13.5" customHeight="1">
      <c r="A16" s="3815" t="s">
        <v>3634</v>
      </c>
      <c r="B16" s="3618" t="s">
        <v>3567</v>
      </c>
      <c r="C16" s="3619">
        <f ca="1">SUM(C17:C22)</f>
        <v>329</v>
      </c>
      <c r="D16" s="3618"/>
      <c r="E16" s="3618"/>
      <c r="F16" s="3620"/>
      <c r="G16" s="2832"/>
      <c r="H16" s="3799"/>
      <c r="I16" s="3799"/>
      <c r="J16" s="3799"/>
      <c r="K16" s="3814"/>
    </row>
    <row r="17" spans="1:33" s="574" customFormat="1" ht="13.5" customHeight="1">
      <c r="A17" s="3816" t="s">
        <v>3585</v>
      </c>
      <c r="B17" s="3605" t="s">
        <v>3572</v>
      </c>
      <c r="C17" s="2644">
        <f ca="1">IF(C1="",'数据-取费表'!M16,INDIRECT("'数据-取费表'!M"&amp;$K$1)+INDIRECT("'数据-取费表'!ap"&amp;$K$1))</f>
        <v>288</v>
      </c>
      <c r="D17" s="3621"/>
      <c r="E17" s="3622"/>
      <c r="F17" s="3634"/>
      <c r="G17" s="3802"/>
      <c r="H17" s="3799"/>
      <c r="I17" s="3799"/>
      <c r="J17" s="3799"/>
      <c r="K17" s="3814"/>
    </row>
    <row r="18" spans="1:33" s="574" customFormat="1" ht="13.5" customHeight="1">
      <c r="A18" s="3816" t="s">
        <v>3573</v>
      </c>
      <c r="B18" s="3606" t="s">
        <v>3574</v>
      </c>
      <c r="C18" s="2644">
        <f ca="1">ROUND(C17*F18,0)</f>
        <v>14</v>
      </c>
      <c r="D18" s="3618"/>
      <c r="E18" s="3618"/>
      <c r="F18" s="3635">
        <f>'数据-取费表'!B33</f>
        <v>0.05</v>
      </c>
      <c r="G18" s="2832"/>
      <c r="H18" s="3799"/>
      <c r="I18" s="3799"/>
      <c r="J18" s="3799"/>
      <c r="K18" s="3814"/>
    </row>
    <row r="19" spans="1:33" s="574" customFormat="1" ht="13.5" customHeight="1">
      <c r="A19" s="3816" t="s">
        <v>3586</v>
      </c>
      <c r="B19" s="3607" t="s">
        <v>3542</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3587</v>
      </c>
      <c r="B20" s="3607" t="s">
        <v>3595</v>
      </c>
      <c r="C20" s="2644">
        <f ca="1">ROUND(D20*E20/10000,0)</f>
        <v>21</v>
      </c>
      <c r="D20" s="3616">
        <f ca="1">IF(C1="",'数据-汇总表'!E3,INDIRECT("'数据-取费表'!K"&amp;$K$1)+INDIRECT("'数据-取费表'!S"&amp;$K$1))</f>
        <v>1048.8</v>
      </c>
      <c r="E20" s="3617">
        <f>'数据-取费表'!B35</f>
        <v>200</v>
      </c>
      <c r="F20" s="3616"/>
      <c r="G20" s="2640"/>
      <c r="H20" s="3799"/>
      <c r="I20" s="3799"/>
      <c r="J20" s="577"/>
      <c r="K20" s="578"/>
    </row>
    <row r="21" spans="1:33" s="574" customFormat="1" ht="13.5" customHeight="1">
      <c r="A21" s="3816" t="s">
        <v>3588</v>
      </c>
      <c r="B21" s="3608" t="s">
        <v>3545</v>
      </c>
      <c r="C21" s="2644">
        <f ca="1">ROUND(C17*F21,0)</f>
        <v>3</v>
      </c>
      <c r="D21" s="3623"/>
      <c r="E21" s="3623"/>
      <c r="F21" s="3635">
        <f>'数据-取费表'!B36</f>
        <v>0.01</v>
      </c>
      <c r="G21" s="2640"/>
      <c r="H21" s="579"/>
      <c r="I21" s="579"/>
      <c r="J21" s="579"/>
      <c r="K21" s="3817"/>
    </row>
    <row r="22" spans="1:33" s="574" customFormat="1" ht="13.5" customHeight="1">
      <c r="A22" s="3816" t="s">
        <v>3589</v>
      </c>
      <c r="B22" s="3608" t="s">
        <v>3596</v>
      </c>
      <c r="C22" s="2644">
        <f ca="1">ROUND(C17*F22,0)</f>
        <v>3</v>
      </c>
      <c r="D22" s="3623"/>
      <c r="E22" s="3623"/>
      <c r="F22" s="3635">
        <f>'数据-取费表'!B37</f>
        <v>0.01</v>
      </c>
      <c r="G22" s="2640"/>
      <c r="H22" s="579"/>
      <c r="I22" s="579"/>
      <c r="J22" s="579"/>
      <c r="K22" s="3817"/>
    </row>
    <row r="23" spans="1:33" s="575" customFormat="1" ht="13.5" customHeight="1">
      <c r="A23" s="3815" t="s">
        <v>3635</v>
      </c>
      <c r="B23" s="3618" t="s">
        <v>3531</v>
      </c>
      <c r="C23" s="2649">
        <f ca="1">ROUND(C16*F23,0)</f>
        <v>7</v>
      </c>
      <c r="D23" s="3624"/>
      <c r="E23" s="3624"/>
      <c r="F23" s="3636">
        <f>'数据-取费表'!B38</f>
        <v>0.02</v>
      </c>
      <c r="G23" s="2652" t="s">
        <v>3568</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3636</v>
      </c>
      <c r="B24" s="3618" t="s">
        <v>3575</v>
      </c>
      <c r="C24" s="2649" t="str">
        <f>F24&amp;"V建"</f>
        <v>0.01V建</v>
      </c>
      <c r="D24" s="3624"/>
      <c r="E24" s="3624"/>
      <c r="F24" s="3636">
        <f>'数据-取费表'!B39</f>
        <v>0.01</v>
      </c>
      <c r="G24" s="2652" t="s">
        <v>3569</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3637</v>
      </c>
      <c r="B25" s="3618" t="s">
        <v>3449</v>
      </c>
      <c r="C25" s="3625" t="str">
        <f ca="1">C26&amp;"+"&amp;C27&amp;"V建"</f>
        <v>8+0.0001V建</v>
      </c>
      <c r="D25" s="3626"/>
      <c r="E25" s="3626"/>
      <c r="F25" s="3635">
        <f ca="1">'数据-取费表'!B41</f>
        <v>3.0599999999999999E-2</v>
      </c>
      <c r="G25" s="3803" t="s">
        <v>3576</v>
      </c>
      <c r="H25" s="3804"/>
      <c r="I25" s="3804"/>
      <c r="J25" s="3804"/>
      <c r="K25" s="3818"/>
    </row>
    <row r="26" spans="1:33" s="575" customFormat="1" ht="13.5" customHeight="1">
      <c r="A26" s="3816" t="s">
        <v>3577</v>
      </c>
      <c r="B26" s="3608" t="s">
        <v>3600</v>
      </c>
      <c r="C26" s="3625">
        <f ca="1">ROUND(IF('数据-取费表'!B20&lt;=1,(C16+C23)*F25*'数据-取费表'!B20/2,(C23+C16)*(POWER((1+F25),'数据-取费表'!B20/2)-1)),0)</f>
        <v>8</v>
      </c>
      <c r="D26" s="3626"/>
      <c r="E26" s="3626"/>
      <c r="F26" s="3616"/>
      <c r="G26" s="3803" t="s">
        <v>3578</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3579</v>
      </c>
      <c r="B27" s="3608" t="s">
        <v>3601</v>
      </c>
      <c r="C27" s="3627">
        <f>ROUND(IF('数据-取费表'!B20&lt;=1,F24*F25*'数据-取费表'!B20/2,F24*(POWER((1+F23),'数据-取费表'!B20/2)-1)),4)</f>
        <v>1E-4</v>
      </c>
      <c r="D27" s="3379"/>
      <c r="E27" s="3379"/>
      <c r="F27" s="3634"/>
      <c r="G27" s="3805"/>
      <c r="H27" s="3799"/>
      <c r="I27" s="3799"/>
      <c r="J27" s="3799"/>
      <c r="K27" s="3814"/>
    </row>
    <row r="28" spans="1:33" s="574" customFormat="1" ht="13.5" customHeight="1">
      <c r="A28" s="3815" t="s">
        <v>3580</v>
      </c>
      <c r="B28" s="3618" t="s">
        <v>3597</v>
      </c>
      <c r="C28" s="2855" t="str">
        <f ca="1">C29&amp;"+"&amp;C30&amp;"V建"</f>
        <v>34+0.001V建</v>
      </c>
      <c r="D28" s="1084"/>
      <c r="E28" s="1084"/>
      <c r="F28" s="3637">
        <f ca="1">IF(C1="",'数据-取费表'!Q16,INDIRECT("'数据-取费表'!q"&amp;$K$1))</f>
        <v>0.1</v>
      </c>
      <c r="G28" s="4579" t="s">
        <v>3581</v>
      </c>
      <c r="H28" s="3799"/>
      <c r="I28" s="3799"/>
      <c r="J28" s="3799"/>
      <c r="K28" s="3814"/>
    </row>
    <row r="29" spans="1:33" s="574" customFormat="1" ht="13.5" customHeight="1">
      <c r="A29" s="3816" t="s">
        <v>3593</v>
      </c>
      <c r="B29" s="3608" t="s">
        <v>3598</v>
      </c>
      <c r="C29" s="2856">
        <f ca="1">ROUND((C16+C23)*F28,0)</f>
        <v>34</v>
      </c>
      <c r="D29" s="1084"/>
      <c r="E29" s="1084"/>
      <c r="F29" s="2937"/>
      <c r="G29" s="4579"/>
      <c r="H29" s="3806"/>
      <c r="I29" s="3806"/>
      <c r="J29" s="3806"/>
      <c r="K29" s="3819"/>
    </row>
    <row r="30" spans="1:33" s="582" customFormat="1" ht="13.5" customHeight="1">
      <c r="A30" s="3816" t="s">
        <v>3594</v>
      </c>
      <c r="B30" s="3608" t="s">
        <v>3599</v>
      </c>
      <c r="C30" s="2644">
        <f ca="1">ROUND(F24*F28,4)</f>
        <v>1E-3</v>
      </c>
      <c r="D30" s="3628"/>
      <c r="E30" s="3626"/>
      <c r="F30" s="3616"/>
      <c r="G30" s="3807"/>
      <c r="H30" s="577"/>
      <c r="I30" s="577"/>
      <c r="J30" s="577"/>
      <c r="K30" s="578"/>
    </row>
    <row r="31" spans="1:33" s="582" customFormat="1" ht="13.5" customHeight="1">
      <c r="A31" s="3815" t="s">
        <v>3590</v>
      </c>
      <c r="B31" s="3618" t="s">
        <v>3602</v>
      </c>
      <c r="C31" s="2644">
        <v>0</v>
      </c>
      <c r="D31" s="3629"/>
      <c r="E31" s="3630"/>
      <c r="F31" s="3616"/>
      <c r="G31" s="3808" t="s">
        <v>3570</v>
      </c>
      <c r="H31" s="577"/>
      <c r="I31" s="577"/>
      <c r="J31" s="577"/>
      <c r="K31" s="578"/>
    </row>
    <row r="32" spans="1:33" s="574" customFormat="1" ht="13.5" customHeight="1">
      <c r="A32" s="3815" t="s">
        <v>3591</v>
      </c>
      <c r="B32" s="3618" t="s">
        <v>3638</v>
      </c>
      <c r="C32" s="3619">
        <f ca="1">ROUND((C16+C23+C26+C29)/(1-F24-C27-C30),0)</f>
        <v>382</v>
      </c>
      <c r="D32" s="3629"/>
      <c r="E32" s="3630"/>
      <c r="F32" s="3616"/>
      <c r="G32" s="3809" t="s">
        <v>3571</v>
      </c>
      <c r="H32" s="3810"/>
      <c r="I32" s="3810"/>
      <c r="J32" s="3810"/>
      <c r="K32" s="3820"/>
    </row>
    <row r="33" spans="1:11" s="194" customFormat="1" ht="13.5" customHeight="1">
      <c r="A33" s="3815" t="s">
        <v>3592</v>
      </c>
      <c r="B33" s="3631" t="s">
        <v>3582</v>
      </c>
      <c r="C33" s="3632">
        <f ca="1">ROUND(C32*(1-F33),0)</f>
        <v>145</v>
      </c>
      <c r="D33" s="3633"/>
      <c r="E33" s="3379"/>
      <c r="F33" s="3636">
        <f>IF('数据-取费表'!B24=0,'数据-取费表'!N16,1)</f>
        <v>0.62</v>
      </c>
      <c r="G33" s="3801" t="s">
        <v>3583</v>
      </c>
      <c r="H33" s="3806"/>
      <c r="I33" s="3806"/>
      <c r="J33" s="3806"/>
      <c r="K33" s="3819"/>
    </row>
    <row r="34" spans="1:11" s="572" customFormat="1" ht="15.75" thickBot="1">
      <c r="A34" s="3821">
        <v>4</v>
      </c>
      <c r="B34" s="3822" t="s">
        <v>3640</v>
      </c>
      <c r="C34" s="3823">
        <f ca="1">C13-C15</f>
        <v>-237</v>
      </c>
      <c r="D34" s="3822"/>
      <c r="E34" s="3822"/>
      <c r="F34" s="3824"/>
      <c r="G34" s="3825" t="s">
        <v>3669</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F26" sqref="F26"/>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3561</v>
      </c>
      <c r="B1" s="3612"/>
      <c r="C1" s="3072"/>
      <c r="D1" s="111"/>
      <c r="E1" s="111"/>
      <c r="F1" s="111"/>
      <c r="G1" s="819">
        <f>MATCH(C1,'数据-取费表'!A6:A16,0)+5</f>
        <v>7</v>
      </c>
    </row>
    <row r="2" spans="1:7" s="113" customFormat="1" ht="15.75">
      <c r="A2" s="114" t="s">
        <v>1437</v>
      </c>
      <c r="B2" s="2666">
        <f ca="1">C34</f>
        <v>40</v>
      </c>
      <c r="C2" s="112" t="s">
        <v>1438</v>
      </c>
      <c r="D2" s="112"/>
      <c r="E2" s="2653"/>
      <c r="F2" s="112"/>
      <c r="G2" s="112"/>
    </row>
    <row r="3" spans="1:7" s="113" customFormat="1" ht="15.75">
      <c r="A3" s="116" t="s">
        <v>1439</v>
      </c>
      <c r="B3" s="2667">
        <f ca="1">ROUND(B2*10000/(IF(C1="",'数据-汇总表'!E3,INDIRECT("'数据-取费表'!k"&amp;$G$1))),0)</f>
        <v>381</v>
      </c>
      <c r="C3" s="112" t="s">
        <v>1440</v>
      </c>
      <c r="D3" s="112"/>
      <c r="E3" s="2653"/>
      <c r="F3" s="112"/>
      <c r="G3" s="112"/>
    </row>
    <row r="4" spans="1:7" s="113" customFormat="1" ht="15.75">
      <c r="A4" s="3840" t="s">
        <v>3676</v>
      </c>
      <c r="B4" s="2666" t="e">
        <f ca="1">ROUND(B2*10000/'数据-汇总表'!D3,0)</f>
        <v>#DIV/0!</v>
      </c>
      <c r="C4" s="114" t="s">
        <v>3678</v>
      </c>
      <c r="D4" s="112"/>
      <c r="E4" s="2653"/>
      <c r="F4" s="112"/>
      <c r="G4" s="112"/>
    </row>
    <row r="5" spans="1:7" s="113" customFormat="1" ht="16.5" thickBot="1">
      <c r="A5" s="112"/>
      <c r="B5" s="3849" t="e">
        <f ca="1">ROUND(B2/('数据-汇总表'!D3/666.67),0)</f>
        <v>#DIV/0!</v>
      </c>
      <c r="C5" s="3834" t="s">
        <v>3677</v>
      </c>
      <c r="D5" s="112"/>
      <c r="E5" s="2653"/>
      <c r="F5" s="112"/>
      <c r="G5" s="112"/>
    </row>
    <row r="6" spans="1:7" s="113" customFormat="1" ht="15.75">
      <c r="A6" s="3656" t="s">
        <v>3345</v>
      </c>
      <c r="B6" s="3657" t="s">
        <v>3346</v>
      </c>
      <c r="C6" s="3658" t="s">
        <v>3347</v>
      </c>
      <c r="D6" s="3659" t="s">
        <v>3353</v>
      </c>
      <c r="E6" s="3660" t="s">
        <v>3354</v>
      </c>
      <c r="F6" s="3660" t="s">
        <v>3355</v>
      </c>
      <c r="G6" s="3661" t="s">
        <v>3348</v>
      </c>
    </row>
    <row r="7" spans="1:7" s="121" customFormat="1" ht="15.75">
      <c r="A7" s="3662" t="s">
        <v>3344</v>
      </c>
      <c r="B7" s="2646" t="s">
        <v>3620</v>
      </c>
      <c r="C7" s="2669">
        <f>IF(G7="征收国有地",C8,IF(G7="征收集体地",C11,C17))</f>
        <v>0</v>
      </c>
      <c r="D7" s="3644"/>
      <c r="E7" s="3644"/>
      <c r="F7" s="3644"/>
      <c r="G7" s="3781"/>
    </row>
    <row r="8" spans="1:7" s="127" customFormat="1">
      <c r="A8" s="3663" t="s">
        <v>3644</v>
      </c>
      <c r="B8" s="3651" t="s">
        <v>3615</v>
      </c>
      <c r="C8" s="2707">
        <f>C9+C10</f>
        <v>0</v>
      </c>
      <c r="D8" s="3610"/>
      <c r="E8" s="3610"/>
      <c r="F8" s="3610"/>
      <c r="G8" s="3642"/>
    </row>
    <row r="9" spans="1:7" s="127" customFormat="1">
      <c r="A9" s="2728" t="s">
        <v>1457</v>
      </c>
      <c r="B9" s="142" t="s">
        <v>3603</v>
      </c>
      <c r="C9" s="3861">
        <f>ROUND(D9*E9/10000,0)</f>
        <v>0</v>
      </c>
      <c r="D9" s="3640"/>
      <c r="E9" s="3640"/>
      <c r="F9" s="3610"/>
      <c r="G9" s="3664"/>
    </row>
    <row r="10" spans="1:7" s="127" customFormat="1">
      <c r="A10" s="2728" t="s">
        <v>1460</v>
      </c>
      <c r="B10" s="142" t="s">
        <v>3604</v>
      </c>
      <c r="C10" s="3861">
        <f>ROUND(D10*E10/10000,0)</f>
        <v>0</v>
      </c>
      <c r="D10" s="3640"/>
      <c r="E10" s="3640"/>
      <c r="F10" s="3610"/>
      <c r="G10" s="3664"/>
    </row>
    <row r="11" spans="1:7" s="127" customFormat="1" ht="13.5">
      <c r="A11" s="3611" t="s">
        <v>3626</v>
      </c>
      <c r="B11" s="3776" t="s">
        <v>3616</v>
      </c>
      <c r="C11" s="154">
        <f>C12+C15+C16</f>
        <v>0</v>
      </c>
      <c r="D11" s="3610"/>
      <c r="E11" s="3610"/>
      <c r="F11" s="3610"/>
      <c r="G11" s="3664"/>
    </row>
    <row r="12" spans="1:7" s="127" customFormat="1">
      <c r="A12" s="2728" t="s">
        <v>1457</v>
      </c>
      <c r="B12" s="142" t="s">
        <v>3605</v>
      </c>
      <c r="C12" s="142">
        <f>C13+C14</f>
        <v>0</v>
      </c>
      <c r="D12" s="1067"/>
      <c r="E12" s="1067"/>
      <c r="F12" s="3610"/>
      <c r="G12" s="3665" t="s">
        <v>3606</v>
      </c>
    </row>
    <row r="13" spans="1:7" s="127" customFormat="1">
      <c r="A13" s="3777" t="s">
        <v>3628</v>
      </c>
      <c r="B13" s="3778" t="s">
        <v>3627</v>
      </c>
      <c r="C13" s="3861">
        <f>ROUND(D13*E13/10000,0)</f>
        <v>0</v>
      </c>
      <c r="D13" s="3640"/>
      <c r="E13" s="3640"/>
      <c r="F13" s="3610"/>
      <c r="G13" s="3666" t="s">
        <v>3709</v>
      </c>
    </row>
    <row r="14" spans="1:7" s="127" customFormat="1">
      <c r="A14" s="3777" t="s">
        <v>3630</v>
      </c>
      <c r="B14" s="3778" t="s">
        <v>3629</v>
      </c>
      <c r="C14" s="3640">
        <v>0</v>
      </c>
      <c r="D14" s="1067"/>
      <c r="E14" s="1067"/>
      <c r="F14" s="3610"/>
      <c r="G14" s="3666"/>
    </row>
    <row r="15" spans="1:7" s="127" customFormat="1">
      <c r="A15" s="2728" t="s">
        <v>1460</v>
      </c>
      <c r="B15" s="142" t="s">
        <v>3607</v>
      </c>
      <c r="C15" s="3861">
        <f t="shared" ref="C15" si="0">ROUND(D15*E15/10000,0)</f>
        <v>0</v>
      </c>
      <c r="D15" s="3640"/>
      <c r="E15" s="3640"/>
      <c r="F15" s="3610"/>
      <c r="G15" s="3666" t="s">
        <v>3608</v>
      </c>
    </row>
    <row r="16" spans="1:7" s="127" customFormat="1">
      <c r="A16" s="2728" t="s">
        <v>3619</v>
      </c>
      <c r="B16" s="3652" t="s">
        <v>3609</v>
      </c>
      <c r="C16" s="3861">
        <f>C13*F16</f>
        <v>0</v>
      </c>
      <c r="D16" s="3640"/>
      <c r="E16" s="3640"/>
      <c r="F16" s="3862">
        <v>0.25</v>
      </c>
      <c r="G16" s="3791" t="s">
        <v>3610</v>
      </c>
    </row>
    <row r="17" spans="1:9" s="127" customFormat="1" ht="13.5">
      <c r="A17" s="3611" t="s">
        <v>337</v>
      </c>
      <c r="B17" s="3651" t="s">
        <v>3617</v>
      </c>
      <c r="C17" s="2665">
        <f>C18+C19</f>
        <v>0</v>
      </c>
      <c r="D17" s="3783"/>
      <c r="E17" s="3784"/>
      <c r="F17" s="2698"/>
      <c r="G17" s="3792"/>
    </row>
    <row r="18" spans="1:9" s="127" customFormat="1">
      <c r="A18" s="3609" t="s">
        <v>347</v>
      </c>
      <c r="B18" s="3652" t="s">
        <v>1448</v>
      </c>
      <c r="C18" s="3347"/>
      <c r="D18" s="3785"/>
      <c r="E18" s="3784"/>
      <c r="F18" s="2697"/>
      <c r="G18" s="3863" t="s">
        <v>3710</v>
      </c>
    </row>
    <row r="19" spans="1:9" s="127" customFormat="1">
      <c r="A19" s="3609" t="s">
        <v>1449</v>
      </c>
      <c r="B19" s="3652" t="s">
        <v>1450</v>
      </c>
      <c r="C19" s="2665">
        <f>ROUND(C18*F19,0)</f>
        <v>0</v>
      </c>
      <c r="D19" s="3783"/>
      <c r="E19" s="3784"/>
      <c r="F19" s="2698">
        <f>IF(项目基本情况!B8="出让",0,'数据-取费表'!B49+'数据-取费表'!B50)</f>
        <v>3.0499999999999999E-2</v>
      </c>
      <c r="G19" s="3792"/>
    </row>
    <row r="20" spans="1:9" s="2677" customFormat="1" ht="15.75">
      <c r="A20" s="3662" t="s">
        <v>3645</v>
      </c>
      <c r="B20" s="2646" t="s">
        <v>3618</v>
      </c>
      <c r="C20" s="2678">
        <f ca="1">C21+C24+C25</f>
        <v>42</v>
      </c>
      <c r="D20" s="3786"/>
      <c r="E20" s="3787"/>
      <c r="F20" s="2702"/>
      <c r="G20" s="3793"/>
    </row>
    <row r="21" spans="1:9" s="136" customFormat="1" ht="15">
      <c r="A21" s="3667" t="s">
        <v>3641</v>
      </c>
      <c r="B21" s="3645" t="s">
        <v>3337</v>
      </c>
      <c r="C21" s="2707">
        <f>IF(G21="已包含在土地购买价格中","0",IF(C1="",'数据-取费表'!B29,IF(G22="全部缴纳",C22+C23,H22)))</f>
        <v>0</v>
      </c>
      <c r="D21" s="3788"/>
      <c r="E21" s="3789"/>
      <c r="F21" s="3641"/>
      <c r="G21" s="1418"/>
    </row>
    <row r="22" spans="1:9" s="127" customFormat="1">
      <c r="A22" s="2648" t="s">
        <v>3624</v>
      </c>
      <c r="B22" s="3646" t="s">
        <v>1453</v>
      </c>
      <c r="C22" s="2706">
        <f ca="1">ROUND(D22*E22/10000,0)</f>
        <v>0</v>
      </c>
      <c r="D22" s="3638">
        <f ca="1">IF(C1="",'数据-汇总表'!E5,IF(INDIRECT("'数据-取费表'!c"&amp;$G$1)="住宅",INDIRECT("'数据-取费表'!k"&amp;$G$1),0))</f>
        <v>0</v>
      </c>
      <c r="E22" s="3638">
        <f>'数据-取费表'!B27</f>
        <v>160</v>
      </c>
      <c r="F22" s="2698"/>
      <c r="G22" s="1419"/>
      <c r="H22" s="825"/>
      <c r="I22" s="1420" t="s">
        <v>1454</v>
      </c>
    </row>
    <row r="23" spans="1:9" s="127" customFormat="1">
      <c r="A23" s="2648" t="s">
        <v>3625</v>
      </c>
      <c r="B23" s="3646" t="s">
        <v>1455</v>
      </c>
      <c r="C23" s="2706">
        <f ca="1">ROUND(D23*E23/10000,0)</f>
        <v>21</v>
      </c>
      <c r="D23" s="3638">
        <f ca="1">IF(C1="",'数据-汇总表'!E6,IF(INDIRECT("'数据-取费表'!c"&amp;$G$1)="住宅",INDIRECT("'数据-取费表'!s"&amp;$G$1),INDIRECT("'数据-取费表'!k"&amp;$G$1)+INDIRECT("'数据-取费表'!s"&amp;$G$1)))</f>
        <v>1048.8</v>
      </c>
      <c r="E23" s="3638">
        <f>'数据-取费表'!B28</f>
        <v>200</v>
      </c>
      <c r="F23" s="2698"/>
      <c r="G23" s="3794"/>
    </row>
    <row r="24" spans="1:9" s="127" customFormat="1" ht="13.5">
      <c r="A24" s="3611" t="s">
        <v>3626</v>
      </c>
      <c r="B24" s="3647" t="s">
        <v>3642</v>
      </c>
      <c r="C24" s="2707">
        <f ca="1">IF(G24="已包含在土地取得成本中","0",ROUND(D24*E24/10000,0))</f>
        <v>21</v>
      </c>
      <c r="D24" s="3639">
        <f ca="1">D22+D23</f>
        <v>1048.8</v>
      </c>
      <c r="E24" s="3639">
        <f>'数据-取费表'!B31</f>
        <v>200</v>
      </c>
      <c r="F24" s="3648"/>
      <c r="G24" s="1418"/>
    </row>
    <row r="25" spans="1:9" s="127" customFormat="1" ht="13.5">
      <c r="A25" s="3611" t="s">
        <v>337</v>
      </c>
      <c r="B25" s="3647" t="s">
        <v>3643</v>
      </c>
      <c r="C25" s="2707">
        <f ca="1">ROUND(E25*D25/10000,0)</f>
        <v>21</v>
      </c>
      <c r="D25" s="3639">
        <f ca="1">D24</f>
        <v>1048.8</v>
      </c>
      <c r="E25" s="3639">
        <f>'数据-取费表'!B35</f>
        <v>200</v>
      </c>
      <c r="F25" s="3641"/>
      <c r="G25" s="3795"/>
    </row>
    <row r="26" spans="1:9" s="121" customFormat="1" ht="15.75">
      <c r="A26" s="3662" t="s">
        <v>3646</v>
      </c>
      <c r="B26" s="2646" t="s">
        <v>3647</v>
      </c>
      <c r="C26" s="2666">
        <f>C27+C28</f>
        <v>0</v>
      </c>
      <c r="D26" s="3790"/>
      <c r="E26" s="3790"/>
      <c r="F26" s="3641"/>
      <c r="G26" s="3796"/>
    </row>
    <row r="27" spans="1:9" s="127" customFormat="1">
      <c r="A27" s="3663" t="s">
        <v>3644</v>
      </c>
      <c r="B27" s="3649" t="s">
        <v>3611</v>
      </c>
      <c r="C27" s="2707">
        <f>ROUND(E27*D27/10000,0)</f>
        <v>0</v>
      </c>
      <c r="D27" s="3650"/>
      <c r="E27" s="3672">
        <v>25</v>
      </c>
      <c r="F27" s="3641"/>
      <c r="G27" s="3791" t="s">
        <v>3612</v>
      </c>
    </row>
    <row r="28" spans="1:9" s="127" customFormat="1">
      <c r="A28" s="3668" t="s">
        <v>3626</v>
      </c>
      <c r="B28" s="3649" t="s">
        <v>3613</v>
      </c>
      <c r="C28" s="2707">
        <f>ROUND(E28*D28/10000,0)</f>
        <v>0</v>
      </c>
      <c r="D28" s="3650"/>
      <c r="E28" s="3672">
        <v>60.1</v>
      </c>
      <c r="F28" s="3641"/>
      <c r="G28" s="3791" t="s">
        <v>3614</v>
      </c>
    </row>
    <row r="29" spans="1:9" s="2677" customFormat="1" ht="15.75">
      <c r="A29" s="3662" t="s">
        <v>3648</v>
      </c>
      <c r="B29" s="2646" t="s">
        <v>3649</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3650</v>
      </c>
      <c r="B30" s="2646" t="s">
        <v>3651</v>
      </c>
      <c r="C30" s="2684">
        <f ca="1">ROUND((C7+C20+C26)*F30,0)</f>
        <v>4</v>
      </c>
      <c r="D30" s="2682"/>
      <c r="E30" s="314"/>
      <c r="F30" s="3653">
        <f ca="1">IF(C1="",'数据-取费表'!Q16,INDIRECT("'数据-取费表'!q"&amp;$G$1))</f>
        <v>0.1</v>
      </c>
      <c r="G30" s="3797"/>
    </row>
    <row r="31" spans="1:9" s="127" customFormat="1" ht="15.75">
      <c r="A31" s="2647" t="s">
        <v>3631</v>
      </c>
      <c r="B31" s="2646" t="s">
        <v>3623</v>
      </c>
      <c r="C31" s="2669">
        <f ca="1">C7+C20+C29+C30</f>
        <v>46</v>
      </c>
      <c r="D31" s="2659"/>
      <c r="E31" s="2659"/>
      <c r="F31" s="2658"/>
      <c r="G31" s="2660" t="s">
        <v>3654</v>
      </c>
    </row>
    <row r="32" spans="1:9" s="127" customFormat="1" ht="15.75">
      <c r="A32" s="2647" t="s">
        <v>3622</v>
      </c>
      <c r="B32" s="2646" t="s">
        <v>3621</v>
      </c>
      <c r="C32" s="3780">
        <f ca="1">ROUND(C31*F32,0)</f>
        <v>5</v>
      </c>
      <c r="D32" s="148"/>
      <c r="E32" s="149"/>
      <c r="F32" s="3654">
        <v>0.1</v>
      </c>
      <c r="G32" s="3798"/>
    </row>
    <row r="33" spans="1:7" s="127" customFormat="1" ht="15.75">
      <c r="A33" s="3779">
        <v>8</v>
      </c>
      <c r="B33" s="2646" t="s">
        <v>3633</v>
      </c>
      <c r="C33" s="2669">
        <f ca="1">C31+C32</f>
        <v>51</v>
      </c>
      <c r="D33" s="2659"/>
      <c r="E33" s="2659"/>
      <c r="F33" s="3655"/>
      <c r="G33" s="2660" t="s">
        <v>3653</v>
      </c>
    </row>
    <row r="34" spans="1:7" s="136" customFormat="1" ht="16.5" thickBot="1">
      <c r="A34" s="3669">
        <v>9</v>
      </c>
      <c r="B34" s="3670" t="s">
        <v>3632</v>
      </c>
      <c r="C34" s="2669">
        <f ca="1">ROUND(C33*F34,0)</f>
        <v>40</v>
      </c>
      <c r="D34" s="3671"/>
      <c r="E34" s="3671"/>
      <c r="F34" s="3782">
        <f>'数据-取费表'!AS16</f>
        <v>0.77900000000000003</v>
      </c>
      <c r="G34" s="2660" t="s">
        <v>3655</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F26" sqref="F26"/>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2496</v>
      </c>
      <c r="B1" s="2330" t="s">
        <v>2497</v>
      </c>
      <c r="C1" s="2330" t="s">
        <v>2498</v>
      </c>
      <c r="D1" s="2330" t="s">
        <v>2499</v>
      </c>
      <c r="E1" s="2330" t="s">
        <v>2500</v>
      </c>
      <c r="F1" s="2330" t="s">
        <v>2501</v>
      </c>
      <c r="G1" s="2330" t="s">
        <v>2502</v>
      </c>
      <c r="H1" s="2330" t="s">
        <v>2503</v>
      </c>
      <c r="I1" s="2330" t="s">
        <v>2504</v>
      </c>
      <c r="J1" s="2330" t="s">
        <v>2505</v>
      </c>
      <c r="K1" s="2330" t="s">
        <v>2506</v>
      </c>
      <c r="L1" s="2330" t="s">
        <v>2507</v>
      </c>
      <c r="M1" s="2331" t="s">
        <v>2508</v>
      </c>
    </row>
    <row r="2" spans="1:13" ht="19.5" customHeight="1">
      <c r="A2" s="2333" t="s">
        <v>2509</v>
      </c>
      <c r="B2" s="3388">
        <v>3.5</v>
      </c>
      <c r="C2" s="3388">
        <v>3.5</v>
      </c>
      <c r="D2" s="3389">
        <v>2.5</v>
      </c>
      <c r="E2" s="3389">
        <v>2.5</v>
      </c>
      <c r="F2" s="3389">
        <v>2.5</v>
      </c>
      <c r="G2" s="3389">
        <v>2.5</v>
      </c>
      <c r="H2" s="3389">
        <v>2.5</v>
      </c>
      <c r="I2" s="3388">
        <v>2</v>
      </c>
      <c r="J2" s="3388">
        <v>2</v>
      </c>
      <c r="K2" s="3388">
        <v>2</v>
      </c>
      <c r="L2" s="3388">
        <v>2</v>
      </c>
      <c r="M2" s="3390">
        <v>2</v>
      </c>
    </row>
    <row r="3" spans="1:13" ht="19.5" customHeight="1">
      <c r="A3" s="2295" t="s">
        <v>2510</v>
      </c>
      <c r="B3" s="3391">
        <v>3.5</v>
      </c>
      <c r="C3" s="3391">
        <v>3.5</v>
      </c>
      <c r="D3" s="3392">
        <v>2.5</v>
      </c>
      <c r="E3" s="3392">
        <v>2.5</v>
      </c>
      <c r="F3" s="3392">
        <v>2.5</v>
      </c>
      <c r="G3" s="3392">
        <v>2.5</v>
      </c>
      <c r="H3" s="3392">
        <v>2.5</v>
      </c>
      <c r="I3" s="3391">
        <v>2</v>
      </c>
      <c r="J3" s="3391">
        <v>2</v>
      </c>
      <c r="K3" s="3391">
        <v>2</v>
      </c>
      <c r="L3" s="3391">
        <v>2</v>
      </c>
      <c r="M3" s="3393">
        <v>2</v>
      </c>
    </row>
    <row r="4" spans="1:13" ht="19.5" customHeight="1">
      <c r="A4" s="2295" t="s">
        <v>2511</v>
      </c>
      <c r="B4" s="3392">
        <v>2.5</v>
      </c>
      <c r="C4" s="3392">
        <v>2.5</v>
      </c>
      <c r="D4" s="3392">
        <v>2.5</v>
      </c>
      <c r="E4" s="3392">
        <v>2.5</v>
      </c>
      <c r="F4" s="3392">
        <v>2.5</v>
      </c>
      <c r="G4" s="3392">
        <v>2.5</v>
      </c>
      <c r="H4" s="3392">
        <v>2.5</v>
      </c>
      <c r="I4" s="3391">
        <v>1.5</v>
      </c>
      <c r="J4" s="3391">
        <v>1.5</v>
      </c>
      <c r="K4" s="3391">
        <v>1.5</v>
      </c>
      <c r="L4" s="3391">
        <v>1.5</v>
      </c>
      <c r="M4" s="3393">
        <v>1.5</v>
      </c>
    </row>
    <row r="5" spans="1:13" ht="19.5" customHeight="1">
      <c r="A5" s="2334" t="s">
        <v>2512</v>
      </c>
      <c r="B5" s="3391">
        <v>1.5</v>
      </c>
      <c r="C5" s="3391">
        <v>1.5</v>
      </c>
      <c r="D5" s="3391">
        <v>1.5</v>
      </c>
      <c r="E5" s="3391">
        <v>1.5</v>
      </c>
      <c r="F5" s="3391">
        <v>1.5</v>
      </c>
      <c r="G5" s="3391">
        <v>1.2</v>
      </c>
      <c r="H5" s="3391">
        <v>1.2</v>
      </c>
      <c r="I5" s="3391">
        <v>1</v>
      </c>
      <c r="J5" s="3391">
        <v>1</v>
      </c>
      <c r="K5" s="3391">
        <v>1</v>
      </c>
      <c r="L5" s="3391">
        <v>1</v>
      </c>
      <c r="M5" s="3393">
        <v>1</v>
      </c>
    </row>
    <row r="6" spans="1:13" ht="19.5" customHeight="1">
      <c r="A6" s="2335" t="s">
        <v>2513</v>
      </c>
      <c r="B6" s="3394">
        <v>2.5</v>
      </c>
      <c r="C6" s="3394">
        <v>2.5</v>
      </c>
      <c r="D6" s="3394">
        <v>2</v>
      </c>
      <c r="E6" s="3394">
        <v>2</v>
      </c>
      <c r="F6" s="3394">
        <v>2</v>
      </c>
      <c r="G6" s="3394">
        <v>2</v>
      </c>
      <c r="H6" s="3394">
        <v>2</v>
      </c>
      <c r="I6" s="3395">
        <v>1.5</v>
      </c>
      <c r="J6" s="3395">
        <v>1.5</v>
      </c>
      <c r="K6" s="3395">
        <v>1.5</v>
      </c>
      <c r="L6" s="3395">
        <v>1.5</v>
      </c>
      <c r="M6" s="3396">
        <v>1.5</v>
      </c>
    </row>
    <row r="7" spans="1:13" ht="19.5" customHeight="1" thickBot="1">
      <c r="A7" s="2336" t="s">
        <v>2514</v>
      </c>
      <c r="B7" s="3397">
        <v>2.5</v>
      </c>
      <c r="C7" s="3397">
        <v>2.5</v>
      </c>
      <c r="D7" s="3397">
        <v>2</v>
      </c>
      <c r="E7" s="3397">
        <v>2</v>
      </c>
      <c r="F7" s="3397">
        <v>2</v>
      </c>
      <c r="G7" s="3397">
        <v>2</v>
      </c>
      <c r="H7" s="3397">
        <v>2</v>
      </c>
      <c r="I7" s="3398">
        <v>1.5</v>
      </c>
      <c r="J7" s="3398">
        <v>1.5</v>
      </c>
      <c r="K7" s="3398">
        <v>1.5</v>
      </c>
      <c r="L7" s="3398">
        <v>1.5</v>
      </c>
      <c r="M7" s="3399">
        <v>1.5</v>
      </c>
    </row>
    <row r="8" spans="1:13" ht="19.5" customHeight="1">
      <c r="A8" s="2337" t="s">
        <v>2515</v>
      </c>
      <c r="B8" s="3401">
        <v>80</v>
      </c>
      <c r="C8" s="3401">
        <v>80</v>
      </c>
      <c r="D8" s="3401">
        <v>70</v>
      </c>
      <c r="E8" s="3401">
        <v>70</v>
      </c>
      <c r="F8" s="3401">
        <v>70</v>
      </c>
      <c r="G8" s="3401">
        <v>70</v>
      </c>
      <c r="H8" s="3401">
        <v>70</v>
      </c>
      <c r="I8" s="3401">
        <v>60</v>
      </c>
      <c r="J8" s="3401">
        <v>60</v>
      </c>
      <c r="K8" s="3401">
        <v>60</v>
      </c>
      <c r="L8" s="3401">
        <v>60</v>
      </c>
      <c r="M8" s="3402">
        <v>60</v>
      </c>
    </row>
    <row r="9" spans="1:13" ht="19.5" customHeight="1">
      <c r="A9" s="2338" t="s">
        <v>2516</v>
      </c>
      <c r="B9" s="3403">
        <v>70</v>
      </c>
      <c r="C9" s="3403">
        <v>70</v>
      </c>
      <c r="D9" s="3403">
        <v>60</v>
      </c>
      <c r="E9" s="3403">
        <v>60</v>
      </c>
      <c r="F9" s="3403">
        <v>60</v>
      </c>
      <c r="G9" s="3403">
        <v>60</v>
      </c>
      <c r="H9" s="3403">
        <v>60</v>
      </c>
      <c r="I9" s="3403">
        <v>50</v>
      </c>
      <c r="J9" s="3403">
        <v>50</v>
      </c>
      <c r="K9" s="3403">
        <v>50</v>
      </c>
      <c r="L9" s="3403">
        <v>50</v>
      </c>
      <c r="M9" s="3404">
        <v>50</v>
      </c>
    </row>
    <row r="10" spans="1:13" ht="19.5" customHeight="1">
      <c r="A10" s="2338" t="s">
        <v>2517</v>
      </c>
      <c r="B10" s="3403">
        <v>20</v>
      </c>
      <c r="C10" s="3403">
        <v>20</v>
      </c>
      <c r="D10" s="3403">
        <v>15</v>
      </c>
      <c r="E10" s="3403">
        <v>15</v>
      </c>
      <c r="F10" s="3403">
        <v>15</v>
      </c>
      <c r="G10" s="3403">
        <v>15</v>
      </c>
      <c r="H10" s="3403">
        <v>15</v>
      </c>
      <c r="I10" s="3403">
        <v>10</v>
      </c>
      <c r="J10" s="3403">
        <v>10</v>
      </c>
      <c r="K10" s="3403">
        <v>10</v>
      </c>
      <c r="L10" s="3403">
        <v>10</v>
      </c>
      <c r="M10" s="3404">
        <v>10</v>
      </c>
    </row>
    <row r="11" spans="1:13" ht="19.5" customHeight="1">
      <c r="A11" s="2338" t="s">
        <v>2518</v>
      </c>
      <c r="B11" s="3403">
        <v>30</v>
      </c>
      <c r="C11" s="3403">
        <v>30</v>
      </c>
      <c r="D11" s="3403">
        <v>25</v>
      </c>
      <c r="E11" s="3403">
        <v>25</v>
      </c>
      <c r="F11" s="3403">
        <v>25</v>
      </c>
      <c r="G11" s="3403">
        <v>25</v>
      </c>
      <c r="H11" s="3403">
        <v>25</v>
      </c>
      <c r="I11" s="3403">
        <v>20</v>
      </c>
      <c r="J11" s="3403">
        <v>20</v>
      </c>
      <c r="K11" s="3403">
        <v>20</v>
      </c>
      <c r="L11" s="3403">
        <v>20</v>
      </c>
      <c r="M11" s="3404">
        <v>20</v>
      </c>
    </row>
    <row r="12" spans="1:13" ht="19.5" customHeight="1">
      <c r="A12" s="2338" t="s">
        <v>2519</v>
      </c>
      <c r="B12" s="3403">
        <v>45</v>
      </c>
      <c r="C12" s="3403">
        <v>45</v>
      </c>
      <c r="D12" s="3403">
        <v>40</v>
      </c>
      <c r="E12" s="3403">
        <v>40</v>
      </c>
      <c r="F12" s="3403">
        <v>40</v>
      </c>
      <c r="G12" s="3403">
        <v>40</v>
      </c>
      <c r="H12" s="3403">
        <v>40</v>
      </c>
      <c r="I12" s="3403">
        <v>35</v>
      </c>
      <c r="J12" s="3403">
        <v>35</v>
      </c>
      <c r="K12" s="3403">
        <v>35</v>
      </c>
      <c r="L12" s="3403">
        <v>35</v>
      </c>
      <c r="M12" s="3404">
        <v>35</v>
      </c>
    </row>
    <row r="13" spans="1:13" ht="19.5" customHeight="1">
      <c r="A13" s="2338" t="s">
        <v>2520</v>
      </c>
      <c r="B13" s="3403">
        <v>60</v>
      </c>
      <c r="C13" s="3403">
        <v>60</v>
      </c>
      <c r="D13" s="3403">
        <v>50</v>
      </c>
      <c r="E13" s="3403">
        <v>50</v>
      </c>
      <c r="F13" s="3403">
        <v>50</v>
      </c>
      <c r="G13" s="3403">
        <v>50</v>
      </c>
      <c r="H13" s="3403">
        <v>50</v>
      </c>
      <c r="I13" s="3403">
        <v>40</v>
      </c>
      <c r="J13" s="3403">
        <v>40</v>
      </c>
      <c r="K13" s="3403">
        <v>40</v>
      </c>
      <c r="L13" s="3403">
        <v>40</v>
      </c>
      <c r="M13" s="3404">
        <v>40</v>
      </c>
    </row>
    <row r="14" spans="1:13" ht="19.5" customHeight="1">
      <c r="A14" s="2338" t="s">
        <v>2521</v>
      </c>
      <c r="B14" s="3403">
        <v>50</v>
      </c>
      <c r="C14" s="3403">
        <v>50</v>
      </c>
      <c r="D14" s="3403">
        <v>40</v>
      </c>
      <c r="E14" s="3403">
        <v>40</v>
      </c>
      <c r="F14" s="3403">
        <v>40</v>
      </c>
      <c r="G14" s="3403">
        <v>40</v>
      </c>
      <c r="H14" s="3403">
        <v>40</v>
      </c>
      <c r="I14" s="3403">
        <v>30</v>
      </c>
      <c r="J14" s="3403">
        <v>30</v>
      </c>
      <c r="K14" s="3403">
        <v>30</v>
      </c>
      <c r="L14" s="3403">
        <v>30</v>
      </c>
      <c r="M14" s="3404">
        <v>30</v>
      </c>
    </row>
    <row r="15" spans="1:13" ht="19.5" customHeight="1">
      <c r="A15" s="2340" t="s">
        <v>2522</v>
      </c>
      <c r="B15" s="3405">
        <v>20</v>
      </c>
      <c r="C15" s="3405">
        <v>20</v>
      </c>
      <c r="D15" s="3405">
        <v>15</v>
      </c>
      <c r="E15" s="3405">
        <v>15</v>
      </c>
      <c r="F15" s="3405">
        <v>15</v>
      </c>
      <c r="G15" s="3405">
        <v>15</v>
      </c>
      <c r="H15" s="3405">
        <v>15</v>
      </c>
      <c r="I15" s="3405">
        <v>10</v>
      </c>
      <c r="J15" s="3405">
        <v>10</v>
      </c>
      <c r="K15" s="3405">
        <v>10</v>
      </c>
      <c r="L15" s="3405">
        <v>10</v>
      </c>
      <c r="M15" s="3406">
        <v>10</v>
      </c>
    </row>
    <row r="16" spans="1:13" ht="19.5" customHeight="1">
      <c r="A16" s="2339" t="s">
        <v>2523</v>
      </c>
      <c r="B16" s="3407">
        <v>0</v>
      </c>
      <c r="C16" s="3407">
        <v>0</v>
      </c>
      <c r="D16" s="3407">
        <v>0</v>
      </c>
      <c r="E16" s="3407">
        <v>0</v>
      </c>
      <c r="F16" s="3407">
        <v>0</v>
      </c>
      <c r="G16" s="3407">
        <v>0</v>
      </c>
      <c r="H16" s="3407">
        <v>0</v>
      </c>
      <c r="I16" s="3407">
        <v>0</v>
      </c>
      <c r="J16" s="3407">
        <v>0</v>
      </c>
      <c r="K16" s="3407">
        <v>0</v>
      </c>
      <c r="L16" s="3407">
        <v>0</v>
      </c>
      <c r="M16" s="3407">
        <v>0</v>
      </c>
    </row>
    <row r="17" spans="1:13" ht="19.5" customHeight="1">
      <c r="A17" s="2339" t="s">
        <v>2524</v>
      </c>
      <c r="B17" s="3407">
        <f>SUM(B8:B15)</f>
        <v>375</v>
      </c>
      <c r="C17" s="3407">
        <f t="shared" ref="C17:H17" si="0">SUM(C8:C15)</f>
        <v>375</v>
      </c>
      <c r="D17" s="3407">
        <f t="shared" si="0"/>
        <v>315</v>
      </c>
      <c r="E17" s="3407">
        <f t="shared" si="0"/>
        <v>315</v>
      </c>
      <c r="F17" s="3407">
        <f t="shared" si="0"/>
        <v>315</v>
      </c>
      <c r="G17" s="3407">
        <f t="shared" si="0"/>
        <v>315</v>
      </c>
      <c r="H17" s="3407">
        <f t="shared" si="0"/>
        <v>315</v>
      </c>
      <c r="I17" s="3407">
        <f>SUM(I8:I15)-I13-I14</f>
        <v>185</v>
      </c>
      <c r="J17" s="3407">
        <f t="shared" ref="J17:M17" si="1">SUM(J8:J15)-J13-J14</f>
        <v>185</v>
      </c>
      <c r="K17" s="3407">
        <f t="shared" si="1"/>
        <v>185</v>
      </c>
      <c r="L17" s="3407">
        <f t="shared" si="1"/>
        <v>185</v>
      </c>
      <c r="M17" s="3407">
        <f t="shared" si="1"/>
        <v>185</v>
      </c>
    </row>
    <row r="18" spans="1:13" s="2344" customFormat="1" ht="19.5" customHeight="1">
      <c r="A18" s="2342" t="s">
        <v>2525</v>
      </c>
      <c r="B18" s="2342"/>
      <c r="C18" s="2343"/>
      <c r="D18" s="2343"/>
      <c r="E18" s="2342"/>
      <c r="F18" s="2343"/>
      <c r="G18" s="2343"/>
    </row>
    <row r="19" spans="1:13" ht="19.5" customHeight="1" thickBot="1">
      <c r="A19" s="2341" t="s">
        <v>2526</v>
      </c>
      <c r="B19" s="2345" t="s">
        <v>2527</v>
      </c>
      <c r="C19" s="2345" t="s">
        <v>2528</v>
      </c>
      <c r="D19" s="2346"/>
      <c r="E19" s="2341" t="s">
        <v>2529</v>
      </c>
      <c r="F19" s="2347"/>
      <c r="G19" s="2347"/>
    </row>
    <row r="20" spans="1:13" ht="19.5" customHeight="1">
      <c r="A20" s="4590" t="s">
        <v>2509</v>
      </c>
      <c r="B20" s="4580" t="s">
        <v>2530</v>
      </c>
      <c r="C20" s="2631" t="s">
        <v>2341</v>
      </c>
      <c r="D20" s="2631"/>
      <c r="E20" s="3408">
        <v>1</v>
      </c>
      <c r="F20" s="2350" t="s">
        <v>2342</v>
      </c>
      <c r="G20" s="2350"/>
    </row>
    <row r="21" spans="1:13" ht="19.5" customHeight="1">
      <c r="A21" s="4591"/>
      <c r="B21" s="4581"/>
      <c r="C21" s="2359" t="s">
        <v>2343</v>
      </c>
      <c r="D21" s="2359"/>
      <c r="E21" s="3409">
        <v>1</v>
      </c>
      <c r="F21" s="2350" t="s">
        <v>2344</v>
      </c>
      <c r="G21" s="2350"/>
    </row>
    <row r="22" spans="1:13" ht="19.5" customHeight="1">
      <c r="A22" s="4591"/>
      <c r="B22" s="4581"/>
      <c r="C22" s="2359" t="s">
        <v>2345</v>
      </c>
      <c r="D22" s="2359"/>
      <c r="E22" s="3409">
        <v>0.9</v>
      </c>
      <c r="F22" s="2350" t="s">
        <v>2346</v>
      </c>
      <c r="G22" s="2350"/>
    </row>
    <row r="23" spans="1:13" ht="19.5" customHeight="1">
      <c r="A23" s="4591"/>
      <c r="B23" s="4581"/>
      <c r="C23" s="2359" t="s">
        <v>2347</v>
      </c>
      <c r="D23" s="2359"/>
      <c r="E23" s="3409">
        <v>0.9</v>
      </c>
      <c r="F23" s="2350" t="s">
        <v>2348</v>
      </c>
      <c r="G23" s="2350"/>
    </row>
    <row r="24" spans="1:13" ht="19.5" customHeight="1">
      <c r="A24" s="4591"/>
      <c r="B24" s="4581"/>
      <c r="C24" s="2359" t="s">
        <v>2349</v>
      </c>
      <c r="D24" s="2359"/>
      <c r="E24" s="3409">
        <v>0.8</v>
      </c>
      <c r="F24" s="2350" t="s">
        <v>2350</v>
      </c>
      <c r="G24" s="2350"/>
    </row>
    <row r="25" spans="1:13" ht="19.5" customHeight="1">
      <c r="A25" s="4591"/>
      <c r="B25" s="4581"/>
      <c r="C25" s="2359" t="s">
        <v>2351</v>
      </c>
      <c r="D25" s="2359"/>
      <c r="E25" s="3409">
        <v>0.8</v>
      </c>
      <c r="F25" s="2350"/>
      <c r="G25" s="2350"/>
    </row>
    <row r="26" spans="1:13" ht="19.5" customHeight="1">
      <c r="A26" s="4591"/>
      <c r="B26" s="4581"/>
      <c r="C26" s="2359" t="s">
        <v>3292</v>
      </c>
      <c r="D26" s="2359"/>
      <c r="E26" s="3409">
        <v>0.43</v>
      </c>
      <c r="F26" s="2350"/>
      <c r="G26" s="2350"/>
    </row>
    <row r="27" spans="1:13" ht="19.5" customHeight="1" thickBot="1">
      <c r="A27" s="4592"/>
      <c r="B27" s="4582"/>
      <c r="C27" s="2628" t="s">
        <v>3293</v>
      </c>
      <c r="D27" s="2628"/>
      <c r="E27" s="3410">
        <f>E26*0.9</f>
        <v>0.38700000000000001</v>
      </c>
      <c r="F27" s="2350" t="s">
        <v>2352</v>
      </c>
      <c r="G27" s="2350"/>
    </row>
    <row r="28" spans="1:13" ht="19.5" customHeight="1" thickBot="1">
      <c r="A28" s="2627" t="s">
        <v>2531</v>
      </c>
      <c r="B28" s="2626" t="s">
        <v>2530</v>
      </c>
      <c r="C28" s="2629" t="s">
        <v>2532</v>
      </c>
      <c r="D28" s="2630"/>
      <c r="E28" s="3411">
        <v>1</v>
      </c>
      <c r="F28" s="2350" t="s">
        <v>2353</v>
      </c>
      <c r="G28" s="2350"/>
    </row>
    <row r="29" spans="1:13" ht="19.5" customHeight="1">
      <c r="A29" s="4583" t="s">
        <v>2533</v>
      </c>
      <c r="B29" s="4586" t="s">
        <v>2514</v>
      </c>
      <c r="C29" s="2348" t="s">
        <v>2354</v>
      </c>
      <c r="D29" s="2349"/>
      <c r="E29" s="3408">
        <v>1</v>
      </c>
      <c r="F29" s="2350" t="s">
        <v>2355</v>
      </c>
      <c r="G29" s="2350"/>
    </row>
    <row r="30" spans="1:13" ht="19.5" customHeight="1">
      <c r="A30" s="4584"/>
      <c r="B30" s="4587"/>
      <c r="C30" s="2351" t="s">
        <v>2356</v>
      </c>
      <c r="D30" s="2352"/>
      <c r="E30" s="3409">
        <v>1</v>
      </c>
      <c r="F30" s="2350" t="s">
        <v>2357</v>
      </c>
      <c r="G30" s="2350"/>
    </row>
    <row r="31" spans="1:13" ht="19.5" customHeight="1">
      <c r="A31" s="4584"/>
      <c r="B31" s="4587"/>
      <c r="C31" s="2351" t="s">
        <v>2358</v>
      </c>
      <c r="D31" s="2352"/>
      <c r="E31" s="3409">
        <v>0.8</v>
      </c>
      <c r="F31" s="2350" t="s">
        <v>2359</v>
      </c>
      <c r="G31" s="2350"/>
    </row>
    <row r="32" spans="1:13" ht="19.5" customHeight="1">
      <c r="A32" s="4584"/>
      <c r="B32" s="4587"/>
      <c r="C32" s="2351" t="s">
        <v>2360</v>
      </c>
      <c r="D32" s="2352"/>
      <c r="E32" s="3409">
        <v>0.8</v>
      </c>
      <c r="F32" s="2350" t="s">
        <v>2361</v>
      </c>
      <c r="G32" s="2350"/>
    </row>
    <row r="33" spans="1:7" ht="19.5" customHeight="1">
      <c r="A33" s="4584"/>
      <c r="B33" s="4587"/>
      <c r="C33" s="2351" t="s">
        <v>2362</v>
      </c>
      <c r="D33" s="2352"/>
      <c r="E33" s="3409">
        <v>0.8</v>
      </c>
      <c r="F33" s="2350" t="s">
        <v>2363</v>
      </c>
      <c r="G33" s="2350"/>
    </row>
    <row r="34" spans="1:7" ht="19.5" customHeight="1">
      <c r="A34" s="4584"/>
      <c r="B34" s="4587"/>
      <c r="C34" s="2351" t="s">
        <v>2364</v>
      </c>
      <c r="D34" s="2352"/>
      <c r="E34" s="3409">
        <v>0.7</v>
      </c>
      <c r="F34" s="2350" t="s">
        <v>2365</v>
      </c>
      <c r="G34" s="2350"/>
    </row>
    <row r="35" spans="1:7" ht="19.5" customHeight="1">
      <c r="A35" s="4584"/>
      <c r="B35" s="4587"/>
      <c r="C35" s="2351" t="s">
        <v>2366</v>
      </c>
      <c r="D35" s="2352"/>
      <c r="E35" s="3409">
        <v>0.8</v>
      </c>
      <c r="F35" s="2350" t="s">
        <v>2367</v>
      </c>
      <c r="G35" s="2350"/>
    </row>
    <row r="36" spans="1:7" ht="19.5" customHeight="1">
      <c r="A36" s="4584"/>
      <c r="B36" s="4587"/>
      <c r="C36" s="2351" t="s">
        <v>2368</v>
      </c>
      <c r="D36" s="2352"/>
      <c r="E36" s="3409">
        <v>0.6</v>
      </c>
      <c r="F36" s="2350" t="s">
        <v>2369</v>
      </c>
      <c r="G36" s="2350"/>
    </row>
    <row r="37" spans="1:7" ht="19.5" customHeight="1">
      <c r="A37" s="4584"/>
      <c r="B37" s="4587"/>
      <c r="C37" s="2351" t="s">
        <v>2370</v>
      </c>
      <c r="D37" s="2352"/>
      <c r="E37" s="3409">
        <v>0.2</v>
      </c>
      <c r="F37" s="2350" t="s">
        <v>2371</v>
      </c>
      <c r="G37" s="2350"/>
    </row>
    <row r="38" spans="1:7" ht="19.5" customHeight="1">
      <c r="A38" s="4584"/>
      <c r="B38" s="4587"/>
      <c r="C38" s="2351" t="s">
        <v>2372</v>
      </c>
      <c r="D38" s="2352"/>
      <c r="E38" s="3409">
        <v>0.2</v>
      </c>
      <c r="F38" s="2350" t="s">
        <v>2373</v>
      </c>
      <c r="G38" s="2350"/>
    </row>
    <row r="39" spans="1:7" ht="19.5" customHeight="1">
      <c r="A39" s="4584"/>
      <c r="B39" s="4588" t="s">
        <v>2534</v>
      </c>
      <c r="C39" s="2351" t="s">
        <v>2374</v>
      </c>
      <c r="D39" s="2352"/>
      <c r="E39" s="3409">
        <v>0.6</v>
      </c>
      <c r="F39" s="2350" t="s">
        <v>2375</v>
      </c>
      <c r="G39" s="2350"/>
    </row>
    <row r="40" spans="1:7" ht="19.5" customHeight="1">
      <c r="A40" s="4584"/>
      <c r="B40" s="4587"/>
      <c r="C40" s="2351" t="s">
        <v>2376</v>
      </c>
      <c r="D40" s="2352"/>
      <c r="E40" s="3409">
        <v>0.6</v>
      </c>
      <c r="F40" s="2350" t="s">
        <v>2377</v>
      </c>
      <c r="G40" s="2350"/>
    </row>
    <row r="41" spans="1:7" ht="19.5" customHeight="1" thickBot="1">
      <c r="A41" s="4585"/>
      <c r="B41" s="4589"/>
      <c r="C41" s="2353" t="s">
        <v>2378</v>
      </c>
      <c r="D41" s="2354"/>
      <c r="E41" s="3410">
        <v>0.6</v>
      </c>
      <c r="F41" s="2350" t="s">
        <v>2379</v>
      </c>
      <c r="G41" s="2350"/>
    </row>
    <row r="42" spans="1:7" ht="19.5" customHeight="1" thickBot="1">
      <c r="A42" s="2355" t="s">
        <v>2511</v>
      </c>
      <c r="B42" s="2356" t="s">
        <v>2511</v>
      </c>
      <c r="C42" s="2357" t="s">
        <v>2535</v>
      </c>
      <c r="D42" s="2358"/>
      <c r="E42" s="3412">
        <v>1</v>
      </c>
      <c r="F42" s="2350" t="s">
        <v>2380</v>
      </c>
      <c r="G42" s="2350"/>
    </row>
    <row r="43" spans="1:7" ht="19.5" customHeight="1">
      <c r="A43" s="4590" t="s">
        <v>2512</v>
      </c>
      <c r="B43" s="4586" t="s">
        <v>2536</v>
      </c>
      <c r="C43" s="2348" t="s">
        <v>2381</v>
      </c>
      <c r="D43" s="2349"/>
      <c r="E43" s="3408">
        <v>1</v>
      </c>
      <c r="F43" s="2350" t="s">
        <v>2382</v>
      </c>
      <c r="G43" s="2350"/>
    </row>
    <row r="44" spans="1:7" ht="19.5" customHeight="1">
      <c r="A44" s="4591"/>
      <c r="B44" s="4587"/>
      <c r="C44" s="2351" t="s">
        <v>2383</v>
      </c>
      <c r="D44" s="2352"/>
      <c r="E44" s="3409">
        <v>1</v>
      </c>
      <c r="F44" s="2350" t="s">
        <v>2384</v>
      </c>
      <c r="G44" s="2350"/>
    </row>
    <row r="45" spans="1:7" ht="19.5" customHeight="1">
      <c r="A45" s="4591"/>
      <c r="B45" s="4593"/>
      <c r="C45" s="2351" t="s">
        <v>2385</v>
      </c>
      <c r="D45" s="2352"/>
      <c r="E45" s="3409">
        <v>1.5</v>
      </c>
      <c r="F45" s="2350" t="s">
        <v>2386</v>
      </c>
      <c r="G45" s="2350"/>
    </row>
    <row r="46" spans="1:7" ht="19.5" customHeight="1">
      <c r="A46" s="4591"/>
      <c r="B46" s="2359" t="s">
        <v>2537</v>
      </c>
      <c r="C46" s="2351" t="s">
        <v>2538</v>
      </c>
      <c r="D46" s="2352"/>
      <c r="E46" s="3409">
        <v>2</v>
      </c>
      <c r="F46" s="2350" t="s">
        <v>2387</v>
      </c>
      <c r="G46" s="2350"/>
    </row>
    <row r="47" spans="1:7" ht="19.5" customHeight="1">
      <c r="A47" s="4591"/>
      <c r="B47" s="4588" t="s">
        <v>2539</v>
      </c>
      <c r="C47" s="2351" t="s">
        <v>2388</v>
      </c>
      <c r="D47" s="2352"/>
      <c r="E47" s="3409">
        <v>1</v>
      </c>
      <c r="F47" s="2350" t="s">
        <v>2389</v>
      </c>
      <c r="G47" s="2350"/>
    </row>
    <row r="48" spans="1:7" ht="19.5" customHeight="1">
      <c r="A48" s="4591"/>
      <c r="B48" s="4587"/>
      <c r="C48" s="2351" t="s">
        <v>2390</v>
      </c>
      <c r="D48" s="2352"/>
      <c r="E48" s="3409">
        <v>1</v>
      </c>
      <c r="F48" s="2350" t="s">
        <v>2391</v>
      </c>
      <c r="G48" s="2350"/>
    </row>
    <row r="49" spans="1:7" ht="19.5" customHeight="1">
      <c r="A49" s="4591"/>
      <c r="B49" s="4587"/>
      <c r="C49" s="2351" t="s">
        <v>2392</v>
      </c>
      <c r="D49" s="2352"/>
      <c r="E49" s="3409">
        <v>1</v>
      </c>
      <c r="F49" s="2350" t="s">
        <v>2393</v>
      </c>
      <c r="G49" s="2350"/>
    </row>
    <row r="50" spans="1:7" ht="19.5" customHeight="1">
      <c r="A50" s="4591"/>
      <c r="B50" s="4587"/>
      <c r="C50" s="2351" t="s">
        <v>2394</v>
      </c>
      <c r="D50" s="2352"/>
      <c r="E50" s="3409">
        <v>1</v>
      </c>
      <c r="F50" s="2350" t="s">
        <v>2395</v>
      </c>
      <c r="G50" s="2350"/>
    </row>
    <row r="51" spans="1:7" ht="19.5" customHeight="1">
      <c r="A51" s="4591"/>
      <c r="B51" s="4587"/>
      <c r="C51" s="2351" t="s">
        <v>2396</v>
      </c>
      <c r="D51" s="2352"/>
      <c r="E51" s="3409">
        <v>1</v>
      </c>
      <c r="F51" s="2350" t="s">
        <v>2397</v>
      </c>
      <c r="G51" s="2350"/>
    </row>
    <row r="52" spans="1:7" ht="19.5" customHeight="1">
      <c r="A52" s="4591"/>
      <c r="B52" s="4587"/>
      <c r="C52" s="2351" t="s">
        <v>2398</v>
      </c>
      <c r="D52" s="2352"/>
      <c r="E52" s="3409">
        <v>1</v>
      </c>
      <c r="F52" s="2350" t="s">
        <v>2399</v>
      </c>
      <c r="G52" s="2350"/>
    </row>
    <row r="53" spans="1:7" ht="19.5" customHeight="1" thickBot="1">
      <c r="A53" s="4592"/>
      <c r="B53" s="4589"/>
      <c r="C53" s="2353" t="s">
        <v>2400</v>
      </c>
      <c r="D53" s="2354"/>
      <c r="E53" s="3410">
        <v>1</v>
      </c>
      <c r="F53" s="2350" t="s">
        <v>2401</v>
      </c>
      <c r="G53" s="2350"/>
    </row>
    <row r="54" spans="1:7" ht="19.5" customHeight="1">
      <c r="A54" s="2360"/>
      <c r="B54" s="2360"/>
      <c r="C54" s="2360"/>
      <c r="D54" s="2360"/>
      <c r="E54" s="2360"/>
      <c r="F54" s="2360"/>
      <c r="G54" s="2360"/>
    </row>
    <row r="56" spans="1:7" ht="19.5" customHeight="1">
      <c r="A56" s="2361"/>
      <c r="B56" s="2339" t="s">
        <v>2540</v>
      </c>
      <c r="C56" s="2339" t="s">
        <v>2540</v>
      </c>
      <c r="D56" s="2339" t="s">
        <v>2540</v>
      </c>
      <c r="E56" s="2341" t="s">
        <v>2540</v>
      </c>
      <c r="F56" s="2341" t="s">
        <v>2541</v>
      </c>
      <c r="G56" s="2341" t="s">
        <v>2542</v>
      </c>
    </row>
    <row r="57" spans="1:7" ht="19.5" customHeight="1">
      <c r="A57" s="2362"/>
      <c r="B57" s="2341" t="s">
        <v>2509</v>
      </c>
      <c r="C57" s="2341" t="s">
        <v>2509</v>
      </c>
      <c r="D57" s="2341" t="s">
        <v>2509</v>
      </c>
      <c r="E57" s="2339" t="s">
        <v>2510</v>
      </c>
      <c r="F57" s="2339" t="s">
        <v>2512</v>
      </c>
      <c r="G57" s="2339" t="s">
        <v>2543</v>
      </c>
    </row>
    <row r="58" spans="1:7" ht="19.5" customHeight="1">
      <c r="A58" s="2363"/>
      <c r="B58" s="3403">
        <v>1</v>
      </c>
      <c r="C58" s="3403">
        <v>2</v>
      </c>
      <c r="D58" s="3403">
        <v>3</v>
      </c>
      <c r="E58" s="2364" t="s">
        <v>2544</v>
      </c>
      <c r="F58" s="2364" t="s">
        <v>2544</v>
      </c>
      <c r="G58" s="2364" t="s">
        <v>2544</v>
      </c>
    </row>
    <row r="59" spans="1:7" ht="19.5" customHeight="1">
      <c r="A59" s="2365" t="s">
        <v>2497</v>
      </c>
      <c r="B59" s="3400">
        <v>0.7</v>
      </c>
      <c r="C59" s="3400">
        <v>0.4</v>
      </c>
      <c r="D59" s="3400">
        <v>0.3</v>
      </c>
      <c r="E59" s="3413">
        <v>0.3</v>
      </c>
      <c r="F59" s="3400">
        <v>0.3</v>
      </c>
      <c r="G59" s="3400">
        <v>0.2</v>
      </c>
    </row>
    <row r="60" spans="1:7" ht="19.5" customHeight="1">
      <c r="A60" s="2365" t="s">
        <v>2498</v>
      </c>
      <c r="B60" s="3400">
        <v>0.7</v>
      </c>
      <c r="C60" s="3400">
        <v>0.4</v>
      </c>
      <c r="D60" s="3400">
        <v>0.3</v>
      </c>
      <c r="E60" s="3400">
        <v>0.3</v>
      </c>
      <c r="F60" s="3400">
        <v>0.3</v>
      </c>
      <c r="G60" s="3400">
        <v>0.2</v>
      </c>
    </row>
    <row r="61" spans="1:7" ht="19.5" customHeight="1">
      <c r="A61" s="2365" t="s">
        <v>2499</v>
      </c>
      <c r="B61" s="3400">
        <v>0.6</v>
      </c>
      <c r="C61" s="3400">
        <v>0.3</v>
      </c>
      <c r="D61" s="3400">
        <v>0.25</v>
      </c>
      <c r="E61" s="3400">
        <v>0.25</v>
      </c>
      <c r="F61" s="3400">
        <v>0.25</v>
      </c>
      <c r="G61" s="3400">
        <v>0.15</v>
      </c>
    </row>
    <row r="62" spans="1:7" ht="19.5" customHeight="1">
      <c r="A62" s="2365" t="s">
        <v>2500</v>
      </c>
      <c r="B62" s="3400">
        <v>0.6</v>
      </c>
      <c r="C62" s="3400">
        <v>0.3</v>
      </c>
      <c r="D62" s="3400">
        <v>0.25</v>
      </c>
      <c r="E62" s="3400">
        <v>0.25</v>
      </c>
      <c r="F62" s="3400">
        <v>0.25</v>
      </c>
      <c r="G62" s="3400">
        <v>0.15</v>
      </c>
    </row>
    <row r="63" spans="1:7" ht="19.5" customHeight="1">
      <c r="A63" s="2365" t="s">
        <v>2501</v>
      </c>
      <c r="B63" s="3400">
        <v>0.6</v>
      </c>
      <c r="C63" s="3400">
        <v>0.3</v>
      </c>
      <c r="D63" s="3400">
        <v>0.25</v>
      </c>
      <c r="E63" s="3400">
        <v>0.25</v>
      </c>
      <c r="F63" s="3400">
        <v>0.25</v>
      </c>
      <c r="G63" s="3400">
        <v>0.15</v>
      </c>
    </row>
    <row r="64" spans="1:7" ht="19.5" customHeight="1">
      <c r="A64" s="2365" t="s">
        <v>2502</v>
      </c>
      <c r="B64" s="3400">
        <v>0.6</v>
      </c>
      <c r="C64" s="3400">
        <v>0.3</v>
      </c>
      <c r="D64" s="3400">
        <v>0.25</v>
      </c>
      <c r="E64" s="3400">
        <v>0.25</v>
      </c>
      <c r="F64" s="3400">
        <v>0.25</v>
      </c>
      <c r="G64" s="3400">
        <v>0.15</v>
      </c>
    </row>
    <row r="65" spans="1:7" ht="19.5" customHeight="1">
      <c r="A65" s="2365" t="s">
        <v>2503</v>
      </c>
      <c r="B65" s="3400">
        <v>0.6</v>
      </c>
      <c r="C65" s="3400">
        <v>0.3</v>
      </c>
      <c r="D65" s="3400">
        <v>0.25</v>
      </c>
      <c r="E65" s="3400">
        <v>0.25</v>
      </c>
      <c r="F65" s="3400">
        <v>0.25</v>
      </c>
      <c r="G65" s="3400">
        <v>0.15</v>
      </c>
    </row>
    <row r="66" spans="1:7" ht="19.5" customHeight="1">
      <c r="A66" s="2365" t="s">
        <v>2504</v>
      </c>
      <c r="B66" s="3400">
        <v>0.5</v>
      </c>
      <c r="C66" s="3400">
        <v>0.2</v>
      </c>
      <c r="D66" s="3400">
        <v>0.2</v>
      </c>
      <c r="E66" s="3400">
        <v>0.2</v>
      </c>
      <c r="F66" s="3400">
        <v>0.2</v>
      </c>
      <c r="G66" s="3400">
        <v>0.1</v>
      </c>
    </row>
    <row r="67" spans="1:7" ht="19.5" customHeight="1">
      <c r="A67" s="2365" t="s">
        <v>2505</v>
      </c>
      <c r="B67" s="3400">
        <v>0.5</v>
      </c>
      <c r="C67" s="3400">
        <v>0.2</v>
      </c>
      <c r="D67" s="3400">
        <v>0.2</v>
      </c>
      <c r="E67" s="3400">
        <v>0.2</v>
      </c>
      <c r="F67" s="3400">
        <v>0.2</v>
      </c>
      <c r="G67" s="3400">
        <v>0.1</v>
      </c>
    </row>
    <row r="68" spans="1:7" ht="19.5" customHeight="1">
      <c r="A68" s="2365" t="s">
        <v>2506</v>
      </c>
      <c r="B68" s="3400">
        <v>0.5</v>
      </c>
      <c r="C68" s="3400">
        <v>0.2</v>
      </c>
      <c r="D68" s="3400">
        <v>0.2</v>
      </c>
      <c r="E68" s="3400">
        <v>0.2</v>
      </c>
      <c r="F68" s="3400">
        <v>0.2</v>
      </c>
      <c r="G68" s="3400">
        <v>0.1</v>
      </c>
    </row>
    <row r="69" spans="1:7" ht="19.5" customHeight="1">
      <c r="A69" s="2365" t="s">
        <v>2507</v>
      </c>
      <c r="B69" s="3400">
        <v>0.5</v>
      </c>
      <c r="C69" s="3400">
        <v>0.2</v>
      </c>
      <c r="D69" s="3400">
        <v>0.2</v>
      </c>
      <c r="E69" s="3400">
        <v>0.2</v>
      </c>
      <c r="F69" s="3400">
        <v>0.2</v>
      </c>
      <c r="G69" s="3400">
        <v>0.1</v>
      </c>
    </row>
    <row r="70" spans="1:7" ht="19.5" customHeight="1">
      <c r="A70" s="2365" t="s">
        <v>2508</v>
      </c>
      <c r="B70" s="3400">
        <v>0.5</v>
      </c>
      <c r="C70" s="3400">
        <v>0.2</v>
      </c>
      <c r="D70" s="3400">
        <v>0.2</v>
      </c>
      <c r="E70" s="3400">
        <v>0.2</v>
      </c>
      <c r="F70" s="3400">
        <v>0.2</v>
      </c>
      <c r="G70" s="3400">
        <v>0.1</v>
      </c>
    </row>
    <row r="72" spans="1:7" ht="19.5" customHeight="1">
      <c r="A72" s="2350"/>
      <c r="B72" s="2366"/>
      <c r="C72" s="2366"/>
      <c r="D72" s="2366" t="s">
        <v>2545</v>
      </c>
      <c r="E72" s="2366"/>
      <c r="F72" s="2366"/>
    </row>
    <row r="73" spans="1:7" ht="19.5" customHeight="1">
      <c r="A73" s="2359" t="s">
        <v>2546</v>
      </c>
      <c r="B73" s="2359" t="s">
        <v>2547</v>
      </c>
      <c r="C73" s="2359" t="s">
        <v>2548</v>
      </c>
      <c r="D73" s="2359" t="s">
        <v>2549</v>
      </c>
      <c r="E73" s="2359" t="s">
        <v>2550</v>
      </c>
      <c r="F73" s="2359" t="s">
        <v>2551</v>
      </c>
    </row>
    <row r="74" spans="1:7" ht="13.5">
      <c r="A74" s="2359"/>
      <c r="B74" s="2359"/>
      <c r="C74" s="2359" t="s">
        <v>2552</v>
      </c>
      <c r="D74" s="2359"/>
      <c r="E74" s="2359" t="s">
        <v>2523</v>
      </c>
      <c r="F74" s="2359" t="s">
        <v>2523</v>
      </c>
    </row>
    <row r="75" spans="1:7" ht="13.5">
      <c r="A75" s="2359">
        <v>1</v>
      </c>
      <c r="B75" s="4588" t="s">
        <v>2553</v>
      </c>
      <c r="C75" s="2339" t="s">
        <v>2554</v>
      </c>
      <c r="D75" s="2339" t="s">
        <v>2555</v>
      </c>
      <c r="E75" s="3414">
        <v>0.2</v>
      </c>
      <c r="F75" s="3415">
        <v>25</v>
      </c>
    </row>
    <row r="76" spans="1:7" ht="24">
      <c r="A76" s="2359">
        <v>2</v>
      </c>
      <c r="B76" s="4587"/>
      <c r="C76" s="2339" t="s">
        <v>2556</v>
      </c>
      <c r="D76" s="2339" t="s">
        <v>2557</v>
      </c>
      <c r="E76" s="3414">
        <v>0.2</v>
      </c>
      <c r="F76" s="3415">
        <v>25</v>
      </c>
    </row>
    <row r="77" spans="1:7" ht="24">
      <c r="A77" s="2359">
        <v>3</v>
      </c>
      <c r="B77" s="4587"/>
      <c r="C77" s="2339" t="s">
        <v>2558</v>
      </c>
      <c r="D77" s="2339" t="s">
        <v>2559</v>
      </c>
      <c r="E77" s="3414">
        <v>0.2</v>
      </c>
      <c r="F77" s="3415">
        <v>25</v>
      </c>
    </row>
    <row r="78" spans="1:7" ht="13.5">
      <c r="A78" s="2359">
        <v>4</v>
      </c>
      <c r="B78" s="4587"/>
      <c r="C78" s="2339" t="s">
        <v>2560</v>
      </c>
      <c r="D78" s="2339" t="s">
        <v>2561</v>
      </c>
      <c r="E78" s="3414">
        <v>0.15</v>
      </c>
      <c r="F78" s="3415">
        <v>20</v>
      </c>
    </row>
    <row r="79" spans="1:7" ht="24">
      <c r="A79" s="2359">
        <v>5</v>
      </c>
      <c r="B79" s="4587"/>
      <c r="C79" s="2339" t="s">
        <v>2562</v>
      </c>
      <c r="D79" s="2339" t="s">
        <v>2563</v>
      </c>
      <c r="E79" s="3414">
        <v>0.15</v>
      </c>
      <c r="F79" s="3415">
        <v>20</v>
      </c>
    </row>
    <row r="80" spans="1:7" ht="24">
      <c r="A80" s="2359">
        <v>6</v>
      </c>
      <c r="B80" s="4587"/>
      <c r="C80" s="2339" t="s">
        <v>2564</v>
      </c>
      <c r="D80" s="2339" t="s">
        <v>2565</v>
      </c>
      <c r="E80" s="3414">
        <v>0.15</v>
      </c>
      <c r="F80" s="3415">
        <v>20</v>
      </c>
    </row>
    <row r="81" spans="1:6" ht="24">
      <c r="A81" s="2359">
        <v>7</v>
      </c>
      <c r="B81" s="4587"/>
      <c r="C81" s="2339" t="s">
        <v>2566</v>
      </c>
      <c r="D81" s="2339" t="s">
        <v>2567</v>
      </c>
      <c r="E81" s="3414">
        <v>0.15</v>
      </c>
      <c r="F81" s="3415">
        <v>20</v>
      </c>
    </row>
    <row r="82" spans="1:6" ht="24">
      <c r="A82" s="2359">
        <v>8</v>
      </c>
      <c r="B82" s="4587"/>
      <c r="C82" s="2339" t="s">
        <v>2568</v>
      </c>
      <c r="D82" s="2339" t="s">
        <v>2569</v>
      </c>
      <c r="E82" s="3414">
        <v>0.1</v>
      </c>
      <c r="F82" s="3415">
        <v>15</v>
      </c>
    </row>
    <row r="83" spans="1:6" ht="24">
      <c r="A83" s="2359">
        <v>9</v>
      </c>
      <c r="B83" s="4587"/>
      <c r="C83" s="2339" t="s">
        <v>2570</v>
      </c>
      <c r="D83" s="2339" t="s">
        <v>2571</v>
      </c>
      <c r="E83" s="3414">
        <v>0.1</v>
      </c>
      <c r="F83" s="3415">
        <v>15</v>
      </c>
    </row>
    <row r="84" spans="1:6" ht="24">
      <c r="A84" s="2359">
        <v>10</v>
      </c>
      <c r="B84" s="4587"/>
      <c r="C84" s="2339" t="s">
        <v>2572</v>
      </c>
      <c r="D84" s="2339" t="s">
        <v>2573</v>
      </c>
      <c r="E84" s="3414">
        <v>0.1</v>
      </c>
      <c r="F84" s="3415">
        <v>15</v>
      </c>
    </row>
    <row r="85" spans="1:6" ht="24">
      <c r="A85" s="2359">
        <v>11</v>
      </c>
      <c r="B85" s="4587"/>
      <c r="C85" s="2339" t="s">
        <v>2574</v>
      </c>
      <c r="D85" s="2339" t="s">
        <v>2575</v>
      </c>
      <c r="E85" s="3414">
        <v>0.1</v>
      </c>
      <c r="F85" s="3415">
        <v>15</v>
      </c>
    </row>
    <row r="86" spans="1:6" ht="24">
      <c r="A86" s="2359">
        <v>12</v>
      </c>
      <c r="B86" s="4587"/>
      <c r="C86" s="2339" t="s">
        <v>2576</v>
      </c>
      <c r="D86" s="2339" t="s">
        <v>2577</v>
      </c>
      <c r="E86" s="3414">
        <v>0.1</v>
      </c>
      <c r="F86" s="3415">
        <v>15</v>
      </c>
    </row>
    <row r="87" spans="1:6" ht="13.5">
      <c r="A87" s="2359">
        <v>13</v>
      </c>
      <c r="B87" s="4587"/>
      <c r="C87" s="2339" t="s">
        <v>2578</v>
      </c>
      <c r="D87" s="2339" t="s">
        <v>2579</v>
      </c>
      <c r="E87" s="3414">
        <v>0.1</v>
      </c>
      <c r="F87" s="3415">
        <v>15</v>
      </c>
    </row>
    <row r="88" spans="1:6" ht="13.5">
      <c r="A88" s="2359">
        <v>14</v>
      </c>
      <c r="B88" s="4587"/>
      <c r="C88" s="2339" t="s">
        <v>2580</v>
      </c>
      <c r="D88" s="2339" t="s">
        <v>2581</v>
      </c>
      <c r="E88" s="3414">
        <v>0.1</v>
      </c>
      <c r="F88" s="3415">
        <v>15</v>
      </c>
    </row>
    <row r="89" spans="1:6" ht="13.5">
      <c r="A89" s="2359">
        <v>15</v>
      </c>
      <c r="B89" s="4587"/>
      <c r="C89" s="2339" t="s">
        <v>2582</v>
      </c>
      <c r="D89" s="2339" t="s">
        <v>2583</v>
      </c>
      <c r="E89" s="3414">
        <v>0.1</v>
      </c>
      <c r="F89" s="3415">
        <v>15</v>
      </c>
    </row>
    <row r="90" spans="1:6" ht="24">
      <c r="A90" s="2359">
        <v>16</v>
      </c>
      <c r="B90" s="4587"/>
      <c r="C90" s="2339" t="s">
        <v>2584</v>
      </c>
      <c r="D90" s="2339" t="s">
        <v>2585</v>
      </c>
      <c r="E90" s="3414">
        <v>0.1</v>
      </c>
      <c r="F90" s="3415">
        <v>15</v>
      </c>
    </row>
    <row r="91" spans="1:6" ht="24">
      <c r="A91" s="2359">
        <v>17</v>
      </c>
      <c r="B91" s="4593"/>
      <c r="C91" s="2339" t="s">
        <v>2586</v>
      </c>
      <c r="D91" s="2339" t="s">
        <v>2587</v>
      </c>
      <c r="E91" s="3414">
        <v>0.1</v>
      </c>
      <c r="F91" s="3415">
        <v>15</v>
      </c>
    </row>
    <row r="92" spans="1:6" ht="13.5">
      <c r="A92" s="2359">
        <v>18</v>
      </c>
      <c r="B92" s="4588" t="s">
        <v>2588</v>
      </c>
      <c r="C92" s="2339" t="s">
        <v>2589</v>
      </c>
      <c r="D92" s="2339" t="s">
        <v>2590</v>
      </c>
      <c r="E92" s="3414">
        <v>0.2</v>
      </c>
      <c r="F92" s="3415">
        <v>25</v>
      </c>
    </row>
    <row r="93" spans="1:6" ht="24">
      <c r="A93" s="2359">
        <v>19</v>
      </c>
      <c r="B93" s="4587"/>
      <c r="C93" s="2339" t="s">
        <v>2591</v>
      </c>
      <c r="D93" s="2339" t="s">
        <v>2592</v>
      </c>
      <c r="E93" s="3414">
        <v>0.2</v>
      </c>
      <c r="F93" s="3415">
        <v>25</v>
      </c>
    </row>
    <row r="94" spans="1:6" ht="13.5">
      <c r="A94" s="2359">
        <v>20</v>
      </c>
      <c r="B94" s="4587"/>
      <c r="C94" s="2339" t="s">
        <v>2593</v>
      </c>
      <c r="D94" s="2339" t="s">
        <v>2594</v>
      </c>
      <c r="E94" s="3414">
        <v>0.15</v>
      </c>
      <c r="F94" s="3415">
        <v>20</v>
      </c>
    </row>
    <row r="95" spans="1:6" ht="13.5">
      <c r="A95" s="2359">
        <v>21</v>
      </c>
      <c r="B95" s="4587"/>
      <c r="C95" s="2339" t="s">
        <v>2595</v>
      </c>
      <c r="D95" s="2339" t="s">
        <v>2596</v>
      </c>
      <c r="E95" s="3414">
        <v>0.15</v>
      </c>
      <c r="F95" s="3415">
        <v>20</v>
      </c>
    </row>
    <row r="96" spans="1:6" ht="13.5">
      <c r="A96" s="2359">
        <v>22</v>
      </c>
      <c r="B96" s="4587"/>
      <c r="C96" s="2339" t="s">
        <v>2597</v>
      </c>
      <c r="D96" s="2339" t="s">
        <v>2598</v>
      </c>
      <c r="E96" s="3414">
        <v>0.15</v>
      </c>
      <c r="F96" s="3415">
        <v>20</v>
      </c>
    </row>
    <row r="97" spans="1:6" ht="36">
      <c r="A97" s="2359">
        <v>23</v>
      </c>
      <c r="B97" s="4587"/>
      <c r="C97" s="2339" t="s">
        <v>2599</v>
      </c>
      <c r="D97" s="2339" t="s">
        <v>2600</v>
      </c>
      <c r="E97" s="3414">
        <v>0.15</v>
      </c>
      <c r="F97" s="3415">
        <v>20</v>
      </c>
    </row>
    <row r="98" spans="1:6" ht="13.5">
      <c r="A98" s="2359">
        <v>24</v>
      </c>
      <c r="B98" s="4587"/>
      <c r="C98" s="2339" t="s">
        <v>2601</v>
      </c>
      <c r="D98" s="2339" t="s">
        <v>2602</v>
      </c>
      <c r="E98" s="3414">
        <v>0.1</v>
      </c>
      <c r="F98" s="3415">
        <v>15</v>
      </c>
    </row>
    <row r="99" spans="1:6" ht="13.5">
      <c r="A99" s="2359">
        <v>25</v>
      </c>
      <c r="B99" s="4587"/>
      <c r="C99" s="2339" t="s">
        <v>2603</v>
      </c>
      <c r="D99" s="2339" t="s">
        <v>2604</v>
      </c>
      <c r="E99" s="3414">
        <v>0.1</v>
      </c>
      <c r="F99" s="3415">
        <v>15</v>
      </c>
    </row>
    <row r="100" spans="1:6" ht="24">
      <c r="A100" s="2359">
        <v>26</v>
      </c>
      <c r="B100" s="4587"/>
      <c r="C100" s="2339" t="s">
        <v>2605</v>
      </c>
      <c r="D100" s="2339" t="s">
        <v>2606</v>
      </c>
      <c r="E100" s="3414">
        <v>0.1</v>
      </c>
      <c r="F100" s="3415">
        <v>15</v>
      </c>
    </row>
    <row r="101" spans="1:6" ht="24">
      <c r="A101" s="2359">
        <v>27</v>
      </c>
      <c r="B101" s="4587"/>
      <c r="C101" s="2339" t="s">
        <v>2607</v>
      </c>
      <c r="D101" s="2339" t="s">
        <v>2608</v>
      </c>
      <c r="E101" s="3414">
        <v>0.1</v>
      </c>
      <c r="F101" s="3415">
        <v>15</v>
      </c>
    </row>
    <row r="102" spans="1:6" ht="13.5">
      <c r="A102" s="2359">
        <v>28</v>
      </c>
      <c r="B102" s="4587"/>
      <c r="C102" s="2339" t="s">
        <v>2609</v>
      </c>
      <c r="D102" s="2339" t="s">
        <v>2610</v>
      </c>
      <c r="E102" s="3414">
        <v>0.1</v>
      </c>
      <c r="F102" s="3415">
        <v>15</v>
      </c>
    </row>
    <row r="103" spans="1:6" ht="13.5">
      <c r="A103" s="2359">
        <v>29</v>
      </c>
      <c r="B103" s="4587"/>
      <c r="C103" s="2339" t="s">
        <v>2611</v>
      </c>
      <c r="D103" s="2339" t="s">
        <v>2612</v>
      </c>
      <c r="E103" s="3414">
        <v>0.1</v>
      </c>
      <c r="F103" s="3415">
        <v>15</v>
      </c>
    </row>
    <row r="104" spans="1:6" ht="13.5">
      <c r="A104" s="2359">
        <v>30</v>
      </c>
      <c r="B104" s="4587"/>
      <c r="C104" s="2339" t="s">
        <v>2613</v>
      </c>
      <c r="D104" s="2339" t="s">
        <v>2614</v>
      </c>
      <c r="E104" s="3414">
        <v>0.1</v>
      </c>
      <c r="F104" s="3415">
        <v>15</v>
      </c>
    </row>
    <row r="105" spans="1:6" ht="24">
      <c r="A105" s="2359">
        <v>31</v>
      </c>
      <c r="B105" s="4587"/>
      <c r="C105" s="2339" t="s">
        <v>2615</v>
      </c>
      <c r="D105" s="2339" t="s">
        <v>2616</v>
      </c>
      <c r="E105" s="3414">
        <v>0.1</v>
      </c>
      <c r="F105" s="3415">
        <v>15</v>
      </c>
    </row>
    <row r="106" spans="1:6" ht="24">
      <c r="A106" s="2359">
        <v>32</v>
      </c>
      <c r="B106" s="4587"/>
      <c r="C106" s="2339" t="s">
        <v>2617</v>
      </c>
      <c r="D106" s="2339" t="s">
        <v>2618</v>
      </c>
      <c r="E106" s="3414">
        <v>0.1</v>
      </c>
      <c r="F106" s="3415">
        <v>15</v>
      </c>
    </row>
    <row r="107" spans="1:6" ht="24">
      <c r="A107" s="2359">
        <v>33</v>
      </c>
      <c r="B107" s="4587"/>
      <c r="C107" s="2339" t="s">
        <v>2619</v>
      </c>
      <c r="D107" s="2339" t="s">
        <v>2620</v>
      </c>
      <c r="E107" s="3414">
        <v>0.1</v>
      </c>
      <c r="F107" s="3415">
        <v>15</v>
      </c>
    </row>
    <row r="108" spans="1:6" ht="24">
      <c r="A108" s="2359">
        <v>34</v>
      </c>
      <c r="B108" s="4593"/>
      <c r="C108" s="2339" t="s">
        <v>2621</v>
      </c>
      <c r="D108" s="2339" t="s">
        <v>2622</v>
      </c>
      <c r="E108" s="3414">
        <v>0.1</v>
      </c>
      <c r="F108" s="3415">
        <v>15</v>
      </c>
    </row>
    <row r="109" spans="1:6" ht="24">
      <c r="A109" s="2359">
        <v>35</v>
      </c>
      <c r="B109" s="4588" t="s">
        <v>2623</v>
      </c>
      <c r="C109" s="2359" t="s">
        <v>2624</v>
      </c>
      <c r="D109" s="2339" t="s">
        <v>2625</v>
      </c>
      <c r="E109" s="3414">
        <v>0.15</v>
      </c>
      <c r="F109" s="3415">
        <v>20</v>
      </c>
    </row>
    <row r="110" spans="1:6" ht="13.5">
      <c r="A110" s="2359">
        <v>36</v>
      </c>
      <c r="B110" s="4587"/>
      <c r="C110" s="2359" t="s">
        <v>2626</v>
      </c>
      <c r="D110" s="2339" t="s">
        <v>2627</v>
      </c>
      <c r="E110" s="3414">
        <v>0.15</v>
      </c>
      <c r="F110" s="3415">
        <v>20</v>
      </c>
    </row>
    <row r="111" spans="1:6" ht="13.5">
      <c r="A111" s="2359">
        <v>37</v>
      </c>
      <c r="B111" s="4587"/>
      <c r="C111" s="2359" t="s">
        <v>2628</v>
      </c>
      <c r="D111" s="2339" t="s">
        <v>2629</v>
      </c>
      <c r="E111" s="3414">
        <v>0.15</v>
      </c>
      <c r="F111" s="3415">
        <v>20</v>
      </c>
    </row>
    <row r="112" spans="1:6" ht="13.5">
      <c r="A112" s="2359">
        <v>38</v>
      </c>
      <c r="B112" s="4587"/>
      <c r="C112" s="2359" t="s">
        <v>2630</v>
      </c>
      <c r="D112" s="2339" t="s">
        <v>2631</v>
      </c>
      <c r="E112" s="3414">
        <v>0.1</v>
      </c>
      <c r="F112" s="3415">
        <v>15</v>
      </c>
    </row>
    <row r="113" spans="1:6" ht="24">
      <c r="A113" s="2359">
        <v>39</v>
      </c>
      <c r="B113" s="4587"/>
      <c r="C113" s="2359" t="s">
        <v>2632</v>
      </c>
      <c r="D113" s="2339" t="s">
        <v>2633</v>
      </c>
      <c r="E113" s="3414">
        <v>0.1</v>
      </c>
      <c r="F113" s="3415">
        <v>15</v>
      </c>
    </row>
    <row r="114" spans="1:6" ht="24">
      <c r="A114" s="2359">
        <v>40</v>
      </c>
      <c r="B114" s="4593"/>
      <c r="C114" s="2359" t="s">
        <v>2634</v>
      </c>
      <c r="D114" s="2339" t="s">
        <v>2635</v>
      </c>
      <c r="E114" s="3414">
        <v>0.1</v>
      </c>
      <c r="F114" s="3415">
        <v>15</v>
      </c>
    </row>
    <row r="115" spans="1:6" ht="13.5">
      <c r="A115" s="2359">
        <v>41</v>
      </c>
      <c r="B115" s="4581" t="s">
        <v>2636</v>
      </c>
      <c r="C115" s="2359" t="s">
        <v>2637</v>
      </c>
      <c r="D115" s="2339" t="s">
        <v>2638</v>
      </c>
      <c r="E115" s="3414">
        <v>0.1</v>
      </c>
      <c r="F115" s="3415">
        <v>15</v>
      </c>
    </row>
    <row r="116" spans="1:6" ht="13.5">
      <c r="A116" s="2359">
        <v>42</v>
      </c>
      <c r="B116" s="4581"/>
      <c r="C116" s="2359" t="s">
        <v>2639</v>
      </c>
      <c r="D116" s="2339" t="s">
        <v>2640</v>
      </c>
      <c r="E116" s="3414">
        <v>0.1</v>
      </c>
      <c r="F116" s="3415">
        <v>15</v>
      </c>
    </row>
    <row r="117" spans="1:6" ht="24">
      <c r="A117" s="2359">
        <v>43</v>
      </c>
      <c r="B117" s="4581"/>
      <c r="C117" s="2359" t="s">
        <v>2641</v>
      </c>
      <c r="D117" s="2339" t="s">
        <v>2642</v>
      </c>
      <c r="E117" s="3414">
        <v>0.1</v>
      </c>
      <c r="F117" s="3415">
        <v>15</v>
      </c>
    </row>
    <row r="118" spans="1:6" ht="13.5">
      <c r="A118" s="2359">
        <v>44</v>
      </c>
      <c r="B118" s="4588" t="s">
        <v>2643</v>
      </c>
      <c r="C118" s="2359" t="s">
        <v>2644</v>
      </c>
      <c r="D118" s="2339" t="s">
        <v>2645</v>
      </c>
      <c r="E118" s="3414">
        <v>0.1</v>
      </c>
      <c r="F118" s="3415">
        <v>15</v>
      </c>
    </row>
    <row r="119" spans="1:6" ht="24">
      <c r="A119" s="2359">
        <v>45</v>
      </c>
      <c r="B119" s="4593"/>
      <c r="C119" s="2339" t="s">
        <v>2646</v>
      </c>
      <c r="D119" s="2339" t="s">
        <v>2647</v>
      </c>
      <c r="E119" s="3414">
        <v>0.1</v>
      </c>
      <c r="F119" s="3415">
        <v>15</v>
      </c>
    </row>
    <row r="120" spans="1:6" ht="24">
      <c r="A120" s="2359">
        <v>46</v>
      </c>
      <c r="B120" s="4588" t="s">
        <v>2648</v>
      </c>
      <c r="C120" s="2359" t="s">
        <v>2649</v>
      </c>
      <c r="D120" s="2339" t="s">
        <v>2650</v>
      </c>
      <c r="E120" s="3414">
        <v>0.1</v>
      </c>
      <c r="F120" s="3415">
        <v>15</v>
      </c>
    </row>
    <row r="121" spans="1:6" ht="24">
      <c r="A121" s="2359">
        <v>47</v>
      </c>
      <c r="B121" s="4593"/>
      <c r="C121" s="2359" t="s">
        <v>2651</v>
      </c>
      <c r="D121" s="2339" t="s">
        <v>2652</v>
      </c>
      <c r="E121" s="3414">
        <v>0.1</v>
      </c>
      <c r="F121" s="3415">
        <v>15</v>
      </c>
    </row>
    <row r="122" spans="1:6" ht="13.5">
      <c r="A122" s="2359">
        <v>48</v>
      </c>
      <c r="B122" s="4588" t="s">
        <v>2653</v>
      </c>
      <c r="C122" s="2359" t="s">
        <v>2654</v>
      </c>
      <c r="D122" s="2339" t="s">
        <v>2655</v>
      </c>
      <c r="E122" s="3414">
        <v>0.1</v>
      </c>
      <c r="F122" s="3415">
        <v>15</v>
      </c>
    </row>
    <row r="123" spans="1:6" ht="13.5">
      <c r="A123" s="2359">
        <v>49</v>
      </c>
      <c r="B123" s="4593"/>
      <c r="C123" s="2359" t="s">
        <v>2656</v>
      </c>
      <c r="D123" s="2339" t="s">
        <v>2657</v>
      </c>
      <c r="E123" s="3414">
        <v>0.1</v>
      </c>
      <c r="F123" s="3415">
        <v>15</v>
      </c>
    </row>
    <row r="124" spans="1:6" ht="24">
      <c r="A124" s="2359">
        <v>50</v>
      </c>
      <c r="B124" s="4581" t="s">
        <v>2658</v>
      </c>
      <c r="C124" s="2359" t="s">
        <v>2659</v>
      </c>
      <c r="D124" s="2339" t="s">
        <v>2660</v>
      </c>
      <c r="E124" s="3414">
        <v>0.1</v>
      </c>
      <c r="F124" s="3415">
        <v>15</v>
      </c>
    </row>
    <row r="125" spans="1:6" ht="24">
      <c r="A125" s="2359">
        <v>51</v>
      </c>
      <c r="B125" s="4581"/>
      <c r="C125" s="2359" t="s">
        <v>2661</v>
      </c>
      <c r="D125" s="2339" t="s">
        <v>2662</v>
      </c>
      <c r="E125" s="3414">
        <v>0.1</v>
      </c>
      <c r="F125" s="3415">
        <v>15</v>
      </c>
    </row>
    <row r="126" spans="1:6" ht="24">
      <c r="A126" s="2359">
        <v>52</v>
      </c>
      <c r="B126" s="4581" t="s">
        <v>2663</v>
      </c>
      <c r="C126" s="2359" t="s">
        <v>2664</v>
      </c>
      <c r="D126" s="2339" t="s">
        <v>2665</v>
      </c>
      <c r="E126" s="3414">
        <v>0.1</v>
      </c>
      <c r="F126" s="3415">
        <v>15</v>
      </c>
    </row>
    <row r="127" spans="1:6" ht="24">
      <c r="A127" s="2359">
        <v>53</v>
      </c>
      <c r="B127" s="4581"/>
      <c r="C127" s="2359" t="s">
        <v>2666</v>
      </c>
      <c r="D127" s="2339" t="s">
        <v>2667</v>
      </c>
      <c r="E127" s="3414">
        <v>0.1</v>
      </c>
      <c r="F127" s="3415">
        <v>15</v>
      </c>
    </row>
    <row r="128" spans="1:6" ht="13.5">
      <c r="A128" s="2359">
        <v>54</v>
      </c>
      <c r="B128" s="2359" t="s">
        <v>2668</v>
      </c>
      <c r="C128" s="2359" t="s">
        <v>2669</v>
      </c>
      <c r="D128" s="2339" t="s">
        <v>2670</v>
      </c>
      <c r="E128" s="3414">
        <v>0.1</v>
      </c>
      <c r="F128" s="3415">
        <v>15</v>
      </c>
    </row>
    <row r="129" spans="1:6" ht="13.5">
      <c r="A129" s="2359">
        <v>55</v>
      </c>
      <c r="B129" s="4581" t="s">
        <v>2671</v>
      </c>
      <c r="C129" s="2359" t="s">
        <v>2672</v>
      </c>
      <c r="D129" s="2339" t="s">
        <v>2673</v>
      </c>
      <c r="E129" s="3414">
        <v>0.1</v>
      </c>
      <c r="F129" s="3415">
        <v>15</v>
      </c>
    </row>
    <row r="130" spans="1:6" ht="13.5">
      <c r="A130" s="2359">
        <v>56</v>
      </c>
      <c r="B130" s="4581"/>
      <c r="C130" s="2359" t="s">
        <v>2674</v>
      </c>
      <c r="D130" s="2339" t="s">
        <v>2675</v>
      </c>
      <c r="E130" s="3414">
        <v>0.1</v>
      </c>
      <c r="F130" s="3415">
        <v>15</v>
      </c>
    </row>
    <row r="131" spans="1:6" ht="24">
      <c r="A131" s="2359">
        <v>57</v>
      </c>
      <c r="B131" s="4581"/>
      <c r="C131" s="2359" t="s">
        <v>2676</v>
      </c>
      <c r="D131" s="2339" t="s">
        <v>2677</v>
      </c>
      <c r="E131" s="3414">
        <v>0.1</v>
      </c>
      <c r="F131" s="3415">
        <v>15</v>
      </c>
    </row>
    <row r="132" spans="1:6" ht="24">
      <c r="A132" s="2359">
        <v>58</v>
      </c>
      <c r="B132" s="4581" t="s">
        <v>2678</v>
      </c>
      <c r="C132" s="2359" t="s">
        <v>2679</v>
      </c>
      <c r="D132" s="2339" t="s">
        <v>2680</v>
      </c>
      <c r="E132" s="3414">
        <v>0.1</v>
      </c>
      <c r="F132" s="3415">
        <v>15</v>
      </c>
    </row>
    <row r="133" spans="1:6" ht="13.5">
      <c r="A133" s="2359">
        <v>59</v>
      </c>
      <c r="B133" s="4581"/>
      <c r="C133" s="2359" t="s">
        <v>2681</v>
      </c>
      <c r="D133" s="2339" t="s">
        <v>2682</v>
      </c>
      <c r="E133" s="3414">
        <v>0.1</v>
      </c>
      <c r="F133" s="3415">
        <v>15</v>
      </c>
    </row>
    <row r="134" spans="1:6" ht="13.5">
      <c r="A134" s="2359">
        <v>60</v>
      </c>
      <c r="B134" s="4588" t="s">
        <v>2683</v>
      </c>
      <c r="C134" s="2359" t="s">
        <v>2684</v>
      </c>
      <c r="D134" s="2339" t="s">
        <v>2685</v>
      </c>
      <c r="E134" s="3414">
        <v>0.1</v>
      </c>
      <c r="F134" s="3415">
        <v>15</v>
      </c>
    </row>
    <row r="135" spans="1:6" ht="13.5">
      <c r="A135" s="2359">
        <v>61</v>
      </c>
      <c r="B135" s="4593"/>
      <c r="C135" s="2359" t="s">
        <v>2686</v>
      </c>
      <c r="D135" s="2339" t="s">
        <v>2687</v>
      </c>
      <c r="E135" s="3414">
        <v>0.1</v>
      </c>
      <c r="F135" s="3415">
        <v>15</v>
      </c>
    </row>
    <row r="136" spans="1:6" ht="24">
      <c r="A136" s="2359">
        <v>62</v>
      </c>
      <c r="B136" s="2359" t="s">
        <v>2688</v>
      </c>
      <c r="C136" s="2359" t="s">
        <v>2689</v>
      </c>
      <c r="D136" s="2339" t="s">
        <v>2690</v>
      </c>
      <c r="E136" s="3414">
        <v>0.1</v>
      </c>
      <c r="F136" s="3415">
        <v>15</v>
      </c>
    </row>
    <row r="137" spans="1:6" ht="13.5">
      <c r="A137" s="2359">
        <v>63</v>
      </c>
      <c r="B137" s="4581" t="s">
        <v>2691</v>
      </c>
      <c r="C137" s="2359" t="s">
        <v>2692</v>
      </c>
      <c r="D137" s="2339" t="s">
        <v>2693</v>
      </c>
      <c r="E137" s="3414">
        <v>0.1</v>
      </c>
      <c r="F137" s="3415">
        <v>15</v>
      </c>
    </row>
    <row r="138" spans="1:6" ht="13.5">
      <c r="A138" s="2359">
        <v>64</v>
      </c>
      <c r="B138" s="4581"/>
      <c r="C138" s="2359" t="s">
        <v>2694</v>
      </c>
      <c r="D138" s="2339" t="s">
        <v>2695</v>
      </c>
      <c r="E138" s="3414">
        <v>0.1</v>
      </c>
      <c r="F138" s="3415">
        <v>15</v>
      </c>
    </row>
    <row r="139" spans="1:6" ht="13.5">
      <c r="A139" s="2359">
        <v>65</v>
      </c>
      <c r="B139" s="2359" t="s">
        <v>2696</v>
      </c>
      <c r="C139" s="2359" t="s">
        <v>2697</v>
      </c>
      <c r="D139" s="2339" t="s">
        <v>2698</v>
      </c>
      <c r="E139" s="3414">
        <v>0.1</v>
      </c>
      <c r="F139" s="3415">
        <v>15</v>
      </c>
    </row>
    <row r="140" spans="1:6" ht="13.5">
      <c r="A140" s="2359"/>
      <c r="B140" s="2359"/>
      <c r="C140" s="2359"/>
      <c r="D140" s="2359"/>
      <c r="E140" s="2359" t="s">
        <v>2699</v>
      </c>
      <c r="F140" s="2359"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F26" sqref="F26"/>
    </sheetView>
  </sheetViews>
  <sheetFormatPr defaultColWidth="9" defaultRowHeight="13.5"/>
  <cols>
    <col min="1" max="13" width="9" style="2381"/>
  </cols>
  <sheetData>
    <row r="1" spans="1:20" ht="15" thickBot="1">
      <c r="A1" s="2367" t="s">
        <v>2700</v>
      </c>
      <c r="B1" s="2367"/>
      <c r="C1" s="2367"/>
      <c r="D1" s="2367"/>
      <c r="E1" s="2367"/>
      <c r="F1" s="2367"/>
      <c r="G1" s="2367"/>
      <c r="H1" s="2367"/>
      <c r="I1" s="2367"/>
      <c r="J1" s="2367"/>
      <c r="K1" s="2367"/>
      <c r="L1" s="2367"/>
      <c r="M1" s="2367"/>
      <c r="N1" s="545"/>
    </row>
    <row r="2" spans="1:20">
      <c r="A2" s="2368" t="s">
        <v>2701</v>
      </c>
      <c r="B2" s="2369" t="s">
        <v>2497</v>
      </c>
      <c r="C2" s="2369" t="s">
        <v>2498</v>
      </c>
      <c r="D2" s="2369" t="s">
        <v>2499</v>
      </c>
      <c r="E2" s="2369" t="s">
        <v>2500</v>
      </c>
      <c r="F2" s="2369" t="s">
        <v>2501</v>
      </c>
      <c r="G2" s="2369" t="s">
        <v>2502</v>
      </c>
      <c r="H2" s="2370" t="s">
        <v>2503</v>
      </c>
      <c r="I2" s="2370" t="s">
        <v>2504</v>
      </c>
      <c r="J2" s="2371" t="s">
        <v>2505</v>
      </c>
      <c r="K2" s="2371" t="s">
        <v>2506</v>
      </c>
      <c r="L2" s="2371" t="s">
        <v>2507</v>
      </c>
      <c r="M2" s="2372" t="s">
        <v>2508</v>
      </c>
      <c r="Q2" s="2382" t="s">
        <v>2706</v>
      </c>
      <c r="R2" s="2382" t="s">
        <v>2707</v>
      </c>
      <c r="S2" s="2382" t="s">
        <v>2708</v>
      </c>
      <c r="T2" s="2382" t="s">
        <v>2709</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2702</v>
      </c>
      <c r="B93" s="2367"/>
      <c r="C93" s="2367"/>
      <c r="D93" s="2367"/>
      <c r="E93" s="2367"/>
      <c r="F93" s="2367"/>
      <c r="G93" s="2367"/>
      <c r="H93" s="2367"/>
      <c r="I93" s="2367"/>
      <c r="J93" s="2367"/>
      <c r="K93" s="2367"/>
      <c r="L93" s="2367"/>
      <c r="M93" s="2367"/>
    </row>
    <row r="94" spans="1:20">
      <c r="A94" s="2368" t="s">
        <v>2701</v>
      </c>
      <c r="B94" s="2369" t="s">
        <v>2497</v>
      </c>
      <c r="C94" s="2369" t="s">
        <v>2498</v>
      </c>
      <c r="D94" s="2369" t="s">
        <v>2499</v>
      </c>
      <c r="E94" s="2369" t="s">
        <v>2500</v>
      </c>
      <c r="F94" s="2369" t="s">
        <v>2501</v>
      </c>
      <c r="G94" s="2369" t="s">
        <v>2502</v>
      </c>
      <c r="H94" s="2370" t="s">
        <v>2503</v>
      </c>
      <c r="I94" s="2370" t="s">
        <v>2504</v>
      </c>
      <c r="J94" s="2371" t="s">
        <v>2505</v>
      </c>
      <c r="K94" s="2371" t="s">
        <v>2506</v>
      </c>
      <c r="L94" s="2371" t="s">
        <v>2507</v>
      </c>
      <c r="M94" s="2372" t="s">
        <v>2508</v>
      </c>
      <c r="N94">
        <f>SUMPRODUCT((A95:A184=ROUNDDOWN(基准地价修正!G3,1))*(B94:M94=基准地价修正!G2)*(B95:M184))</f>
        <v>0</v>
      </c>
      <c r="Q94" s="2382" t="s">
        <v>2706</v>
      </c>
      <c r="R94" s="2382" t="s">
        <v>2707</v>
      </c>
      <c r="S94" s="2382" t="s">
        <v>2708</v>
      </c>
      <c r="T94" s="2382" t="s">
        <v>2709</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2703</v>
      </c>
      <c r="B185" s="2367"/>
      <c r="C185" s="2367"/>
      <c r="D185" s="2367"/>
      <c r="E185" s="2367"/>
      <c r="F185" s="2367"/>
      <c r="G185" s="2367"/>
      <c r="H185" s="2367"/>
      <c r="I185" s="2367"/>
      <c r="J185" s="2367"/>
      <c r="K185" s="2367"/>
      <c r="L185" s="2367"/>
      <c r="M185" s="2367"/>
    </row>
    <row r="186" spans="1:20">
      <c r="A186" s="2368" t="s">
        <v>2701</v>
      </c>
      <c r="B186" s="2369" t="s">
        <v>2497</v>
      </c>
      <c r="C186" s="2369" t="s">
        <v>2498</v>
      </c>
      <c r="D186" s="2369" t="s">
        <v>2499</v>
      </c>
      <c r="E186" s="2369" t="s">
        <v>2500</v>
      </c>
      <c r="F186" s="2369" t="s">
        <v>2501</v>
      </c>
      <c r="G186" s="2369" t="s">
        <v>2502</v>
      </c>
      <c r="H186" s="2370" t="s">
        <v>2503</v>
      </c>
      <c r="I186" s="2370" t="s">
        <v>2504</v>
      </c>
      <c r="J186" s="2371" t="s">
        <v>2505</v>
      </c>
      <c r="K186" s="2371" t="s">
        <v>2506</v>
      </c>
      <c r="L186" s="2371" t="s">
        <v>2507</v>
      </c>
      <c r="M186" s="2372" t="s">
        <v>2508</v>
      </c>
      <c r="Q186" s="2382" t="s">
        <v>2706</v>
      </c>
      <c r="R186" s="2382" t="s">
        <v>2707</v>
      </c>
      <c r="S186" s="2382" t="s">
        <v>2708</v>
      </c>
      <c r="T186" s="2382" t="s">
        <v>2709</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2704</v>
      </c>
      <c r="B277" s="2367"/>
      <c r="C277" s="2367"/>
      <c r="D277" s="2367"/>
      <c r="E277" s="2367"/>
      <c r="F277" s="2367"/>
      <c r="G277" s="2367"/>
      <c r="H277" s="2367"/>
      <c r="I277" s="2367"/>
      <c r="J277" s="2367"/>
      <c r="K277" s="2367"/>
      <c r="L277" s="2367"/>
      <c r="M277" s="2367"/>
    </row>
    <row r="278" spans="1:21">
      <c r="A278" s="2368" t="s">
        <v>2701</v>
      </c>
      <c r="B278" s="2369" t="s">
        <v>2497</v>
      </c>
      <c r="C278" s="2369" t="s">
        <v>2498</v>
      </c>
      <c r="D278" s="2369" t="s">
        <v>2499</v>
      </c>
      <c r="E278" s="2369" t="s">
        <v>2500</v>
      </c>
      <c r="F278" s="2369" t="s">
        <v>2501</v>
      </c>
      <c r="G278" s="2369" t="s">
        <v>2502</v>
      </c>
      <c r="H278" s="2370" t="s">
        <v>2503</v>
      </c>
      <c r="I278" s="2370" t="s">
        <v>2504</v>
      </c>
      <c r="J278" s="2371" t="s">
        <v>2505</v>
      </c>
      <c r="K278" s="2371" t="s">
        <v>2506</v>
      </c>
      <c r="L278" s="2371" t="s">
        <v>2507</v>
      </c>
      <c r="M278" s="2372" t="s">
        <v>2508</v>
      </c>
      <c r="Q278" s="2382" t="s">
        <v>2706</v>
      </c>
      <c r="R278" s="2382" t="s">
        <v>2707</v>
      </c>
      <c r="S278" s="2382" t="s">
        <v>2710</v>
      </c>
      <c r="T278" s="2382" t="s">
        <v>2711</v>
      </c>
      <c r="U278" s="2382" t="s">
        <v>2709</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2705</v>
      </c>
      <c r="B369" s="2380"/>
      <c r="C369" s="2380"/>
      <c r="D369" s="2380"/>
      <c r="E369" s="2380"/>
      <c r="F369" s="2380"/>
      <c r="G369" s="2380"/>
      <c r="H369" s="2380"/>
      <c r="I369" s="2380"/>
      <c r="J369" s="2380"/>
      <c r="K369" s="2380"/>
      <c r="L369" s="2380"/>
      <c r="M369" s="2380"/>
    </row>
    <row r="370" spans="1:20">
      <c r="A370" s="2368" t="s">
        <v>2701</v>
      </c>
      <c r="B370" s="2369" t="s">
        <v>2497</v>
      </c>
      <c r="C370" s="2369" t="s">
        <v>2498</v>
      </c>
      <c r="D370" s="2369" t="s">
        <v>2499</v>
      </c>
      <c r="E370" s="2369" t="s">
        <v>2500</v>
      </c>
      <c r="F370" s="2369" t="s">
        <v>2501</v>
      </c>
      <c r="G370" s="2369" t="s">
        <v>2502</v>
      </c>
      <c r="H370" s="2370" t="s">
        <v>2503</v>
      </c>
      <c r="I370" s="2370" t="s">
        <v>2504</v>
      </c>
      <c r="J370" s="2371" t="s">
        <v>2505</v>
      </c>
      <c r="K370" s="2371" t="s">
        <v>2506</v>
      </c>
      <c r="L370" s="2371" t="s">
        <v>2507</v>
      </c>
      <c r="M370" s="2372" t="s">
        <v>2508</v>
      </c>
      <c r="N370">
        <f>SUMPRODUCT((A371:A460=ROUNDDOWN(基准地价修正!G3,1))*(B370:M370=基准地价修正!G2)*(B371:M460))</f>
        <v>0</v>
      </c>
      <c r="Q370" s="2382" t="s">
        <v>2706</v>
      </c>
      <c r="R370" s="2382" t="s">
        <v>2707</v>
      </c>
      <c r="S370" s="2382" t="s">
        <v>2708</v>
      </c>
      <c r="T370" s="2382" t="s">
        <v>2709</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24618</v>
      </c>
      <c r="C2" s="2" t="s">
        <v>104</v>
      </c>
      <c r="D2" s="112"/>
      <c r="E2" s="112"/>
      <c r="F2" s="112"/>
      <c r="G2" s="112"/>
    </row>
    <row r="3" spans="1:7" s="113" customFormat="1" ht="18" customHeight="1" thickBot="1">
      <c r="A3" s="116" t="s">
        <v>56</v>
      </c>
      <c r="B3" s="117">
        <f ca="1">ROUND(B2*10000/'数据-汇总表'!E3,0)</f>
        <v>234725</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21</v>
      </c>
      <c r="D10" s="589">
        <f>'数据-汇总表'!E6</f>
        <v>1048.8</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21</v>
      </c>
      <c r="D19" s="125">
        <f>'数据-汇总表'!E3</f>
        <v>1048.8</v>
      </c>
      <c r="E19" s="124">
        <f>'数据-取费表'!B31</f>
        <v>200</v>
      </c>
      <c r="F19" s="144"/>
      <c r="G19" s="1" t="s">
        <v>430</v>
      </c>
    </row>
    <row r="20" spans="1:7" s="127" customFormat="1" ht="13.5" customHeight="1">
      <c r="A20" s="561" t="s">
        <v>413</v>
      </c>
      <c r="B20" s="123" t="s">
        <v>75</v>
      </c>
      <c r="C20" s="145">
        <f>ROUND((C5+C19)*F20,0)</f>
        <v>413</v>
      </c>
      <c r="D20" s="145"/>
      <c r="E20" s="145"/>
      <c r="F20" s="146">
        <f>'数据-取费表'!B38</f>
        <v>0.02</v>
      </c>
      <c r="G20" s="767" t="s">
        <v>424</v>
      </c>
    </row>
    <row r="21" spans="1:7" s="127" customFormat="1" ht="13.5" customHeight="1">
      <c r="A21" s="561" t="s">
        <v>415</v>
      </c>
      <c r="B21" s="123" t="s">
        <v>76</v>
      </c>
      <c r="C21" s="148">
        <f>F21</f>
        <v>0.01</v>
      </c>
      <c r="D21" s="149" t="s">
        <v>97</v>
      </c>
      <c r="E21" s="145"/>
      <c r="F21" s="146">
        <f>'数据-取费表'!B39</f>
        <v>0.01</v>
      </c>
      <c r="G21" s="147" t="s">
        <v>77</v>
      </c>
    </row>
    <row r="22" spans="1:7" s="127" customFormat="1" ht="13.5" customHeight="1">
      <c r="A22" s="561" t="s">
        <v>339</v>
      </c>
      <c r="B22" s="123" t="s">
        <v>78</v>
      </c>
      <c r="C22" s="803">
        <f ca="1">ROUND(SUM(C23:C25),0)</f>
        <v>963</v>
      </c>
      <c r="D22" s="148">
        <f ca="1">C26</f>
        <v>2.0000000000000001E-4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953</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1</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2.0000000000000001E-4</v>
      </c>
      <c r="D26" s="151"/>
      <c r="E26" s="154"/>
      <c r="F26" s="152"/>
      <c r="G26" s="156"/>
    </row>
    <row r="27" spans="1:7" s="127" customFormat="1" ht="24.75">
      <c r="A27" s="561" t="s">
        <v>340</v>
      </c>
      <c r="B27" s="157" t="s">
        <v>83</v>
      </c>
      <c r="C27" s="158">
        <f>C28</f>
        <v>2104</v>
      </c>
      <c r="D27" s="148">
        <f>C29</f>
        <v>1E-3</v>
      </c>
      <c r="E27" s="149" t="s">
        <v>97</v>
      </c>
      <c r="F27" s="159">
        <f>'数据-取费表'!Q16</f>
        <v>0.1</v>
      </c>
      <c r="G27" s="160" t="s">
        <v>425</v>
      </c>
    </row>
    <row r="28" spans="1:7" s="127" customFormat="1" ht="13.5" customHeight="1">
      <c r="A28" s="564" t="s">
        <v>347</v>
      </c>
      <c r="B28" s="161" t="s">
        <v>418</v>
      </c>
      <c r="C28" s="162">
        <f>ROUND((C5+C19+C20)*F27*'数据-取费表'!B21/'数据-取费表'!B20,0)</f>
        <v>2104</v>
      </c>
      <c r="D28" s="148"/>
      <c r="E28" s="149"/>
      <c r="F28" s="159"/>
      <c r="G28" s="160"/>
    </row>
    <row r="29" spans="1:7" s="127" customFormat="1" ht="13.5" customHeight="1">
      <c r="A29" s="564" t="s">
        <v>345</v>
      </c>
      <c r="B29" s="161" t="s">
        <v>419</v>
      </c>
      <c r="C29" s="151">
        <f>ROUND(C21*F27*'数据-取费表'!B21/'数据-取费表'!B20,4)</f>
        <v>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24384</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326</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288</v>
      </c>
      <c r="D34" s="130"/>
      <c r="E34" s="133"/>
      <c r="F34" s="170">
        <f>IF('数据-取费表'!B24=0,1,'数据-取费表'!N16)</f>
        <v>1</v>
      </c>
      <c r="G34" s="132" t="s">
        <v>87</v>
      </c>
    </row>
    <row r="35" spans="1:7" ht="13.5" customHeight="1">
      <c r="A35" s="564" t="s">
        <v>349</v>
      </c>
      <c r="B35" s="128" t="s">
        <v>31</v>
      </c>
      <c r="C35" s="133">
        <f>ROUND(C34*F35,0)</f>
        <v>14</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21</v>
      </c>
      <c r="D37" s="130">
        <f>'数据-汇总表'!E3</f>
        <v>1048.8</v>
      </c>
      <c r="E37" s="162">
        <f>'数据-取费表'!B35</f>
        <v>200</v>
      </c>
      <c r="F37" s="172"/>
      <c r="G37" s="174" t="s">
        <v>90</v>
      </c>
    </row>
    <row r="38" spans="1:7" ht="13.5" customHeight="1">
      <c r="A38" s="564" t="s">
        <v>352</v>
      </c>
      <c r="B38" s="128" t="s">
        <v>34</v>
      </c>
      <c r="C38" s="133">
        <f>ROUND(C34*F38,0)</f>
        <v>3</v>
      </c>
      <c r="D38" s="133"/>
      <c r="E38" s="133"/>
      <c r="F38" s="172">
        <f>'数据-取费表'!B36</f>
        <v>0.01</v>
      </c>
      <c r="G38" s="132" t="s">
        <v>88</v>
      </c>
    </row>
    <row r="39" spans="1:7" s="127" customFormat="1" ht="13.5" customHeight="1">
      <c r="A39" s="561" t="s">
        <v>336</v>
      </c>
      <c r="B39" s="123" t="s">
        <v>75</v>
      </c>
      <c r="C39" s="145">
        <f>ROUND(C33*F20,0)</f>
        <v>7</v>
      </c>
      <c r="D39" s="145"/>
      <c r="E39" s="145"/>
      <c r="F39" s="146"/>
      <c r="G39" s="767" t="s">
        <v>427</v>
      </c>
    </row>
    <row r="40" spans="1:7" s="127" customFormat="1" ht="13.5" customHeight="1">
      <c r="A40" s="561" t="s">
        <v>337</v>
      </c>
      <c r="B40" s="123" t="s">
        <v>76</v>
      </c>
      <c r="C40" s="175">
        <f>F21</f>
        <v>0.01</v>
      </c>
      <c r="D40" s="149" t="s">
        <v>100</v>
      </c>
      <c r="E40" s="145"/>
      <c r="F40" s="146"/>
      <c r="G40" s="147" t="s">
        <v>91</v>
      </c>
    </row>
    <row r="41" spans="1:7" s="127" customFormat="1" ht="13.5" customHeight="1">
      <c r="A41" s="561" t="s">
        <v>338</v>
      </c>
      <c r="B41" s="123" t="s">
        <v>78</v>
      </c>
      <c r="C41" s="145">
        <f ca="1">ROUND(SUM(C42:C43),0)</f>
        <v>7</v>
      </c>
      <c r="D41" s="148">
        <f ca="1">C44</f>
        <v>2.0000000000000001E-4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7</v>
      </c>
      <c r="D42" s="151"/>
      <c r="E42" s="151"/>
      <c r="F42" s="152"/>
      <c r="G42" s="4388" t="s">
        <v>92</v>
      </c>
    </row>
    <row r="43" spans="1:7" ht="13.5" customHeight="1">
      <c r="A43" s="564" t="s">
        <v>345</v>
      </c>
      <c r="B43" s="128" t="s">
        <v>420</v>
      </c>
      <c r="C43" s="151">
        <f ca="1">ROUND(IF('数据-取费表'!B22&lt;=1,C39*F22*'数据-取费表'!B21/2,C39*(POWER((1+F22),'数据-取费表'!B21/2)-1)),0)</f>
        <v>0</v>
      </c>
      <c r="D43" s="151"/>
      <c r="E43" s="151"/>
      <c r="F43" s="152"/>
      <c r="G43" s="4390"/>
    </row>
    <row r="44" spans="1:7" ht="13.5" customHeight="1">
      <c r="A44" s="564" t="s">
        <v>346</v>
      </c>
      <c r="B44" s="128" t="s">
        <v>422</v>
      </c>
      <c r="C44" s="151">
        <f ca="1">ROUND(IF('数据-取费表'!B22&lt;=1,C40*F22*'数据-取费表'!B21/2,C40*(POWER((1+F22),'数据-取费表'!B21/2)-1)),4)</f>
        <v>2.0000000000000001E-4</v>
      </c>
      <c r="D44" s="151"/>
      <c r="E44" s="151"/>
      <c r="F44" s="152"/>
      <c r="G44" s="4389"/>
    </row>
    <row r="45" spans="1:7" s="127" customFormat="1" ht="13.5" customHeight="1">
      <c r="A45" s="561" t="s">
        <v>339</v>
      </c>
      <c r="B45" s="157" t="s">
        <v>83</v>
      </c>
      <c r="C45" s="158">
        <f>C46</f>
        <v>33</v>
      </c>
      <c r="D45" s="148">
        <f>C47</f>
        <v>1E-3</v>
      </c>
      <c r="E45" s="149" t="s">
        <v>100</v>
      </c>
      <c r="F45" s="159"/>
      <c r="G45" s="160" t="s">
        <v>428</v>
      </c>
    </row>
    <row r="46" spans="1:7" s="127" customFormat="1" ht="13.5" customHeight="1">
      <c r="A46" s="564" t="s">
        <v>347</v>
      </c>
      <c r="B46" s="161" t="s">
        <v>421</v>
      </c>
      <c r="C46" s="162">
        <f>ROUND((C33+C39)*F27,0)</f>
        <v>33</v>
      </c>
      <c r="D46" s="176"/>
      <c r="E46" s="149"/>
      <c r="F46" s="159"/>
      <c r="G46" s="160"/>
    </row>
    <row r="47" spans="1:7" s="127" customFormat="1" ht="13.5" customHeight="1">
      <c r="A47" s="564" t="s">
        <v>345</v>
      </c>
      <c r="B47" s="161" t="s">
        <v>423</v>
      </c>
      <c r="C47" s="151">
        <f>ROUND(C40*F27,4)</f>
        <v>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377</v>
      </c>
      <c r="D49" s="145"/>
      <c r="E49" s="145"/>
      <c r="F49" s="177"/>
      <c r="G49" s="147" t="s">
        <v>429</v>
      </c>
    </row>
    <row r="50" spans="1:7" s="171" customFormat="1" ht="24">
      <c r="A50" s="561" t="s">
        <v>342</v>
      </c>
      <c r="B50" s="123" t="s">
        <v>95</v>
      </c>
      <c r="C50" s="145"/>
      <c r="D50" s="145"/>
      <c r="E50" s="145"/>
      <c r="F50" s="177">
        <f>IF('数据-取费表'!B24=0,'数据-取费表'!N16,1)</f>
        <v>0.62</v>
      </c>
      <c r="G50" s="160" t="s">
        <v>96</v>
      </c>
    </row>
    <row r="51" spans="1:7" ht="16.5" customHeight="1">
      <c r="A51" s="561" t="s">
        <v>343</v>
      </c>
      <c r="B51" s="123" t="s">
        <v>103</v>
      </c>
      <c r="C51" s="145">
        <f ca="1">ROUND(C49*F50,0)</f>
        <v>234</v>
      </c>
      <c r="D51" s="145"/>
      <c r="E51" s="145"/>
      <c r="F51" s="177"/>
      <c r="G51" s="147" t="s">
        <v>35</v>
      </c>
    </row>
    <row r="52" spans="1:7" s="121" customFormat="1" ht="16.5" thickBot="1">
      <c r="A52" s="178" t="s">
        <v>36</v>
      </c>
      <c r="B52" s="179"/>
      <c r="C52" s="180">
        <f ca="1">C31+C51</f>
        <v>24618</v>
      </c>
      <c r="D52" s="179"/>
      <c r="E52" s="179"/>
      <c r="F52" s="179"/>
      <c r="G52" s="181"/>
    </row>
    <row r="55" spans="1:7" ht="15">
      <c r="B55" s="183" t="s">
        <v>37</v>
      </c>
      <c r="C55" s="184"/>
    </row>
    <row r="56" spans="1:7">
      <c r="B56" s="186" t="s">
        <v>38</v>
      </c>
      <c r="C56" s="187">
        <f ca="1">ROUND(C51/C52,3)</f>
        <v>0.01</v>
      </c>
    </row>
    <row r="57" spans="1:7">
      <c r="B57" s="186" t="s">
        <v>39</v>
      </c>
      <c r="C57" s="188">
        <f ca="1">1-C56</f>
        <v>0.99</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94" t="s">
        <v>3083</v>
      </c>
      <c r="B1" s="4594"/>
    </row>
    <row r="2" spans="1:7" ht="14.25" thickBot="1">
      <c r="A2" s="2457"/>
      <c r="B2" s="2457"/>
    </row>
    <row r="3" spans="1:7" ht="14.25" thickBot="1">
      <c r="A3" s="2457"/>
      <c r="B3" s="2457"/>
      <c r="C3" s="2458" t="s">
        <v>2713</v>
      </c>
      <c r="D3" s="2458" t="s">
        <v>2769</v>
      </c>
      <c r="E3" s="2458" t="s">
        <v>2715</v>
      </c>
      <c r="F3" s="2458" t="s">
        <v>2770</v>
      </c>
      <c r="G3" s="2458" t="s">
        <v>2533</v>
      </c>
    </row>
    <row r="4" spans="1:7" ht="14.25" thickBot="1">
      <c r="A4" s="2459" t="s">
        <v>2768</v>
      </c>
      <c r="B4" s="2460" t="s">
        <v>2774</v>
      </c>
      <c r="C4" s="2458"/>
      <c r="D4" s="2458"/>
      <c r="E4" s="2458"/>
      <c r="F4" s="2458"/>
      <c r="G4" s="2458"/>
    </row>
    <row r="5" spans="1:7">
      <c r="A5" s="2461" t="s">
        <v>2742</v>
      </c>
      <c r="B5" s="2462" t="s">
        <v>2756</v>
      </c>
      <c r="C5" s="2463">
        <v>9.8000000000000004E-2</v>
      </c>
      <c r="D5" s="2463">
        <v>8.6999999999999994E-2</v>
      </c>
      <c r="E5" s="2463">
        <v>8.6999999999999994E-2</v>
      </c>
      <c r="F5" s="2463">
        <v>9.8000000000000004E-2</v>
      </c>
      <c r="G5" s="2464">
        <v>9.5000000000000001E-2</v>
      </c>
    </row>
    <row r="6" spans="1:7">
      <c r="A6" s="2465" t="s">
        <v>142</v>
      </c>
      <c r="B6" s="2466" t="s">
        <v>2771</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2757</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2807</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2825</v>
      </c>
      <c r="C29" s="2475"/>
      <c r="D29" s="2471">
        <v>5.1999999999999998E-2</v>
      </c>
      <c r="E29" s="2471">
        <v>7.0000000000000007E-2</v>
      </c>
      <c r="F29" s="2475"/>
      <c r="G29" s="2473">
        <v>7.0999999999999994E-2</v>
      </c>
    </row>
    <row r="30" spans="1:7">
      <c r="A30" s="2476" t="s">
        <v>294</v>
      </c>
      <c r="B30" s="2462" t="s">
        <v>2758</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2744</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2828</v>
      </c>
      <c r="C50" s="2467">
        <v>9.8000000000000004E-2</v>
      </c>
      <c r="D50" s="2467">
        <v>7.2999999999999995E-2</v>
      </c>
      <c r="E50" s="2467">
        <v>7.0999999999999994E-2</v>
      </c>
      <c r="F50" s="2478"/>
      <c r="G50" s="2468">
        <v>7.2999999999999995E-2</v>
      </c>
    </row>
    <row r="51" spans="1:7">
      <c r="A51" s="2477" t="s">
        <v>294</v>
      </c>
      <c r="B51" s="2466" t="s">
        <v>2830</v>
      </c>
      <c r="C51" s="2467">
        <v>9.9000000000000005E-2</v>
      </c>
      <c r="D51" s="2467">
        <v>8.5000000000000006E-2</v>
      </c>
      <c r="E51" s="2467">
        <v>6.3E-2</v>
      </c>
      <c r="F51" s="2478"/>
      <c r="G51" s="2468">
        <v>9.6000000000000002E-2</v>
      </c>
    </row>
    <row r="52" spans="1:7">
      <c r="A52" s="2477" t="s">
        <v>294</v>
      </c>
      <c r="B52" s="2466" t="s">
        <v>2834</v>
      </c>
      <c r="C52" s="2467">
        <v>7.3999999999999996E-2</v>
      </c>
      <c r="D52" s="2467">
        <v>9.6000000000000002E-2</v>
      </c>
      <c r="E52" s="2467">
        <v>0.05</v>
      </c>
      <c r="F52" s="2478"/>
      <c r="G52" s="2468">
        <v>9.8000000000000004E-2</v>
      </c>
    </row>
    <row r="53" spans="1:7">
      <c r="A53" s="2477" t="s">
        <v>294</v>
      </c>
      <c r="B53" s="2466" t="s">
        <v>2839</v>
      </c>
      <c r="C53" s="2467">
        <v>8.5999999999999993E-2</v>
      </c>
      <c r="D53" s="2478"/>
      <c r="E53" s="2467">
        <v>9.1999999999999998E-2</v>
      </c>
      <c r="F53" s="2478"/>
      <c r="G53" s="2479"/>
    </row>
    <row r="54" spans="1:7" ht="14.25" thickBot="1">
      <c r="A54" s="2480" t="s">
        <v>294</v>
      </c>
      <c r="B54" s="2470" t="s">
        <v>2842</v>
      </c>
      <c r="C54" s="2471">
        <v>9.6000000000000002E-2</v>
      </c>
      <c r="D54" s="2472"/>
      <c r="E54" s="2481"/>
      <c r="F54" s="2472"/>
      <c r="G54" s="2482"/>
    </row>
    <row r="55" spans="1:7">
      <c r="A55" s="2476" t="s">
        <v>108</v>
      </c>
      <c r="B55" s="2462" t="s">
        <v>2759</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2840</v>
      </c>
      <c r="C78" s="2467">
        <v>0.1</v>
      </c>
      <c r="D78" s="2467">
        <v>8.5000000000000006E-2</v>
      </c>
      <c r="E78" s="2467">
        <v>9.6000000000000002E-2</v>
      </c>
      <c r="F78" s="2478"/>
      <c r="G78" s="2468">
        <v>9.6000000000000002E-2</v>
      </c>
    </row>
    <row r="79" spans="1:7">
      <c r="A79" s="2477" t="s">
        <v>108</v>
      </c>
      <c r="B79" s="2466" t="s">
        <v>2843</v>
      </c>
      <c r="C79" s="2467">
        <v>0.05</v>
      </c>
      <c r="D79" s="2467">
        <v>9.6000000000000002E-2</v>
      </c>
      <c r="E79" s="2467">
        <v>9.5000000000000001E-2</v>
      </c>
      <c r="F79" s="2478"/>
      <c r="G79" s="2468">
        <v>9.8000000000000004E-2</v>
      </c>
    </row>
    <row r="80" spans="1:7">
      <c r="A80" s="2477" t="s">
        <v>108</v>
      </c>
      <c r="B80" s="2466" t="s">
        <v>2847</v>
      </c>
      <c r="C80" s="2467">
        <v>8.5999999999999993E-2</v>
      </c>
      <c r="D80" s="2483"/>
      <c r="E80" s="2467">
        <v>0.1</v>
      </c>
      <c r="F80" s="2478"/>
      <c r="G80" s="2479"/>
    </row>
    <row r="81" spans="1:7">
      <c r="A81" s="2477" t="s">
        <v>108</v>
      </c>
      <c r="B81" s="2466" t="s">
        <v>2852</v>
      </c>
      <c r="C81" s="2467">
        <v>9.6000000000000002E-2</v>
      </c>
      <c r="D81" s="2478"/>
      <c r="E81" s="2467">
        <v>9.8000000000000004E-2</v>
      </c>
      <c r="F81" s="2478"/>
      <c r="G81" s="2479"/>
    </row>
    <row r="82" spans="1:7">
      <c r="A82" s="2477" t="s">
        <v>108</v>
      </c>
      <c r="B82" s="2466" t="s">
        <v>2859</v>
      </c>
      <c r="C82" s="2483"/>
      <c r="D82" s="2478"/>
      <c r="E82" s="2467">
        <v>7.6999999999999999E-2</v>
      </c>
      <c r="F82" s="2478"/>
      <c r="G82" s="2479"/>
    </row>
    <row r="83" spans="1:7">
      <c r="A83" s="2477" t="s">
        <v>108</v>
      </c>
      <c r="B83" s="2466" t="s">
        <v>2865</v>
      </c>
      <c r="C83" s="2478"/>
      <c r="D83" s="2478"/>
      <c r="E83" s="2478"/>
      <c r="F83" s="2467">
        <v>0.1</v>
      </c>
      <c r="G83" s="2484"/>
    </row>
    <row r="84" spans="1:7">
      <c r="A84" s="2477" t="s">
        <v>108</v>
      </c>
      <c r="B84" s="2466" t="s">
        <v>2872</v>
      </c>
      <c r="C84" s="2478"/>
      <c r="D84" s="2478"/>
      <c r="E84" s="2478"/>
      <c r="F84" s="2467">
        <v>0.1</v>
      </c>
      <c r="G84" s="2484"/>
    </row>
    <row r="85" spans="1:7">
      <c r="A85" s="2477" t="s">
        <v>108</v>
      </c>
      <c r="B85" s="2466" t="s">
        <v>2879</v>
      </c>
      <c r="C85" s="2478"/>
      <c r="D85" s="2478"/>
      <c r="E85" s="2478"/>
      <c r="F85" s="2467">
        <v>0.1</v>
      </c>
      <c r="G85" s="2484"/>
    </row>
    <row r="86" spans="1:7" ht="14.25" thickBot="1">
      <c r="A86" s="2480" t="s">
        <v>108</v>
      </c>
      <c r="B86" s="2470" t="s">
        <v>2884</v>
      </c>
      <c r="C86" s="2471">
        <v>9.8000000000000004E-2</v>
      </c>
      <c r="D86" s="2471">
        <v>9.8000000000000004E-2</v>
      </c>
      <c r="E86" s="2471">
        <v>9.6000000000000002E-2</v>
      </c>
      <c r="F86" s="2481"/>
      <c r="G86" s="2473">
        <v>0.1</v>
      </c>
    </row>
    <row r="87" spans="1:7">
      <c r="A87" s="2476" t="s">
        <v>301</v>
      </c>
      <c r="B87" s="2462" t="s">
        <v>2760</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2853</v>
      </c>
      <c r="C113" s="2467">
        <v>0.1</v>
      </c>
      <c r="D113" s="2467">
        <v>0.1</v>
      </c>
      <c r="E113" s="2478"/>
      <c r="F113" s="2478"/>
      <c r="G113" s="2468">
        <v>0.1</v>
      </c>
    </row>
    <row r="114" spans="1:7">
      <c r="A114" s="2477" t="s">
        <v>301</v>
      </c>
      <c r="B114" s="2466" t="s">
        <v>2860</v>
      </c>
      <c r="C114" s="2467">
        <v>9.7000000000000003E-2</v>
      </c>
      <c r="D114" s="2467">
        <v>9.7000000000000003E-2</v>
      </c>
      <c r="E114" s="2478"/>
      <c r="F114" s="2478"/>
      <c r="G114" s="2468">
        <v>9.9000000000000005E-2</v>
      </c>
    </row>
    <row r="115" spans="1:7">
      <c r="A115" s="2477" t="s">
        <v>301</v>
      </c>
      <c r="B115" s="2466" t="s">
        <v>2866</v>
      </c>
      <c r="C115" s="2467">
        <v>0.1</v>
      </c>
      <c r="D115" s="2467">
        <v>0.1</v>
      </c>
      <c r="E115" s="2478"/>
      <c r="F115" s="2478"/>
      <c r="G115" s="2468">
        <v>0.1</v>
      </c>
    </row>
    <row r="116" spans="1:7">
      <c r="A116" s="2477" t="s">
        <v>301</v>
      </c>
      <c r="B116" s="2466" t="s">
        <v>2873</v>
      </c>
      <c r="C116" s="2467">
        <v>0.1</v>
      </c>
      <c r="D116" s="2467">
        <v>0.1</v>
      </c>
      <c r="E116" s="2478"/>
      <c r="F116" s="2478"/>
      <c r="G116" s="2468">
        <v>0.1</v>
      </c>
    </row>
    <row r="117" spans="1:7">
      <c r="A117" s="2477" t="s">
        <v>301</v>
      </c>
      <c r="B117" s="2466" t="s">
        <v>2880</v>
      </c>
      <c r="C117" s="2467">
        <v>9.7000000000000003E-2</v>
      </c>
      <c r="D117" s="2467">
        <v>9.7000000000000003E-2</v>
      </c>
      <c r="E117" s="2478"/>
      <c r="F117" s="2478"/>
      <c r="G117" s="2468">
        <v>9.7000000000000003E-2</v>
      </c>
    </row>
    <row r="118" spans="1:7">
      <c r="A118" s="2477" t="s">
        <v>301</v>
      </c>
      <c r="B118" s="2466" t="s">
        <v>2885</v>
      </c>
      <c r="C118" s="2467">
        <v>0.1</v>
      </c>
      <c r="D118" s="2467">
        <v>0.1</v>
      </c>
      <c r="E118" s="2478"/>
      <c r="F118" s="2478"/>
      <c r="G118" s="2468">
        <v>0.1</v>
      </c>
    </row>
    <row r="119" spans="1:7">
      <c r="A119" s="2477" t="s">
        <v>301</v>
      </c>
      <c r="B119" s="2466" t="s">
        <v>2889</v>
      </c>
      <c r="C119" s="2467">
        <v>5.0999999999999997E-2</v>
      </c>
      <c r="D119" s="2467">
        <v>5.1999999999999998E-2</v>
      </c>
      <c r="E119" s="2478"/>
      <c r="F119" s="2483"/>
      <c r="G119" s="2468">
        <v>0.06</v>
      </c>
    </row>
    <row r="120" spans="1:7">
      <c r="A120" s="2477" t="s">
        <v>301</v>
      </c>
      <c r="B120" s="2466" t="s">
        <v>2893</v>
      </c>
      <c r="C120" s="2478"/>
      <c r="D120" s="2478"/>
      <c r="E120" s="2478"/>
      <c r="F120" s="2467">
        <v>0.1</v>
      </c>
      <c r="G120" s="2484"/>
    </row>
    <row r="121" spans="1:7">
      <c r="A121" s="2477" t="s">
        <v>301</v>
      </c>
      <c r="B121" s="2466" t="s">
        <v>2898</v>
      </c>
      <c r="C121" s="2478"/>
      <c r="D121" s="2478"/>
      <c r="E121" s="2478"/>
      <c r="F121" s="2467">
        <v>0.1</v>
      </c>
      <c r="G121" s="2484"/>
    </row>
    <row r="122" spans="1:7">
      <c r="A122" s="2477" t="s">
        <v>301</v>
      </c>
      <c r="B122" s="2466" t="s">
        <v>2903</v>
      </c>
      <c r="C122" s="2467">
        <v>0.1</v>
      </c>
      <c r="D122" s="2467">
        <v>0.1</v>
      </c>
      <c r="E122" s="2467">
        <v>9.8000000000000004E-2</v>
      </c>
      <c r="F122" s="2467">
        <v>0.1</v>
      </c>
      <c r="G122" s="2468">
        <v>0.1</v>
      </c>
    </row>
    <row r="123" spans="1:7">
      <c r="A123" s="2477" t="s">
        <v>301</v>
      </c>
      <c r="B123" s="2466" t="s">
        <v>2908</v>
      </c>
      <c r="C123" s="2467">
        <v>0.1</v>
      </c>
      <c r="D123" s="2467">
        <v>0.1</v>
      </c>
      <c r="E123" s="2467">
        <v>9.8000000000000004E-2</v>
      </c>
      <c r="F123" s="2467">
        <v>0.1</v>
      </c>
      <c r="G123" s="2468">
        <v>0.1</v>
      </c>
    </row>
    <row r="124" spans="1:7">
      <c r="A124" s="2477" t="s">
        <v>301</v>
      </c>
      <c r="B124" s="2466" t="s">
        <v>2913</v>
      </c>
      <c r="C124" s="2467">
        <v>0.1</v>
      </c>
      <c r="D124" s="2467">
        <v>0.1</v>
      </c>
      <c r="E124" s="2467">
        <v>9.8000000000000004E-2</v>
      </c>
      <c r="F124" s="2483"/>
      <c r="G124" s="2468">
        <v>0.1</v>
      </c>
    </row>
    <row r="125" spans="1:7">
      <c r="A125" s="2477" t="s">
        <v>301</v>
      </c>
      <c r="B125" s="2466" t="s">
        <v>2918</v>
      </c>
      <c r="C125" s="2467">
        <v>9.8000000000000004E-2</v>
      </c>
      <c r="D125" s="2467">
        <v>9.8000000000000004E-2</v>
      </c>
      <c r="E125" s="2467">
        <v>9.6000000000000002E-2</v>
      </c>
      <c r="F125" s="2483"/>
      <c r="G125" s="2468">
        <v>0.1</v>
      </c>
    </row>
    <row r="126" spans="1:7" ht="14.25" thickBot="1">
      <c r="A126" s="2480" t="s">
        <v>301</v>
      </c>
      <c r="B126" s="2470" t="s">
        <v>3084</v>
      </c>
      <c r="C126" s="2471">
        <v>0.1</v>
      </c>
      <c r="D126" s="2471">
        <v>0.1</v>
      </c>
      <c r="E126" s="2471">
        <v>9.8000000000000004E-2</v>
      </c>
      <c r="F126" s="2471">
        <v>0.1</v>
      </c>
      <c r="G126" s="2473">
        <v>0.1</v>
      </c>
    </row>
    <row r="127" spans="1:7">
      <c r="A127" s="2476" t="s">
        <v>27</v>
      </c>
      <c r="B127" s="2462" t="s">
        <v>2761</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2831</v>
      </c>
      <c r="C148" s="2467">
        <v>0.13</v>
      </c>
      <c r="D148" s="2467">
        <v>0.13</v>
      </c>
      <c r="E148" s="2467">
        <v>0.13</v>
      </c>
      <c r="F148" s="2478"/>
      <c r="G148" s="2468">
        <v>0.13</v>
      </c>
    </row>
    <row r="149" spans="1:7">
      <c r="A149" s="2477" t="s">
        <v>27</v>
      </c>
      <c r="B149" s="2466" t="s">
        <v>2835</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2854</v>
      </c>
      <c r="C153" s="2467">
        <v>0.13</v>
      </c>
      <c r="D153" s="2467">
        <v>0.13</v>
      </c>
      <c r="E153" s="2467">
        <v>0.13</v>
      </c>
      <c r="F153" s="2467">
        <v>0.13</v>
      </c>
      <c r="G153" s="2468">
        <v>0.13</v>
      </c>
    </row>
    <row r="154" spans="1:7">
      <c r="A154" s="2477" t="s">
        <v>27</v>
      </c>
      <c r="B154" s="2466" t="s">
        <v>2861</v>
      </c>
      <c r="C154" s="2467">
        <v>0.121</v>
      </c>
      <c r="D154" s="2467">
        <v>0.121</v>
      </c>
      <c r="E154" s="2467">
        <v>0.105</v>
      </c>
      <c r="F154" s="2467">
        <v>0.121</v>
      </c>
      <c r="G154" s="2468">
        <v>0.123</v>
      </c>
    </row>
    <row r="155" spans="1:7">
      <c r="A155" s="2477" t="s">
        <v>27</v>
      </c>
      <c r="B155" s="2466" t="s">
        <v>2867</v>
      </c>
      <c r="C155" s="2467">
        <v>0.1</v>
      </c>
      <c r="D155" s="2467">
        <v>0.1</v>
      </c>
      <c r="E155" s="2467">
        <v>0.1</v>
      </c>
      <c r="F155" s="2467">
        <v>0.1</v>
      </c>
      <c r="G155" s="2468">
        <v>0.1</v>
      </c>
    </row>
    <row r="156" spans="1:7">
      <c r="A156" s="2477" t="s">
        <v>27</v>
      </c>
      <c r="B156" s="2466" t="s">
        <v>2874</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2894</v>
      </c>
      <c r="C160" s="2467">
        <v>0.13</v>
      </c>
      <c r="D160" s="2467">
        <v>0.13</v>
      </c>
      <c r="E160" s="2467">
        <v>0.124</v>
      </c>
      <c r="F160" s="2467">
        <v>0.126</v>
      </c>
      <c r="G160" s="2468">
        <v>0.13</v>
      </c>
    </row>
    <row r="161" spans="1:7">
      <c r="A161" s="2477" t="s">
        <v>27</v>
      </c>
      <c r="B161" s="2466" t="s">
        <v>2899</v>
      </c>
      <c r="C161" s="2467">
        <v>0.13</v>
      </c>
      <c r="D161" s="2467">
        <v>0.13</v>
      </c>
      <c r="E161" s="2467">
        <v>0.124</v>
      </c>
      <c r="F161" s="2467">
        <v>0.127</v>
      </c>
      <c r="G161" s="2468">
        <v>0.13</v>
      </c>
    </row>
    <row r="162" spans="1:7">
      <c r="A162" s="2477" t="s">
        <v>27</v>
      </c>
      <c r="B162" s="2466" t="s">
        <v>2904</v>
      </c>
      <c r="C162" s="2467">
        <v>0.1</v>
      </c>
      <c r="D162" s="2467">
        <v>0.1</v>
      </c>
      <c r="E162" s="2467">
        <v>0.1</v>
      </c>
      <c r="F162" s="2467">
        <v>0.121</v>
      </c>
      <c r="G162" s="2468">
        <v>0.105</v>
      </c>
    </row>
    <row r="163" spans="1:7">
      <c r="A163" s="2477" t="s">
        <v>27</v>
      </c>
      <c r="B163" s="2466" t="s">
        <v>2909</v>
      </c>
      <c r="C163" s="2467">
        <v>0.1</v>
      </c>
      <c r="D163" s="2467">
        <v>0.1</v>
      </c>
      <c r="E163" s="2467">
        <v>0.1</v>
      </c>
      <c r="F163" s="2467">
        <v>0.1</v>
      </c>
      <c r="G163" s="2468">
        <v>0.1</v>
      </c>
    </row>
    <row r="164" spans="1:7">
      <c r="A164" s="2477" t="s">
        <v>27</v>
      </c>
      <c r="B164" s="2466" t="s">
        <v>2914</v>
      </c>
      <c r="C164" s="2483"/>
      <c r="D164" s="2483"/>
      <c r="E164" s="2483"/>
      <c r="F164" s="2467">
        <v>0.1</v>
      </c>
      <c r="G164" s="2479"/>
    </row>
    <row r="165" spans="1:7">
      <c r="A165" s="2477" t="s">
        <v>27</v>
      </c>
      <c r="B165" s="2466" t="s">
        <v>3085</v>
      </c>
      <c r="C165" s="2467">
        <v>0.126</v>
      </c>
      <c r="D165" s="2467">
        <v>0.126</v>
      </c>
      <c r="E165" s="2467">
        <v>0.11899999999999999</v>
      </c>
      <c r="F165" s="2467">
        <v>0.13</v>
      </c>
      <c r="G165" s="2468">
        <v>0.128</v>
      </c>
    </row>
    <row r="166" spans="1:7">
      <c r="A166" s="2477" t="s">
        <v>27</v>
      </c>
      <c r="B166" s="2466" t="s">
        <v>2924</v>
      </c>
      <c r="C166" s="2467">
        <v>0.129</v>
      </c>
      <c r="D166" s="2467">
        <v>0.129</v>
      </c>
      <c r="E166" s="2467">
        <v>0.123</v>
      </c>
      <c r="F166" s="2467">
        <v>0.128</v>
      </c>
      <c r="G166" s="2468">
        <v>0.13</v>
      </c>
    </row>
    <row r="167" spans="1:7">
      <c r="A167" s="2477" t="s">
        <v>27</v>
      </c>
      <c r="B167" s="2466" t="s">
        <v>2928</v>
      </c>
      <c r="C167" s="2467">
        <v>0.125</v>
      </c>
      <c r="D167" s="2467">
        <v>0.125</v>
      </c>
      <c r="E167" s="2467">
        <v>0.11700000000000001</v>
      </c>
      <c r="F167" s="2467">
        <v>0.13</v>
      </c>
      <c r="G167" s="2468">
        <v>0.126</v>
      </c>
    </row>
    <row r="168" spans="1:7">
      <c r="A168" s="2477" t="s">
        <v>27</v>
      </c>
      <c r="B168" s="2466" t="s">
        <v>2933</v>
      </c>
      <c r="C168" s="2467">
        <v>0.128</v>
      </c>
      <c r="D168" s="2467">
        <v>0.128</v>
      </c>
      <c r="E168" s="2467">
        <v>0.123</v>
      </c>
      <c r="F168" s="2478"/>
      <c r="G168" s="2468">
        <v>0.13</v>
      </c>
    </row>
    <row r="169" spans="1:7">
      <c r="A169" s="2477" t="s">
        <v>27</v>
      </c>
      <c r="B169" s="2466" t="s">
        <v>3086</v>
      </c>
      <c r="C169" s="2483"/>
      <c r="D169" s="2483"/>
      <c r="E169" s="2483"/>
      <c r="F169" s="2467">
        <v>0.05</v>
      </c>
      <c r="G169" s="2479"/>
    </row>
    <row r="170" spans="1:7">
      <c r="A170" s="2477" t="s">
        <v>27</v>
      </c>
      <c r="B170" s="2466" t="s">
        <v>3087</v>
      </c>
      <c r="C170" s="2483"/>
      <c r="D170" s="2483"/>
      <c r="E170" s="2483"/>
      <c r="F170" s="2467">
        <v>0.05</v>
      </c>
      <c r="G170" s="2479"/>
    </row>
    <row r="171" spans="1:7">
      <c r="A171" s="2477" t="s">
        <v>27</v>
      </c>
      <c r="B171" s="2466" t="s">
        <v>3088</v>
      </c>
      <c r="C171" s="2483"/>
      <c r="D171" s="2483"/>
      <c r="E171" s="2483"/>
      <c r="F171" s="2467">
        <v>0.05</v>
      </c>
      <c r="G171" s="2484"/>
    </row>
    <row r="172" spans="1:7">
      <c r="A172" s="2477" t="s">
        <v>27</v>
      </c>
      <c r="B172" s="2466" t="s">
        <v>3089</v>
      </c>
      <c r="C172" s="2483"/>
      <c r="D172" s="2483"/>
      <c r="E172" s="2483"/>
      <c r="F172" s="2467">
        <v>0.05</v>
      </c>
      <c r="G172" s="2484"/>
    </row>
    <row r="173" spans="1:7">
      <c r="A173" s="2477" t="s">
        <v>27</v>
      </c>
      <c r="B173" s="2466" t="s">
        <v>3090</v>
      </c>
      <c r="C173" s="2483"/>
      <c r="D173" s="2483"/>
      <c r="E173" s="2483"/>
      <c r="F173" s="2467">
        <v>0.05</v>
      </c>
      <c r="G173" s="2479"/>
    </row>
    <row r="174" spans="1:7">
      <c r="A174" s="2477" t="s">
        <v>27</v>
      </c>
      <c r="B174" s="2466" t="s">
        <v>3091</v>
      </c>
      <c r="C174" s="2483"/>
      <c r="D174" s="2483"/>
      <c r="E174" s="2483"/>
      <c r="F174" s="2467">
        <v>0.05</v>
      </c>
      <c r="G174" s="2479"/>
    </row>
    <row r="175" spans="1:7">
      <c r="A175" s="2477" t="s">
        <v>27</v>
      </c>
      <c r="B175" s="2466" t="s">
        <v>3092</v>
      </c>
      <c r="C175" s="2483"/>
      <c r="D175" s="2483"/>
      <c r="E175" s="2483"/>
      <c r="F175" s="2467">
        <v>0.05</v>
      </c>
      <c r="G175" s="2479"/>
    </row>
    <row r="176" spans="1:7">
      <c r="A176" s="2477" t="s">
        <v>27</v>
      </c>
      <c r="B176" s="2466" t="s">
        <v>3093</v>
      </c>
      <c r="C176" s="2483"/>
      <c r="D176" s="2483"/>
      <c r="E176" s="2483"/>
      <c r="F176" s="2467">
        <v>0.05</v>
      </c>
      <c r="G176" s="2479"/>
    </row>
    <row r="177" spans="1:7">
      <c r="A177" s="2477" t="s">
        <v>27</v>
      </c>
      <c r="B177" s="2466" t="s">
        <v>3094</v>
      </c>
      <c r="C177" s="2478"/>
      <c r="D177" s="2478"/>
      <c r="E177" s="2478"/>
      <c r="F177" s="2467">
        <v>0.05</v>
      </c>
      <c r="G177" s="2484"/>
    </row>
    <row r="178" spans="1:7">
      <c r="A178" s="2477" t="s">
        <v>27</v>
      </c>
      <c r="B178" s="2466" t="s">
        <v>3095</v>
      </c>
      <c r="C178" s="2478"/>
      <c r="D178" s="2478"/>
      <c r="E178" s="2478"/>
      <c r="F178" s="2467">
        <v>0.05</v>
      </c>
      <c r="G178" s="2484"/>
    </row>
    <row r="179" spans="1:7">
      <c r="A179" s="2477" t="s">
        <v>27</v>
      </c>
      <c r="B179" s="2466" t="s">
        <v>3096</v>
      </c>
      <c r="C179" s="2478"/>
      <c r="D179" s="2478"/>
      <c r="E179" s="2478"/>
      <c r="F179" s="2467">
        <v>0.05</v>
      </c>
      <c r="G179" s="2484"/>
    </row>
    <row r="180" spans="1:7">
      <c r="A180" s="2477" t="s">
        <v>27</v>
      </c>
      <c r="B180" s="2466" t="s">
        <v>3097</v>
      </c>
      <c r="C180" s="2478"/>
      <c r="D180" s="2478"/>
      <c r="E180" s="2478"/>
      <c r="F180" s="2467">
        <v>0.05</v>
      </c>
      <c r="G180" s="2484"/>
    </row>
    <row r="181" spans="1:7">
      <c r="A181" s="2477" t="s">
        <v>27</v>
      </c>
      <c r="B181" s="2466" t="s">
        <v>3098</v>
      </c>
      <c r="C181" s="2478"/>
      <c r="D181" s="2478"/>
      <c r="E181" s="2478"/>
      <c r="F181" s="2467">
        <v>0.05</v>
      </c>
      <c r="G181" s="2484"/>
    </row>
    <row r="182" spans="1:7">
      <c r="A182" s="2477" t="s">
        <v>27</v>
      </c>
      <c r="B182" s="2466" t="s">
        <v>3099</v>
      </c>
      <c r="C182" s="2478"/>
      <c r="D182" s="2478"/>
      <c r="E182" s="2478"/>
      <c r="F182" s="2467">
        <v>0.05</v>
      </c>
      <c r="G182" s="2484"/>
    </row>
    <row r="183" spans="1:7">
      <c r="A183" s="2477" t="s">
        <v>27</v>
      </c>
      <c r="B183" s="2466" t="s">
        <v>3100</v>
      </c>
      <c r="C183" s="2478"/>
      <c r="D183" s="2478"/>
      <c r="E183" s="2478"/>
      <c r="F183" s="2467">
        <v>0.05</v>
      </c>
      <c r="G183" s="2484"/>
    </row>
    <row r="184" spans="1:7">
      <c r="A184" s="2477" t="s">
        <v>27</v>
      </c>
      <c r="B184" s="2466" t="s">
        <v>3101</v>
      </c>
      <c r="C184" s="2478"/>
      <c r="D184" s="2478"/>
      <c r="E184" s="2478"/>
      <c r="F184" s="2467">
        <v>0.05</v>
      </c>
      <c r="G184" s="2484"/>
    </row>
    <row r="185" spans="1:7">
      <c r="A185" s="2477" t="s">
        <v>27</v>
      </c>
      <c r="B185" s="2466" t="s">
        <v>3102</v>
      </c>
      <c r="C185" s="2478"/>
      <c r="D185" s="2478"/>
      <c r="E185" s="2478"/>
      <c r="F185" s="2467">
        <v>0.05</v>
      </c>
      <c r="G185" s="2484"/>
    </row>
    <row r="186" spans="1:7">
      <c r="A186" s="2477" t="s">
        <v>27</v>
      </c>
      <c r="B186" s="2466" t="s">
        <v>3103</v>
      </c>
      <c r="C186" s="2478"/>
      <c r="D186" s="2478"/>
      <c r="E186" s="2478"/>
      <c r="F186" s="2467">
        <v>0.05</v>
      </c>
      <c r="G186" s="2484"/>
    </row>
    <row r="187" spans="1:7">
      <c r="A187" s="2477" t="s">
        <v>27</v>
      </c>
      <c r="B187" s="2466" t="s">
        <v>3104</v>
      </c>
      <c r="C187" s="2478"/>
      <c r="D187" s="2478"/>
      <c r="E187" s="2478"/>
      <c r="F187" s="2467">
        <v>0.05</v>
      </c>
      <c r="G187" s="2484"/>
    </row>
    <row r="188" spans="1:7">
      <c r="A188" s="2477" t="s">
        <v>27</v>
      </c>
      <c r="B188" s="2466" t="s">
        <v>3105</v>
      </c>
      <c r="C188" s="2478"/>
      <c r="D188" s="2478"/>
      <c r="E188" s="2478"/>
      <c r="F188" s="2467">
        <v>0.05</v>
      </c>
      <c r="G188" s="2484"/>
    </row>
    <row r="189" spans="1:7" ht="14.25" thickBot="1">
      <c r="A189" s="2480" t="s">
        <v>27</v>
      </c>
      <c r="B189" s="2470" t="s">
        <v>3106</v>
      </c>
      <c r="C189" s="2472"/>
      <c r="D189" s="2472"/>
      <c r="E189" s="2472"/>
      <c r="F189" s="2471">
        <v>0.05</v>
      </c>
      <c r="G189" s="2485"/>
    </row>
    <row r="190" spans="1:7">
      <c r="A190" s="2476" t="s">
        <v>302</v>
      </c>
      <c r="B190" s="2462" t="s">
        <v>2762</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2798</v>
      </c>
      <c r="C199" s="2467">
        <v>0.13</v>
      </c>
      <c r="D199" s="2467">
        <v>0.13</v>
      </c>
      <c r="E199" s="2467">
        <v>0.13</v>
      </c>
      <c r="F199" s="2467">
        <v>0.13</v>
      </c>
      <c r="G199" s="2468">
        <v>0.13</v>
      </c>
    </row>
    <row r="200" spans="1:7">
      <c r="A200" s="2477" t="s">
        <v>302</v>
      </c>
      <c r="B200" s="2466" t="s">
        <v>2801</v>
      </c>
      <c r="C200" s="2483"/>
      <c r="D200" s="2483"/>
      <c r="E200" s="2483"/>
      <c r="F200" s="2467">
        <v>0.13</v>
      </c>
      <c r="G200" s="2479"/>
    </row>
    <row r="201" spans="1:7">
      <c r="A201" s="2477" t="s">
        <v>302</v>
      </c>
      <c r="B201" s="2466" t="s">
        <v>2806</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2809</v>
      </c>
      <c r="C203" s="2467">
        <v>0.129</v>
      </c>
      <c r="D203" s="2467">
        <v>0.129</v>
      </c>
      <c r="E203" s="2467">
        <v>0.13</v>
      </c>
      <c r="F203" s="2467">
        <v>0.13</v>
      </c>
      <c r="G203" s="2468">
        <v>0.13</v>
      </c>
    </row>
    <row r="204" spans="1:7">
      <c r="A204" s="2477" t="s">
        <v>302</v>
      </c>
      <c r="B204" s="2466" t="s">
        <v>2812</v>
      </c>
      <c r="C204" s="2467">
        <v>0.129</v>
      </c>
      <c r="D204" s="2467">
        <v>0.129</v>
      </c>
      <c r="E204" s="2467">
        <v>0.123</v>
      </c>
      <c r="F204" s="2467">
        <v>0.13</v>
      </c>
      <c r="G204" s="2468">
        <v>0.13</v>
      </c>
    </row>
    <row r="205" spans="1:7">
      <c r="A205" s="2477" t="s">
        <v>302</v>
      </c>
      <c r="B205" s="2466" t="s">
        <v>2814</v>
      </c>
      <c r="C205" s="2467">
        <v>0.13</v>
      </c>
      <c r="D205" s="2467">
        <v>0.13</v>
      </c>
      <c r="E205" s="2467">
        <v>0.13</v>
      </c>
      <c r="F205" s="2467">
        <v>0.13</v>
      </c>
      <c r="G205" s="2468">
        <v>0.13</v>
      </c>
    </row>
    <row r="206" spans="1:7">
      <c r="A206" s="2477" t="s">
        <v>302</v>
      </c>
      <c r="B206" s="2466" t="s">
        <v>2817</v>
      </c>
      <c r="C206" s="2467">
        <v>0.13</v>
      </c>
      <c r="D206" s="2467">
        <v>0.13</v>
      </c>
      <c r="E206" s="2467">
        <v>0.13</v>
      </c>
      <c r="F206" s="2467">
        <v>0.128</v>
      </c>
      <c r="G206" s="2468">
        <v>0.13</v>
      </c>
    </row>
    <row r="207" spans="1:7">
      <c r="A207" s="2477" t="s">
        <v>302</v>
      </c>
      <c r="B207" s="2466" t="s">
        <v>2819</v>
      </c>
      <c r="C207" s="2467">
        <v>0.13</v>
      </c>
      <c r="D207" s="2467">
        <v>0.13</v>
      </c>
      <c r="E207" s="2467">
        <v>0.13</v>
      </c>
      <c r="F207" s="2467">
        <v>0.13</v>
      </c>
      <c r="G207" s="2468">
        <v>0.13</v>
      </c>
    </row>
    <row r="208" spans="1:7">
      <c r="A208" s="2477" t="s">
        <v>302</v>
      </c>
      <c r="B208" s="2466" t="s">
        <v>2822</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2829</v>
      </c>
      <c r="C210" s="2467">
        <v>0.121</v>
      </c>
      <c r="D210" s="2467">
        <v>0.121</v>
      </c>
      <c r="E210" s="2467">
        <v>0.125</v>
      </c>
      <c r="F210" s="2467">
        <v>0.13</v>
      </c>
      <c r="G210" s="2468">
        <v>0.123</v>
      </c>
    </row>
    <row r="211" spans="1:7">
      <c r="A211" s="2477" t="s">
        <v>302</v>
      </c>
      <c r="B211" s="2466" t="s">
        <v>2832</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2844</v>
      </c>
      <c r="C214" s="2467">
        <v>0.128</v>
      </c>
      <c r="D214" s="2467">
        <v>0.128</v>
      </c>
      <c r="E214" s="2467">
        <v>0.13</v>
      </c>
      <c r="F214" s="2467">
        <v>0.13</v>
      </c>
      <c r="G214" s="2468">
        <v>0.13</v>
      </c>
    </row>
    <row r="215" spans="1:7">
      <c r="A215" s="2477" t="s">
        <v>302</v>
      </c>
      <c r="B215" s="2466" t="s">
        <v>2848</v>
      </c>
      <c r="C215" s="2467">
        <v>0.13</v>
      </c>
      <c r="D215" s="2467">
        <v>0.13</v>
      </c>
      <c r="E215" s="2467">
        <v>0.13</v>
      </c>
      <c r="F215" s="2467">
        <v>0.129</v>
      </c>
      <c r="G215" s="2468">
        <v>0.13</v>
      </c>
    </row>
    <row r="216" spans="1:7">
      <c r="A216" s="2477" t="s">
        <v>302</v>
      </c>
      <c r="B216" s="2466" t="s">
        <v>2855</v>
      </c>
      <c r="C216" s="2467">
        <v>0.13</v>
      </c>
      <c r="D216" s="2467">
        <v>0.13</v>
      </c>
      <c r="E216" s="2467">
        <v>0.13</v>
      </c>
      <c r="F216" s="2467">
        <v>0.13</v>
      </c>
      <c r="G216" s="2468">
        <v>0.13</v>
      </c>
    </row>
    <row r="217" spans="1:7">
      <c r="A217" s="2477" t="s">
        <v>302</v>
      </c>
      <c r="B217" s="2466" t="s">
        <v>2862</v>
      </c>
      <c r="C217" s="2467">
        <v>0.129</v>
      </c>
      <c r="D217" s="2467">
        <v>0.129</v>
      </c>
      <c r="E217" s="2467">
        <v>0.13</v>
      </c>
      <c r="F217" s="2467">
        <v>0.13</v>
      </c>
      <c r="G217" s="2468">
        <v>0.13</v>
      </c>
    </row>
    <row r="218" spans="1:7">
      <c r="A218" s="2477" t="s">
        <v>302</v>
      </c>
      <c r="B218" s="2466" t="s">
        <v>2868</v>
      </c>
      <c r="C218" s="2478"/>
      <c r="D218" s="2478"/>
      <c r="E218" s="2478"/>
      <c r="F218" s="2467">
        <v>0.05</v>
      </c>
      <c r="G218" s="2484"/>
    </row>
    <row r="219" spans="1:7">
      <c r="A219" s="2477" t="s">
        <v>302</v>
      </c>
      <c r="B219" s="2466" t="s">
        <v>2875</v>
      </c>
      <c r="C219" s="2478"/>
      <c r="D219" s="2478"/>
      <c r="E219" s="2478"/>
      <c r="F219" s="2467">
        <v>0.05</v>
      </c>
      <c r="G219" s="2484"/>
    </row>
    <row r="220" spans="1:7">
      <c r="A220" s="2477" t="s">
        <v>302</v>
      </c>
      <c r="B220" s="2466" t="s">
        <v>2881</v>
      </c>
      <c r="C220" s="2478"/>
      <c r="D220" s="2478"/>
      <c r="E220" s="2478"/>
      <c r="F220" s="2467">
        <v>0.05</v>
      </c>
      <c r="G220" s="2484"/>
    </row>
    <row r="221" spans="1:7">
      <c r="A221" s="2477" t="s">
        <v>302</v>
      </c>
      <c r="B221" s="2466" t="s">
        <v>2886</v>
      </c>
      <c r="C221" s="2478"/>
      <c r="D221" s="2478"/>
      <c r="E221" s="2478"/>
      <c r="F221" s="2467">
        <v>0.05</v>
      </c>
      <c r="G221" s="2484"/>
    </row>
    <row r="222" spans="1:7">
      <c r="A222" s="2477" t="s">
        <v>302</v>
      </c>
      <c r="B222" s="2466" t="s">
        <v>2890</v>
      </c>
      <c r="C222" s="2478"/>
      <c r="D222" s="2478"/>
      <c r="E222" s="2478"/>
      <c r="F222" s="2467">
        <v>0.05</v>
      </c>
      <c r="G222" s="2484"/>
    </row>
    <row r="223" spans="1:7">
      <c r="A223" s="2477" t="s">
        <v>302</v>
      </c>
      <c r="B223" s="2466" t="s">
        <v>2895</v>
      </c>
      <c r="C223" s="2478"/>
      <c r="D223" s="2478"/>
      <c r="E223" s="2478"/>
      <c r="F223" s="2467">
        <v>0.05</v>
      </c>
      <c r="G223" s="2484"/>
    </row>
    <row r="224" spans="1:7">
      <c r="A224" s="2477" t="s">
        <v>302</v>
      </c>
      <c r="B224" s="2466" t="s">
        <v>2900</v>
      </c>
      <c r="C224" s="2478"/>
      <c r="D224" s="2478"/>
      <c r="E224" s="2478"/>
      <c r="F224" s="2467">
        <v>0.05</v>
      </c>
      <c r="G224" s="2484"/>
    </row>
    <row r="225" spans="1:7">
      <c r="A225" s="2477" t="s">
        <v>302</v>
      </c>
      <c r="B225" s="2466" t="s">
        <v>2905</v>
      </c>
      <c r="C225" s="2478"/>
      <c r="D225" s="2478"/>
      <c r="E225" s="2478"/>
      <c r="F225" s="2467">
        <v>0.05</v>
      </c>
      <c r="G225" s="2484"/>
    </row>
    <row r="226" spans="1:7">
      <c r="A226" s="2477" t="s">
        <v>302</v>
      </c>
      <c r="B226" s="2466" t="s">
        <v>3107</v>
      </c>
      <c r="C226" s="2478"/>
      <c r="D226" s="2478"/>
      <c r="E226" s="2478"/>
      <c r="F226" s="2467">
        <v>0.05</v>
      </c>
      <c r="G226" s="2484"/>
    </row>
    <row r="227" spans="1:7">
      <c r="A227" s="2477" t="s">
        <v>302</v>
      </c>
      <c r="B227" s="2466" t="s">
        <v>3108</v>
      </c>
      <c r="C227" s="2478"/>
      <c r="D227" s="2478"/>
      <c r="E227" s="2478"/>
      <c r="F227" s="2467">
        <v>0.05</v>
      </c>
      <c r="G227" s="2484"/>
    </row>
    <row r="228" spans="1:7">
      <c r="A228" s="2477" t="s">
        <v>302</v>
      </c>
      <c r="B228" s="2466" t="s">
        <v>3109</v>
      </c>
      <c r="C228" s="2478"/>
      <c r="D228" s="2478"/>
      <c r="E228" s="2478"/>
      <c r="F228" s="2467">
        <v>0.05</v>
      </c>
      <c r="G228" s="2484"/>
    </row>
    <row r="229" spans="1:7">
      <c r="A229" s="2477" t="s">
        <v>302</v>
      </c>
      <c r="B229" s="2466" t="s">
        <v>3110</v>
      </c>
      <c r="C229" s="2478"/>
      <c r="D229" s="2478"/>
      <c r="E229" s="2478"/>
      <c r="F229" s="2467">
        <v>0.05</v>
      </c>
      <c r="G229" s="2484"/>
    </row>
    <row r="230" spans="1:7">
      <c r="A230" s="2477" t="s">
        <v>302</v>
      </c>
      <c r="B230" s="2466" t="s">
        <v>3111</v>
      </c>
      <c r="C230" s="2478"/>
      <c r="D230" s="2478"/>
      <c r="E230" s="2478"/>
      <c r="F230" s="2467">
        <v>0.05</v>
      </c>
      <c r="G230" s="2484"/>
    </row>
    <row r="231" spans="1:7">
      <c r="A231" s="2477" t="s">
        <v>302</v>
      </c>
      <c r="B231" s="2466" t="s">
        <v>3112</v>
      </c>
      <c r="C231" s="2478"/>
      <c r="D231" s="2478"/>
      <c r="E231" s="2478"/>
      <c r="F231" s="2467">
        <v>0.05</v>
      </c>
      <c r="G231" s="2484"/>
    </row>
    <row r="232" spans="1:7">
      <c r="A232" s="2477" t="s">
        <v>302</v>
      </c>
      <c r="B232" s="2466" t="s">
        <v>3113</v>
      </c>
      <c r="C232" s="2478"/>
      <c r="D232" s="2478"/>
      <c r="E232" s="2478"/>
      <c r="F232" s="2467">
        <v>0.05</v>
      </c>
      <c r="G232" s="2484"/>
    </row>
    <row r="233" spans="1:7" ht="14.25" thickBot="1">
      <c r="A233" s="2480" t="s">
        <v>302</v>
      </c>
      <c r="B233" s="2470" t="s">
        <v>3114</v>
      </c>
      <c r="C233" s="2472"/>
      <c r="D233" s="2472"/>
      <c r="E233" s="2472"/>
      <c r="F233" s="2471">
        <v>0.05</v>
      </c>
      <c r="G233" s="2485"/>
    </row>
    <row r="234" spans="1:7">
      <c r="A234" s="2476" t="s">
        <v>303</v>
      </c>
      <c r="B234" s="2462" t="s">
        <v>2763</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2783</v>
      </c>
      <c r="C238" s="2467">
        <v>0.14899999999999999</v>
      </c>
      <c r="D238" s="2467">
        <v>0.14899999999999999</v>
      </c>
      <c r="E238" s="2467">
        <v>0.15</v>
      </c>
      <c r="F238" s="2467">
        <v>0.15</v>
      </c>
      <c r="G238" s="2468">
        <v>0.15</v>
      </c>
    </row>
    <row r="239" spans="1:7">
      <c r="A239" s="2477" t="s">
        <v>303</v>
      </c>
      <c r="B239" s="2466" t="s">
        <v>2787</v>
      </c>
      <c r="C239" s="2467">
        <v>0.15</v>
      </c>
      <c r="D239" s="2467">
        <v>0.15</v>
      </c>
      <c r="E239" s="2467">
        <v>0.15</v>
      </c>
      <c r="F239" s="2467">
        <v>0.15</v>
      </c>
      <c r="G239" s="2468">
        <v>0.15</v>
      </c>
    </row>
    <row r="240" spans="1:7">
      <c r="A240" s="2477" t="s">
        <v>303</v>
      </c>
      <c r="B240" s="2466" t="s">
        <v>2792</v>
      </c>
      <c r="C240" s="2467">
        <v>0.15</v>
      </c>
      <c r="D240" s="2467">
        <v>0.15</v>
      </c>
      <c r="E240" s="2467">
        <v>0.15</v>
      </c>
      <c r="F240" s="2467">
        <v>0.15</v>
      </c>
      <c r="G240" s="2468">
        <v>0.15</v>
      </c>
    </row>
    <row r="241" spans="1:7">
      <c r="A241" s="2477" t="s">
        <v>303</v>
      </c>
      <c r="B241" s="2466" t="s">
        <v>2796</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2802</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2810</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2815</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2823</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2836</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2845</v>
      </c>
      <c r="C258" s="2467">
        <v>0.14299999999999999</v>
      </c>
      <c r="D258" s="2467">
        <v>0.14299999999999999</v>
      </c>
      <c r="E258" s="2467">
        <v>0.15</v>
      </c>
      <c r="F258" s="2467">
        <v>0.14799999999999999</v>
      </c>
      <c r="G258" s="2468">
        <v>0.14599999999999999</v>
      </c>
    </row>
    <row r="259" spans="1:7">
      <c r="A259" s="2477" t="s">
        <v>303</v>
      </c>
      <c r="B259" s="2466" t="s">
        <v>2849</v>
      </c>
      <c r="C259" s="2467">
        <v>0.14399999999999999</v>
      </c>
      <c r="D259" s="2467">
        <v>0.14399999999999999</v>
      </c>
      <c r="E259" s="2467">
        <v>0.14899999999999999</v>
      </c>
      <c r="F259" s="2467">
        <v>0.14699999999999999</v>
      </c>
      <c r="G259" s="2468">
        <v>0.14599999999999999</v>
      </c>
    </row>
    <row r="260" spans="1:7">
      <c r="A260" s="2477" t="s">
        <v>303</v>
      </c>
      <c r="B260" s="2466" t="s">
        <v>2856</v>
      </c>
      <c r="C260" s="2467">
        <v>0.109</v>
      </c>
      <c r="D260" s="2467">
        <v>0.111</v>
      </c>
      <c r="E260" s="2467">
        <v>0.13100000000000001</v>
      </c>
      <c r="F260" s="2467">
        <v>0.126</v>
      </c>
      <c r="G260" s="2468">
        <v>0.11899999999999999</v>
      </c>
    </row>
    <row r="261" spans="1:7">
      <c r="A261" s="2477" t="s">
        <v>303</v>
      </c>
      <c r="B261" s="2466" t="s">
        <v>2863</v>
      </c>
      <c r="C261" s="2467">
        <v>0.1</v>
      </c>
      <c r="D261" s="2467">
        <v>0.1</v>
      </c>
      <c r="E261" s="2467">
        <v>0.11799999999999999</v>
      </c>
      <c r="F261" s="2467">
        <v>0.108</v>
      </c>
      <c r="G261" s="2468">
        <v>0.107</v>
      </c>
    </row>
    <row r="262" spans="1:7">
      <c r="A262" s="2477" t="s">
        <v>303</v>
      </c>
      <c r="B262" s="2466" t="s">
        <v>2869</v>
      </c>
      <c r="C262" s="2467">
        <v>0.1</v>
      </c>
      <c r="D262" s="2467">
        <v>0.1</v>
      </c>
      <c r="E262" s="2467">
        <v>0.1</v>
      </c>
      <c r="F262" s="2467">
        <v>0.14099999999999999</v>
      </c>
      <c r="G262" s="2468">
        <v>0.1</v>
      </c>
    </row>
    <row r="263" spans="1:7">
      <c r="A263" s="2477" t="s">
        <v>303</v>
      </c>
      <c r="B263" s="2466" t="s">
        <v>2876</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2887</v>
      </c>
      <c r="C265" s="2478"/>
      <c r="D265" s="2478"/>
      <c r="E265" s="2478"/>
      <c r="F265" s="2467">
        <v>0.05</v>
      </c>
      <c r="G265" s="2484"/>
    </row>
    <row r="266" spans="1:7">
      <c r="A266" s="2477" t="s">
        <v>303</v>
      </c>
      <c r="B266" s="2466" t="s">
        <v>2891</v>
      </c>
      <c r="C266" s="2478"/>
      <c r="D266" s="2478"/>
      <c r="E266" s="2478"/>
      <c r="F266" s="2467">
        <v>0.05</v>
      </c>
      <c r="G266" s="2484"/>
    </row>
    <row r="267" spans="1:7">
      <c r="A267" s="2477" t="s">
        <v>303</v>
      </c>
      <c r="B267" s="2466" t="s">
        <v>2896</v>
      </c>
      <c r="C267" s="2478"/>
      <c r="D267" s="2478"/>
      <c r="E267" s="2478"/>
      <c r="F267" s="2467">
        <v>0.05</v>
      </c>
      <c r="G267" s="2484"/>
    </row>
    <row r="268" spans="1:7">
      <c r="A268" s="2477" t="s">
        <v>303</v>
      </c>
      <c r="B268" s="2466" t="s">
        <v>2901</v>
      </c>
      <c r="C268" s="2478"/>
      <c r="D268" s="2478"/>
      <c r="E268" s="2478"/>
      <c r="F268" s="2467">
        <v>0.05</v>
      </c>
      <c r="G268" s="2484"/>
    </row>
    <row r="269" spans="1:7">
      <c r="A269" s="2477" t="s">
        <v>303</v>
      </c>
      <c r="B269" s="2466" t="s">
        <v>2906</v>
      </c>
      <c r="C269" s="2478"/>
      <c r="D269" s="2478"/>
      <c r="E269" s="2478"/>
      <c r="F269" s="2467">
        <v>0.05</v>
      </c>
      <c r="G269" s="2484"/>
    </row>
    <row r="270" spans="1:7">
      <c r="A270" s="2477" t="s">
        <v>303</v>
      </c>
      <c r="B270" s="2466" t="s">
        <v>2911</v>
      </c>
      <c r="C270" s="2478"/>
      <c r="D270" s="2478"/>
      <c r="E270" s="2478"/>
      <c r="F270" s="2467">
        <v>0.05</v>
      </c>
      <c r="G270" s="2484"/>
    </row>
    <row r="271" spans="1:7">
      <c r="A271" s="2477" t="s">
        <v>303</v>
      </c>
      <c r="B271" s="2466" t="s">
        <v>3115</v>
      </c>
      <c r="C271" s="2478"/>
      <c r="D271" s="2478"/>
      <c r="E271" s="2478"/>
      <c r="F271" s="2467">
        <v>0.05</v>
      </c>
      <c r="G271" s="2484"/>
    </row>
    <row r="272" spans="1:7">
      <c r="A272" s="2477" t="s">
        <v>303</v>
      </c>
      <c r="B272" s="2466" t="s">
        <v>3116</v>
      </c>
      <c r="C272" s="2478"/>
      <c r="D272" s="2478"/>
      <c r="E272" s="2478"/>
      <c r="F272" s="2467">
        <v>0.05</v>
      </c>
      <c r="G272" s="2484"/>
    </row>
    <row r="273" spans="1:7">
      <c r="A273" s="2477" t="s">
        <v>303</v>
      </c>
      <c r="B273" s="2466" t="s">
        <v>3117</v>
      </c>
      <c r="C273" s="2478"/>
      <c r="D273" s="2478"/>
      <c r="E273" s="2478"/>
      <c r="F273" s="2467">
        <v>0.05</v>
      </c>
      <c r="G273" s="2484"/>
    </row>
    <row r="274" spans="1:7">
      <c r="A274" s="2477" t="s">
        <v>303</v>
      </c>
      <c r="B274" s="2466" t="s">
        <v>3118</v>
      </c>
      <c r="C274" s="2478"/>
      <c r="D274" s="2478"/>
      <c r="E274" s="2478"/>
      <c r="F274" s="2467">
        <v>0.05</v>
      </c>
      <c r="G274" s="2484"/>
    </row>
    <row r="275" spans="1:7">
      <c r="A275" s="2477" t="s">
        <v>303</v>
      </c>
      <c r="B275" s="2466" t="s">
        <v>3119</v>
      </c>
      <c r="C275" s="2478"/>
      <c r="D275" s="2478"/>
      <c r="E275" s="2478"/>
      <c r="F275" s="2467">
        <v>0.05</v>
      </c>
      <c r="G275" s="2484"/>
    </row>
    <row r="276" spans="1:7" ht="14.25" thickBot="1">
      <c r="A276" s="2480" t="s">
        <v>303</v>
      </c>
      <c r="B276" s="2470" t="s">
        <v>3120</v>
      </c>
      <c r="C276" s="2472"/>
      <c r="D276" s="2472"/>
      <c r="E276" s="2472"/>
      <c r="F276" s="2471">
        <v>0.05</v>
      </c>
      <c r="G276" s="2485"/>
    </row>
    <row r="277" spans="1:7">
      <c r="A277" s="2476" t="s">
        <v>304</v>
      </c>
      <c r="B277" s="2462" t="s">
        <v>2764</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2776</v>
      </c>
      <c r="C279" s="2467">
        <v>0.15</v>
      </c>
      <c r="D279" s="2467">
        <v>0.15</v>
      </c>
      <c r="E279" s="2467">
        <v>0.15</v>
      </c>
      <c r="F279" s="2467">
        <v>0.15</v>
      </c>
      <c r="G279" s="2468">
        <v>0.15</v>
      </c>
    </row>
    <row r="280" spans="1:7">
      <c r="A280" s="2477" t="s">
        <v>304</v>
      </c>
      <c r="B280" s="2466" t="s">
        <v>2780</v>
      </c>
      <c r="C280" s="2467">
        <v>0.15</v>
      </c>
      <c r="D280" s="2467">
        <v>0.15</v>
      </c>
      <c r="E280" s="2467">
        <v>0.15</v>
      </c>
      <c r="F280" s="2467">
        <v>0.15</v>
      </c>
      <c r="G280" s="2468">
        <v>0.15</v>
      </c>
    </row>
    <row r="281" spans="1:7">
      <c r="A281" s="2477" t="s">
        <v>304</v>
      </c>
      <c r="B281" s="2466" t="s">
        <v>2784</v>
      </c>
      <c r="C281" s="2467">
        <v>0.15</v>
      </c>
      <c r="D281" s="2467">
        <v>0.15</v>
      </c>
      <c r="E281" s="2467">
        <v>0.15</v>
      </c>
      <c r="F281" s="2467">
        <v>0.15</v>
      </c>
      <c r="G281" s="2468">
        <v>0.15</v>
      </c>
    </row>
    <row r="282" spans="1:7">
      <c r="A282" s="2477" t="s">
        <v>304</v>
      </c>
      <c r="B282" s="2466" t="s">
        <v>2788</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2803</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2808</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2818</v>
      </c>
      <c r="C293" s="2467">
        <v>0.15</v>
      </c>
      <c r="D293" s="2467">
        <v>0.15</v>
      </c>
      <c r="E293" s="2467">
        <v>0.15</v>
      </c>
      <c r="F293" s="2467">
        <v>0.14499999999999999</v>
      </c>
      <c r="G293" s="2468">
        <v>0.15</v>
      </c>
    </row>
    <row r="294" spans="1:7">
      <c r="A294" s="2477" t="s">
        <v>304</v>
      </c>
      <c r="B294" s="2466" t="s">
        <v>2820</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2837</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2850</v>
      </c>
      <c r="C302" s="2467">
        <v>0.15</v>
      </c>
      <c r="D302" s="2467">
        <v>0.15</v>
      </c>
      <c r="E302" s="2467">
        <v>0.15</v>
      </c>
      <c r="F302" s="2467">
        <v>0.14699999999999999</v>
      </c>
      <c r="G302" s="2468">
        <v>0.15</v>
      </c>
    </row>
    <row r="303" spans="1:7">
      <c r="A303" s="2477" t="s">
        <v>304</v>
      </c>
      <c r="B303" s="2466" t="s">
        <v>2857</v>
      </c>
      <c r="C303" s="2467">
        <v>0.15</v>
      </c>
      <c r="D303" s="2467">
        <v>0.15</v>
      </c>
      <c r="E303" s="2467">
        <v>0.15</v>
      </c>
      <c r="F303" s="2467">
        <v>0.14199999999999999</v>
      </c>
      <c r="G303" s="2468">
        <v>0.15</v>
      </c>
    </row>
    <row r="304" spans="1:7">
      <c r="A304" s="2477" t="s">
        <v>304</v>
      </c>
      <c r="B304" s="2466" t="s">
        <v>2864</v>
      </c>
      <c r="C304" s="2467">
        <v>0.15</v>
      </c>
      <c r="D304" s="2467">
        <v>0.15</v>
      </c>
      <c r="E304" s="2467">
        <v>0.15</v>
      </c>
      <c r="F304" s="2467">
        <v>0.14499999999999999</v>
      </c>
      <c r="G304" s="2468">
        <v>0.15</v>
      </c>
    </row>
    <row r="305" spans="1:7">
      <c r="A305" s="2477" t="s">
        <v>304</v>
      </c>
      <c r="B305" s="2466" t="s">
        <v>2870</v>
      </c>
      <c r="C305" s="2467">
        <v>0.15</v>
      </c>
      <c r="D305" s="2467">
        <v>0.15</v>
      </c>
      <c r="E305" s="2467">
        <v>0.15</v>
      </c>
      <c r="F305" s="2467">
        <v>0.111</v>
      </c>
      <c r="G305" s="2468">
        <v>0.15</v>
      </c>
    </row>
    <row r="306" spans="1:7">
      <c r="A306" s="2477" t="s">
        <v>304</v>
      </c>
      <c r="B306" s="2466" t="s">
        <v>2877</v>
      </c>
      <c r="C306" s="2467">
        <v>0.15</v>
      </c>
      <c r="D306" s="2467">
        <v>0.15</v>
      </c>
      <c r="E306" s="2467">
        <v>0.15</v>
      </c>
      <c r="F306" s="2467">
        <v>0.126</v>
      </c>
      <c r="G306" s="2468">
        <v>0.15</v>
      </c>
    </row>
    <row r="307" spans="1:7">
      <c r="A307" s="2477" t="s">
        <v>304</v>
      </c>
      <c r="B307" s="2466" t="s">
        <v>2882</v>
      </c>
      <c r="C307" s="2467">
        <v>0.15</v>
      </c>
      <c r="D307" s="2467">
        <v>0.15</v>
      </c>
      <c r="E307" s="2467">
        <v>0.15</v>
      </c>
      <c r="F307" s="2467">
        <v>0.12</v>
      </c>
      <c r="G307" s="2468">
        <v>0.15</v>
      </c>
    </row>
    <row r="308" spans="1:7">
      <c r="A308" s="2477" t="s">
        <v>304</v>
      </c>
      <c r="B308" s="2466" t="s">
        <v>2888</v>
      </c>
      <c r="C308" s="2467">
        <v>0.15</v>
      </c>
      <c r="D308" s="2467">
        <v>0.15</v>
      </c>
      <c r="E308" s="2467">
        <v>0.15</v>
      </c>
      <c r="F308" s="2467">
        <v>0.13</v>
      </c>
      <c r="G308" s="2468">
        <v>0.15</v>
      </c>
    </row>
    <row r="309" spans="1:7">
      <c r="A309" s="2477" t="s">
        <v>304</v>
      </c>
      <c r="B309" s="2466" t="s">
        <v>2892</v>
      </c>
      <c r="C309" s="2467">
        <v>0.15</v>
      </c>
      <c r="D309" s="2467">
        <v>0.15</v>
      </c>
      <c r="E309" s="2467">
        <v>0.15</v>
      </c>
      <c r="F309" s="2467">
        <v>0.14099999999999999</v>
      </c>
      <c r="G309" s="2468">
        <v>0.15</v>
      </c>
    </row>
    <row r="310" spans="1:7">
      <c r="A310" s="2477" t="s">
        <v>304</v>
      </c>
      <c r="B310" s="2466" t="s">
        <v>2897</v>
      </c>
      <c r="C310" s="2467">
        <v>0.15</v>
      </c>
      <c r="D310" s="2467">
        <v>0.15</v>
      </c>
      <c r="E310" s="2467">
        <v>0.15</v>
      </c>
      <c r="F310" s="2467">
        <v>0.15</v>
      </c>
      <c r="G310" s="2468">
        <v>0.15</v>
      </c>
    </row>
    <row r="311" spans="1:7">
      <c r="A311" s="2477" t="s">
        <v>304</v>
      </c>
      <c r="B311" s="2466" t="s">
        <v>2902</v>
      </c>
      <c r="C311" s="2467">
        <v>0.13200000000000001</v>
      </c>
      <c r="D311" s="2467">
        <v>0.13300000000000001</v>
      </c>
      <c r="E311" s="2467">
        <v>0.14499999999999999</v>
      </c>
      <c r="F311" s="2467">
        <v>0.14199999999999999</v>
      </c>
      <c r="G311" s="2468">
        <v>0.14000000000000001</v>
      </c>
    </row>
    <row r="312" spans="1:7">
      <c r="A312" s="2477" t="s">
        <v>304</v>
      </c>
      <c r="B312" s="2466" t="s">
        <v>2907</v>
      </c>
      <c r="C312" s="2467">
        <v>0.13800000000000001</v>
      </c>
      <c r="D312" s="2467">
        <v>0.14000000000000001</v>
      </c>
      <c r="E312" s="2467">
        <v>0.14599999999999999</v>
      </c>
      <c r="F312" s="2467">
        <v>0.14899999999999999</v>
      </c>
      <c r="G312" s="2468">
        <v>0.14199999999999999</v>
      </c>
    </row>
    <row r="313" spans="1:7">
      <c r="A313" s="2477" t="s">
        <v>304</v>
      </c>
      <c r="B313" s="2466" t="s">
        <v>2912</v>
      </c>
      <c r="C313" s="2467">
        <v>0.125</v>
      </c>
      <c r="D313" s="2467">
        <v>0.127</v>
      </c>
      <c r="E313" s="2467">
        <v>0.14399999999999999</v>
      </c>
      <c r="F313" s="2467">
        <v>0.115</v>
      </c>
      <c r="G313" s="2468">
        <v>0.13600000000000001</v>
      </c>
    </row>
    <row r="314" spans="1:7">
      <c r="A314" s="2477" t="s">
        <v>304</v>
      </c>
      <c r="B314" s="2466" t="s">
        <v>3121</v>
      </c>
      <c r="C314" s="2483"/>
      <c r="D314" s="2483"/>
      <c r="E314" s="2483"/>
      <c r="F314" s="2467">
        <v>0.05</v>
      </c>
      <c r="G314" s="2484"/>
    </row>
    <row r="315" spans="1:7">
      <c r="A315" s="2477" t="s">
        <v>304</v>
      </c>
      <c r="B315" s="2466" t="s">
        <v>3122</v>
      </c>
      <c r="C315" s="2483"/>
      <c r="D315" s="2483"/>
      <c r="E315" s="2483"/>
      <c r="F315" s="2467">
        <v>0.05</v>
      </c>
      <c r="G315" s="2484"/>
    </row>
    <row r="316" spans="1:7">
      <c r="A316" s="2477" t="s">
        <v>304</v>
      </c>
      <c r="B316" s="2466" t="s">
        <v>3123</v>
      </c>
      <c r="C316" s="2478"/>
      <c r="D316" s="2478"/>
      <c r="E316" s="2478"/>
      <c r="F316" s="2467">
        <v>0.05</v>
      </c>
      <c r="G316" s="2484"/>
    </row>
    <row r="317" spans="1:7">
      <c r="A317" s="2477" t="s">
        <v>304</v>
      </c>
      <c r="B317" s="2466" t="s">
        <v>3124</v>
      </c>
      <c r="C317" s="2478"/>
      <c r="D317" s="2478"/>
      <c r="E317" s="2478"/>
      <c r="F317" s="2467">
        <v>0.05</v>
      </c>
      <c r="G317" s="2484"/>
    </row>
    <row r="318" spans="1:7">
      <c r="A318" s="2477" t="s">
        <v>304</v>
      </c>
      <c r="B318" s="2466" t="s">
        <v>3125</v>
      </c>
      <c r="C318" s="2478"/>
      <c r="D318" s="2478"/>
      <c r="E318" s="2478"/>
      <c r="F318" s="2467">
        <v>0.05</v>
      </c>
      <c r="G318" s="2484"/>
    </row>
    <row r="319" spans="1:7">
      <c r="A319" s="2477" t="s">
        <v>304</v>
      </c>
      <c r="B319" s="2466" t="s">
        <v>3126</v>
      </c>
      <c r="C319" s="2478"/>
      <c r="D319" s="2478"/>
      <c r="E319" s="2478"/>
      <c r="F319" s="2467">
        <v>0.05</v>
      </c>
      <c r="G319" s="2484"/>
    </row>
    <row r="320" spans="1:7">
      <c r="A320" s="2477" t="s">
        <v>304</v>
      </c>
      <c r="B320" s="2466" t="s">
        <v>3127</v>
      </c>
      <c r="C320" s="2478"/>
      <c r="D320" s="2478"/>
      <c r="E320" s="2478"/>
      <c r="F320" s="2467">
        <v>0.05</v>
      </c>
      <c r="G320" s="2484"/>
    </row>
    <row r="321" spans="1:7">
      <c r="A321" s="2477" t="s">
        <v>304</v>
      </c>
      <c r="B321" s="2466" t="s">
        <v>3128</v>
      </c>
      <c r="C321" s="2478"/>
      <c r="D321" s="2478"/>
      <c r="E321" s="2478"/>
      <c r="F321" s="2467">
        <v>0.05</v>
      </c>
      <c r="G321" s="2484"/>
    </row>
    <row r="322" spans="1:7">
      <c r="A322" s="2477" t="s">
        <v>304</v>
      </c>
      <c r="B322" s="2466" t="s">
        <v>3129</v>
      </c>
      <c r="C322" s="2478"/>
      <c r="D322" s="2478"/>
      <c r="E322" s="2478"/>
      <c r="F322" s="2467">
        <v>0.05</v>
      </c>
      <c r="G322" s="2484"/>
    </row>
    <row r="323" spans="1:7">
      <c r="A323" s="2477" t="s">
        <v>304</v>
      </c>
      <c r="B323" s="2466" t="s">
        <v>3130</v>
      </c>
      <c r="C323" s="2478"/>
      <c r="D323" s="2478"/>
      <c r="E323" s="2478"/>
      <c r="F323" s="2467">
        <v>0.05</v>
      </c>
      <c r="G323" s="2484"/>
    </row>
    <row r="324" spans="1:7">
      <c r="A324" s="2477" t="s">
        <v>304</v>
      </c>
      <c r="B324" s="2466" t="s">
        <v>3131</v>
      </c>
      <c r="C324" s="2478"/>
      <c r="D324" s="2478"/>
      <c r="E324" s="2478"/>
      <c r="F324" s="2467">
        <v>0.05</v>
      </c>
      <c r="G324" s="2484"/>
    </row>
    <row r="325" spans="1:7">
      <c r="A325" s="2477" t="s">
        <v>304</v>
      </c>
      <c r="B325" s="2466" t="s">
        <v>3132</v>
      </c>
      <c r="C325" s="2478"/>
      <c r="D325" s="2478"/>
      <c r="E325" s="2478"/>
      <c r="F325" s="2467">
        <v>0.05</v>
      </c>
      <c r="G325" s="2484"/>
    </row>
    <row r="326" spans="1:7" ht="14.25" thickBot="1">
      <c r="A326" s="2480" t="s">
        <v>304</v>
      </c>
      <c r="B326" s="2470" t="s">
        <v>3133</v>
      </c>
      <c r="C326" s="2472"/>
      <c r="D326" s="2472"/>
      <c r="E326" s="2472"/>
      <c r="F326" s="2471">
        <v>0.05</v>
      </c>
      <c r="G326" s="2485"/>
    </row>
    <row r="327" spans="1:7">
      <c r="A327" s="2476" t="s">
        <v>305</v>
      </c>
      <c r="B327" s="2462" t="s">
        <v>2765</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2777</v>
      </c>
      <c r="C329" s="2467">
        <v>0.15</v>
      </c>
      <c r="D329" s="2467">
        <v>0.15</v>
      </c>
      <c r="E329" s="2467">
        <v>0.15</v>
      </c>
      <c r="F329" s="2467">
        <v>0.15</v>
      </c>
      <c r="G329" s="2468">
        <v>0.15</v>
      </c>
    </row>
    <row r="330" spans="1:7">
      <c r="A330" s="2477" t="s">
        <v>305</v>
      </c>
      <c r="B330" s="2466" t="s">
        <v>2781</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2789</v>
      </c>
      <c r="C332" s="2467">
        <v>0.15</v>
      </c>
      <c r="D332" s="2467">
        <v>0.15</v>
      </c>
      <c r="E332" s="2467">
        <v>0.15</v>
      </c>
      <c r="F332" s="2467">
        <v>0.15</v>
      </c>
      <c r="G332" s="2468">
        <v>0.15</v>
      </c>
    </row>
    <row r="333" spans="1:7">
      <c r="A333" s="2477" t="s">
        <v>305</v>
      </c>
      <c r="B333" s="2466" t="s">
        <v>2793</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2799</v>
      </c>
      <c r="C336" s="2467">
        <v>0.15</v>
      </c>
      <c r="D336" s="2467">
        <v>0.15</v>
      </c>
      <c r="E336" s="2467">
        <v>0.15</v>
      </c>
      <c r="F336" s="2467">
        <v>0.14199999999999999</v>
      </c>
      <c r="G336" s="2468">
        <v>0.15</v>
      </c>
    </row>
    <row r="337" spans="1:7">
      <c r="A337" s="2477" t="s">
        <v>305</v>
      </c>
      <c r="B337" s="2466" t="s">
        <v>2804</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2811</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2816</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2824</v>
      </c>
      <c r="C345" s="2467">
        <v>0.15</v>
      </c>
      <c r="D345" s="2467">
        <v>0.15</v>
      </c>
      <c r="E345" s="2467">
        <v>0.15</v>
      </c>
      <c r="F345" s="2467">
        <v>0.13800000000000001</v>
      </c>
      <c r="G345" s="2468">
        <v>0.15</v>
      </c>
    </row>
    <row r="346" spans="1:7">
      <c r="A346" s="2477" t="s">
        <v>305</v>
      </c>
      <c r="B346" s="2466" t="s">
        <v>2826</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2833</v>
      </c>
      <c r="C348" s="2467">
        <v>0.15</v>
      </c>
      <c r="D348" s="2467">
        <v>0.15</v>
      </c>
      <c r="E348" s="2467">
        <v>0.15</v>
      </c>
      <c r="F348" s="2467">
        <v>0.14399999999999999</v>
      </c>
      <c r="G348" s="2468">
        <v>0.15</v>
      </c>
    </row>
    <row r="349" spans="1:7">
      <c r="A349" s="2477" t="s">
        <v>305</v>
      </c>
      <c r="B349" s="2466" t="s">
        <v>2838</v>
      </c>
      <c r="C349" s="2467">
        <v>0.15</v>
      </c>
      <c r="D349" s="2467">
        <v>0.15</v>
      </c>
      <c r="E349" s="2467">
        <v>0.15</v>
      </c>
      <c r="F349" s="2467">
        <v>0.15</v>
      </c>
      <c r="G349" s="2468">
        <v>0.15</v>
      </c>
    </row>
    <row r="350" spans="1:7">
      <c r="A350" s="2477" t="s">
        <v>305</v>
      </c>
      <c r="B350" s="2466" t="s">
        <v>2841</v>
      </c>
      <c r="C350" s="2467">
        <v>0.15</v>
      </c>
      <c r="D350" s="2467">
        <v>0.15</v>
      </c>
      <c r="E350" s="2467">
        <v>0.15</v>
      </c>
      <c r="F350" s="2467">
        <v>0.14699999999999999</v>
      </c>
      <c r="G350" s="2468">
        <v>0.15</v>
      </c>
    </row>
    <row r="351" spans="1:7">
      <c r="A351" s="2477" t="s">
        <v>305</v>
      </c>
      <c r="B351" s="2466" t="s">
        <v>2846</v>
      </c>
      <c r="C351" s="2467">
        <v>0.15</v>
      </c>
      <c r="D351" s="2467">
        <v>0.15</v>
      </c>
      <c r="E351" s="2467">
        <v>0.15</v>
      </c>
      <c r="F351" s="2467">
        <v>0.13</v>
      </c>
      <c r="G351" s="2468">
        <v>0.15</v>
      </c>
    </row>
    <row r="352" spans="1:7">
      <c r="A352" s="2477" t="s">
        <v>305</v>
      </c>
      <c r="B352" s="2466" t="s">
        <v>2851</v>
      </c>
      <c r="C352" s="2467">
        <v>0.15</v>
      </c>
      <c r="D352" s="2467">
        <v>0.15</v>
      </c>
      <c r="E352" s="2467">
        <v>0.15</v>
      </c>
      <c r="F352" s="2467">
        <v>0.14599999999999999</v>
      </c>
      <c r="G352" s="2468">
        <v>0.15</v>
      </c>
    </row>
    <row r="353" spans="1:7">
      <c r="A353" s="2477" t="s">
        <v>305</v>
      </c>
      <c r="B353" s="2466" t="s">
        <v>2858</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2871</v>
      </c>
      <c r="C355" s="2467">
        <v>0.15</v>
      </c>
      <c r="D355" s="2467">
        <v>0.15</v>
      </c>
      <c r="E355" s="2467">
        <v>0.15</v>
      </c>
      <c r="F355" s="2467">
        <v>0.15</v>
      </c>
      <c r="G355" s="2468">
        <v>0.15</v>
      </c>
    </row>
    <row r="356" spans="1:7">
      <c r="A356" s="2477" t="s">
        <v>305</v>
      </c>
      <c r="B356" s="2466" t="s">
        <v>2878</v>
      </c>
      <c r="C356" s="2467">
        <v>0.15</v>
      </c>
      <c r="D356" s="2467">
        <v>0.15</v>
      </c>
      <c r="E356" s="2467">
        <v>0.15</v>
      </c>
      <c r="F356" s="2467">
        <v>0.15</v>
      </c>
      <c r="G356" s="2468">
        <v>0.15</v>
      </c>
    </row>
    <row r="357" spans="1:7" ht="14.25" thickBot="1">
      <c r="A357" s="2480" t="s">
        <v>305</v>
      </c>
      <c r="B357" s="2470" t="s">
        <v>2883</v>
      </c>
      <c r="C357" s="2471">
        <v>0.126</v>
      </c>
      <c r="D357" s="2471">
        <v>0.127</v>
      </c>
      <c r="E357" s="2471">
        <v>0.14299999999999999</v>
      </c>
      <c r="F357" s="2471">
        <v>0.125</v>
      </c>
      <c r="G357" s="2473">
        <v>0.129</v>
      </c>
    </row>
    <row r="358" spans="1:7">
      <c r="A358" s="2476" t="s">
        <v>2752</v>
      </c>
      <c r="B358" s="2462" t="s">
        <v>2766</v>
      </c>
      <c r="C358" s="2463">
        <v>0.15</v>
      </c>
      <c r="D358" s="2463">
        <v>0.15</v>
      </c>
      <c r="E358" s="2463">
        <v>0.15</v>
      </c>
      <c r="F358" s="2463">
        <v>0.15</v>
      </c>
      <c r="G358" s="2464">
        <v>0.15</v>
      </c>
    </row>
    <row r="359" spans="1:7">
      <c r="A359" s="2477" t="s">
        <v>2752</v>
      </c>
      <c r="B359" s="2466" t="s">
        <v>2772</v>
      </c>
      <c r="C359" s="2467">
        <v>0.1</v>
      </c>
      <c r="D359" s="2467">
        <v>0.1</v>
      </c>
      <c r="E359" s="2467">
        <v>0.1</v>
      </c>
      <c r="F359" s="2467">
        <v>0.1</v>
      </c>
      <c r="G359" s="2468">
        <v>0.1</v>
      </c>
    </row>
    <row r="360" spans="1:7">
      <c r="A360" s="2477" t="s">
        <v>2752</v>
      </c>
      <c r="B360" s="2466" t="s">
        <v>2778</v>
      </c>
      <c r="C360" s="2467">
        <v>0.15</v>
      </c>
      <c r="D360" s="2467">
        <v>0.15</v>
      </c>
      <c r="E360" s="2467">
        <v>0.15</v>
      </c>
      <c r="F360" s="2467">
        <v>0.14899999999999999</v>
      </c>
      <c r="G360" s="2468">
        <v>0.15</v>
      </c>
    </row>
    <row r="361" spans="1:7">
      <c r="A361" s="2477" t="s">
        <v>2752</v>
      </c>
      <c r="B361" s="2466" t="s">
        <v>151</v>
      </c>
      <c r="C361" s="2467">
        <v>0.15</v>
      </c>
      <c r="D361" s="2467">
        <v>0.15</v>
      </c>
      <c r="E361" s="2467">
        <v>0.15</v>
      </c>
      <c r="F361" s="2467">
        <v>0.115</v>
      </c>
      <c r="G361" s="2468">
        <v>0.15</v>
      </c>
    </row>
    <row r="362" spans="1:7">
      <c r="A362" s="2477" t="s">
        <v>2752</v>
      </c>
      <c r="B362" s="2466" t="s">
        <v>2785</v>
      </c>
      <c r="C362" s="2467">
        <v>0.15</v>
      </c>
      <c r="D362" s="2467">
        <v>0.15</v>
      </c>
      <c r="E362" s="2467">
        <v>0.15</v>
      </c>
      <c r="F362" s="2467">
        <v>0.106</v>
      </c>
      <c r="G362" s="2468">
        <v>0.15</v>
      </c>
    </row>
    <row r="363" spans="1:7">
      <c r="A363" s="2477" t="s">
        <v>2752</v>
      </c>
      <c r="B363" s="2466" t="s">
        <v>2790</v>
      </c>
      <c r="C363" s="2467">
        <v>0.15</v>
      </c>
      <c r="D363" s="2467">
        <v>0.15</v>
      </c>
      <c r="E363" s="2467">
        <v>0.15</v>
      </c>
      <c r="F363" s="2467">
        <v>0.14699999999999999</v>
      </c>
      <c r="G363" s="2468">
        <v>0.15</v>
      </c>
    </row>
    <row r="364" spans="1:7">
      <c r="A364" s="2477" t="s">
        <v>2752</v>
      </c>
      <c r="B364" s="2466" t="s">
        <v>2794</v>
      </c>
      <c r="C364" s="2467">
        <v>0.15</v>
      </c>
      <c r="D364" s="2467">
        <v>0.15</v>
      </c>
      <c r="E364" s="2467">
        <v>0.15</v>
      </c>
      <c r="F364" s="2467">
        <v>0.14799999999999999</v>
      </c>
      <c r="G364" s="2468">
        <v>0.15</v>
      </c>
    </row>
    <row r="365" spans="1:7">
      <c r="A365" s="2477" t="s">
        <v>2752</v>
      </c>
      <c r="B365" s="2466" t="s">
        <v>198</v>
      </c>
      <c r="C365" s="2467">
        <v>0.15</v>
      </c>
      <c r="D365" s="2467">
        <v>0.15</v>
      </c>
      <c r="E365" s="2467">
        <v>0.15</v>
      </c>
      <c r="F365" s="2467">
        <v>0.15</v>
      </c>
      <c r="G365" s="2468">
        <v>0.15</v>
      </c>
    </row>
    <row r="366" spans="1:7">
      <c r="A366" s="2477" t="s">
        <v>2752</v>
      </c>
      <c r="B366" s="2466" t="s">
        <v>2797</v>
      </c>
      <c r="C366" s="2467">
        <v>0.15</v>
      </c>
      <c r="D366" s="2467">
        <v>0.15</v>
      </c>
      <c r="E366" s="2467">
        <v>0.15</v>
      </c>
      <c r="F366" s="2467">
        <v>0.15</v>
      </c>
      <c r="G366" s="2468">
        <v>0.15</v>
      </c>
    </row>
    <row r="367" spans="1:7">
      <c r="A367" s="2477" t="s">
        <v>2752</v>
      </c>
      <c r="B367" s="2466" t="s">
        <v>2800</v>
      </c>
      <c r="C367" s="2467">
        <v>0.15</v>
      </c>
      <c r="D367" s="2467">
        <v>0.15</v>
      </c>
      <c r="E367" s="2467">
        <v>0.15</v>
      </c>
      <c r="F367" s="2467">
        <v>0.14699999999999999</v>
      </c>
      <c r="G367" s="2468">
        <v>0.15</v>
      </c>
    </row>
    <row r="368" spans="1:7">
      <c r="A368" s="2477" t="s">
        <v>2752</v>
      </c>
      <c r="B368" s="2466" t="s">
        <v>2805</v>
      </c>
      <c r="C368" s="2467">
        <v>0.15</v>
      </c>
      <c r="D368" s="2467">
        <v>0.15</v>
      </c>
      <c r="E368" s="2467">
        <v>0.15</v>
      </c>
      <c r="F368" s="2467">
        <v>0.13600000000000001</v>
      </c>
      <c r="G368" s="2468">
        <v>0.15</v>
      </c>
    </row>
    <row r="369" spans="1:7">
      <c r="A369" s="2477" t="s">
        <v>2752</v>
      </c>
      <c r="B369" s="2466" t="s">
        <v>212</v>
      </c>
      <c r="C369" s="2467">
        <v>0.15</v>
      </c>
      <c r="D369" s="2467">
        <v>0.15</v>
      </c>
      <c r="E369" s="2467">
        <v>0.15</v>
      </c>
      <c r="F369" s="2467">
        <v>0.14399999999999999</v>
      </c>
      <c r="G369" s="2468">
        <v>0.15</v>
      </c>
    </row>
    <row r="370" spans="1:7">
      <c r="A370" s="2477" t="s">
        <v>2752</v>
      </c>
      <c r="B370" s="2466" t="s">
        <v>219</v>
      </c>
      <c r="C370" s="2467">
        <v>0.15</v>
      </c>
      <c r="D370" s="2467">
        <v>0.15</v>
      </c>
      <c r="E370" s="2467">
        <v>0.15</v>
      </c>
      <c r="F370" s="2467">
        <v>0.14599999999999999</v>
      </c>
      <c r="G370" s="2468">
        <v>0.15</v>
      </c>
    </row>
    <row r="371" spans="1:7">
      <c r="A371" s="2477" t="s">
        <v>2752</v>
      </c>
      <c r="B371" s="2466" t="s">
        <v>227</v>
      </c>
      <c r="C371" s="2467">
        <v>0.15</v>
      </c>
      <c r="D371" s="2467">
        <v>0.15</v>
      </c>
      <c r="E371" s="2467">
        <v>0.15</v>
      </c>
      <c r="F371" s="2467">
        <v>0.12</v>
      </c>
      <c r="G371" s="2468">
        <v>0.15</v>
      </c>
    </row>
    <row r="372" spans="1:7">
      <c r="A372" s="2477" t="s">
        <v>2752</v>
      </c>
      <c r="B372" s="2466" t="s">
        <v>2813</v>
      </c>
      <c r="C372" s="2467">
        <v>0.15</v>
      </c>
      <c r="D372" s="2467">
        <v>0.15</v>
      </c>
      <c r="E372" s="2467">
        <v>0.15</v>
      </c>
      <c r="F372" s="2467">
        <v>0.14299999999999999</v>
      </c>
      <c r="G372" s="2468">
        <v>0.15</v>
      </c>
    </row>
    <row r="373" spans="1:7">
      <c r="A373" s="2477" t="s">
        <v>2752</v>
      </c>
      <c r="B373" s="2466" t="s">
        <v>256</v>
      </c>
      <c r="C373" s="2467">
        <v>0.15</v>
      </c>
      <c r="D373" s="2467">
        <v>0.15</v>
      </c>
      <c r="E373" s="2467">
        <v>0.15</v>
      </c>
      <c r="F373" s="2467">
        <v>0.14599999999999999</v>
      </c>
      <c r="G373" s="2468">
        <v>0.15</v>
      </c>
    </row>
    <row r="374" spans="1:7">
      <c r="A374" s="2477" t="s">
        <v>2752</v>
      </c>
      <c r="B374" s="2466" t="s">
        <v>264</v>
      </c>
      <c r="C374" s="2467">
        <v>0.15</v>
      </c>
      <c r="D374" s="2467">
        <v>0.15</v>
      </c>
      <c r="E374" s="2467">
        <v>0.15</v>
      </c>
      <c r="F374" s="2467">
        <v>0.14399999999999999</v>
      </c>
      <c r="G374" s="2468">
        <v>0.15</v>
      </c>
    </row>
    <row r="375" spans="1:7">
      <c r="A375" s="2477" t="s">
        <v>2752</v>
      </c>
      <c r="B375" s="2466" t="s">
        <v>2821</v>
      </c>
      <c r="C375" s="2467">
        <v>0.15</v>
      </c>
      <c r="D375" s="2467">
        <v>0.15</v>
      </c>
      <c r="E375" s="2467">
        <v>0.15</v>
      </c>
      <c r="F375" s="2467">
        <v>0.13</v>
      </c>
      <c r="G375" s="2468">
        <v>0.15</v>
      </c>
    </row>
    <row r="376" spans="1:7">
      <c r="A376" s="2477" t="s">
        <v>2752</v>
      </c>
      <c r="B376" s="2466" t="s">
        <v>275</v>
      </c>
      <c r="C376" s="2467">
        <v>0.15</v>
      </c>
      <c r="D376" s="2467">
        <v>0.15</v>
      </c>
      <c r="E376" s="2467">
        <v>0.15</v>
      </c>
      <c r="F376" s="2467">
        <v>0.14199999999999999</v>
      </c>
      <c r="G376" s="2468">
        <v>0.15</v>
      </c>
    </row>
    <row r="377" spans="1:7" ht="14.25" thickBot="1">
      <c r="A377" s="2480" t="s">
        <v>2752</v>
      </c>
      <c r="B377" s="2470" t="s">
        <v>2827</v>
      </c>
      <c r="C377" s="2471">
        <v>0.15</v>
      </c>
      <c r="D377" s="2471">
        <v>0.15</v>
      </c>
      <c r="E377" s="2471">
        <v>0.15</v>
      </c>
      <c r="F377" s="2471">
        <v>0.14000000000000001</v>
      </c>
      <c r="G377" s="2473">
        <v>0.15</v>
      </c>
    </row>
    <row r="378" spans="1:7">
      <c r="A378" s="2476" t="s">
        <v>2753</v>
      </c>
      <c r="B378" s="2462" t="s">
        <v>2767</v>
      </c>
      <c r="C378" s="2463">
        <v>0.15</v>
      </c>
      <c r="D378" s="2463">
        <v>0.15</v>
      </c>
      <c r="E378" s="2463">
        <v>0.15</v>
      </c>
      <c r="F378" s="2463">
        <v>0.107</v>
      </c>
      <c r="G378" s="2464">
        <v>0.15</v>
      </c>
    </row>
    <row r="379" spans="1:7">
      <c r="A379" s="2477" t="s">
        <v>2753</v>
      </c>
      <c r="B379" s="2466" t="s">
        <v>2773</v>
      </c>
      <c r="C379" s="2467">
        <v>0.15</v>
      </c>
      <c r="D379" s="2467">
        <v>0.15</v>
      </c>
      <c r="E379" s="2467">
        <v>0.15</v>
      </c>
      <c r="F379" s="2467">
        <v>0.115</v>
      </c>
      <c r="G379" s="2468">
        <v>0.14899999999999999</v>
      </c>
    </row>
    <row r="380" spans="1:7">
      <c r="A380" s="2477" t="s">
        <v>2753</v>
      </c>
      <c r="B380" s="2466" t="s">
        <v>2779</v>
      </c>
      <c r="C380" s="2467">
        <v>0.15</v>
      </c>
      <c r="D380" s="2467">
        <v>0.15</v>
      </c>
      <c r="E380" s="2467">
        <v>0.15</v>
      </c>
      <c r="F380" s="2467">
        <v>0.1</v>
      </c>
      <c r="G380" s="2468">
        <v>0.14799999999999999</v>
      </c>
    </row>
    <row r="381" spans="1:7">
      <c r="A381" s="2477" t="s">
        <v>2753</v>
      </c>
      <c r="B381" s="2466" t="s">
        <v>2782</v>
      </c>
      <c r="C381" s="2467">
        <v>0.15</v>
      </c>
      <c r="D381" s="2467">
        <v>0.15</v>
      </c>
      <c r="E381" s="2467">
        <v>0.15</v>
      </c>
      <c r="F381" s="2467">
        <v>0.126</v>
      </c>
      <c r="G381" s="2468">
        <v>0.15</v>
      </c>
    </row>
    <row r="382" spans="1:7">
      <c r="A382" s="2477" t="s">
        <v>2753</v>
      </c>
      <c r="B382" s="2466" t="s">
        <v>2786</v>
      </c>
      <c r="C382" s="2467">
        <v>0.15</v>
      </c>
      <c r="D382" s="2467">
        <v>0.15</v>
      </c>
      <c r="E382" s="2467">
        <v>0.15</v>
      </c>
      <c r="F382" s="2467">
        <v>0.15</v>
      </c>
      <c r="G382" s="2468">
        <v>0.15</v>
      </c>
    </row>
    <row r="383" spans="1:7">
      <c r="A383" s="2477" t="s">
        <v>2753</v>
      </c>
      <c r="B383" s="2466" t="s">
        <v>2791</v>
      </c>
      <c r="C383" s="2467">
        <v>0.15</v>
      </c>
      <c r="D383" s="2467">
        <v>0.15</v>
      </c>
      <c r="E383" s="2467">
        <v>0.15</v>
      </c>
      <c r="F383" s="2467">
        <v>0.14699999999999999</v>
      </c>
      <c r="G383" s="2468">
        <v>0.15</v>
      </c>
    </row>
    <row r="384" spans="1:7" ht="14.25" thickBot="1">
      <c r="A384" s="2487" t="s">
        <v>2753</v>
      </c>
      <c r="B384" s="2488" t="s">
        <v>2795</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32"/>
  </cols>
  <sheetData>
    <row r="1" spans="1:6" ht="14.25">
      <c r="A1" s="4595" t="s">
        <v>3134</v>
      </c>
      <c r="B1" s="4595"/>
      <c r="C1" s="4595"/>
      <c r="D1" s="4595"/>
      <c r="E1" s="4595"/>
      <c r="F1" s="4596"/>
    </row>
    <row r="2" spans="1:6" ht="14.25">
      <c r="A2" s="2491" t="s">
        <v>3135</v>
      </c>
    </row>
    <row r="3" spans="1:6" ht="14.25">
      <c r="A3" s="2491" t="s">
        <v>3136</v>
      </c>
      <c r="F3" s="2492" t="s">
        <v>3137</v>
      </c>
    </row>
    <row r="4" spans="1:6">
      <c r="A4" s="2493" t="s">
        <v>659</v>
      </c>
      <c r="B4" s="2493" t="s">
        <v>660</v>
      </c>
      <c r="C4" s="2493" t="s">
        <v>19</v>
      </c>
      <c r="D4" s="2493" t="s">
        <v>661</v>
      </c>
      <c r="E4" s="2493" t="s">
        <v>3</v>
      </c>
      <c r="F4" s="2493" t="s">
        <v>3138</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F26" sqref="F26"/>
    </sheetView>
  </sheetViews>
  <sheetFormatPr defaultRowHeight="13.5"/>
  <cols>
    <col min="1" max="1" width="13.875" customWidth="1"/>
    <col min="11" max="17" width="0" hidden="1" customWidth="1"/>
    <col min="25" max="30" width="0" hidden="1" customWidth="1"/>
  </cols>
  <sheetData>
    <row r="1" spans="1:44">
      <c r="A1" s="2430">
        <f>基准地价修正!G23</f>
        <v>46044</v>
      </c>
      <c r="B1" s="2422" t="s">
        <v>3277</v>
      </c>
      <c r="C1" s="2423"/>
      <c r="D1" s="2423"/>
      <c r="E1" s="2423"/>
      <c r="F1" s="2423"/>
      <c r="G1" s="2423"/>
      <c r="H1" s="2423"/>
      <c r="I1" s="2423"/>
      <c r="J1" s="2397"/>
      <c r="K1" s="2423" t="s">
        <v>448</v>
      </c>
      <c r="L1" s="2423"/>
      <c r="M1" s="2423"/>
      <c r="N1" s="2423"/>
      <c r="O1" s="2423"/>
      <c r="P1" s="2423"/>
      <c r="Q1" s="2397"/>
      <c r="R1" s="4597" t="s">
        <v>450</v>
      </c>
      <c r="S1" s="4598"/>
      <c r="T1" s="4598"/>
      <c r="U1" s="4598"/>
      <c r="V1" s="4598"/>
      <c r="W1" s="4598"/>
      <c r="X1" s="2397"/>
      <c r="Y1" s="4597" t="s">
        <v>451</v>
      </c>
      <c r="Z1" s="4598"/>
      <c r="AA1" s="4598"/>
      <c r="AB1" s="4598"/>
      <c r="AC1" s="4598"/>
      <c r="AD1" s="4598"/>
    </row>
    <row r="2" spans="1:44" s="1680" customFormat="1" ht="14.25" thickBot="1">
      <c r="B2" s="2383"/>
      <c r="C2" s="2384"/>
      <c r="D2" s="1681" t="s">
        <v>2712</v>
      </c>
      <c r="E2" s="1682" t="s">
        <v>2713</v>
      </c>
      <c r="F2" s="1682" t="s">
        <v>2714</v>
      </c>
      <c r="G2" s="1682" t="s">
        <v>2715</v>
      </c>
      <c r="H2" s="1682" t="s">
        <v>2716</v>
      </c>
      <c r="I2" s="1682" t="s">
        <v>2533</v>
      </c>
      <c r="J2" s="2385"/>
      <c r="K2" s="1681" t="s">
        <v>2712</v>
      </c>
      <c r="L2" s="1682" t="s">
        <v>2713</v>
      </c>
      <c r="M2" s="1682" t="s">
        <v>2714</v>
      </c>
      <c r="N2" s="1682" t="s">
        <v>2715</v>
      </c>
      <c r="O2" s="1682" t="s">
        <v>2717</v>
      </c>
      <c r="P2" s="1682" t="s">
        <v>2533</v>
      </c>
      <c r="Q2" s="2385"/>
      <c r="R2" s="1681" t="s">
        <v>2712</v>
      </c>
      <c r="S2" s="1682" t="s">
        <v>2713</v>
      </c>
      <c r="T2" s="1682" t="s">
        <v>2714</v>
      </c>
      <c r="U2" s="1682" t="s">
        <v>2718</v>
      </c>
      <c r="V2" s="1682" t="s">
        <v>2719</v>
      </c>
      <c r="W2" s="1682" t="s">
        <v>2533</v>
      </c>
      <c r="X2" s="2385"/>
      <c r="Y2" s="1681" t="s">
        <v>2712</v>
      </c>
      <c r="Z2" s="1682" t="s">
        <v>2713</v>
      </c>
      <c r="AA2" s="1682" t="s">
        <v>2714</v>
      </c>
      <c r="AB2" s="1682" t="s">
        <v>2720</v>
      </c>
      <c r="AC2" s="1682" t="s">
        <v>2719</v>
      </c>
      <c r="AD2" s="1682" t="s">
        <v>2533</v>
      </c>
      <c r="AF2" t="s">
        <v>3286</v>
      </c>
      <c r="AG2" t="s">
        <v>660</v>
      </c>
      <c r="AH2" t="s">
        <v>19</v>
      </c>
      <c r="AI2" t="s">
        <v>3287</v>
      </c>
      <c r="AJ2" t="s">
        <v>3</v>
      </c>
      <c r="AK2" t="s">
        <v>3288</v>
      </c>
      <c r="AM2" t="s">
        <v>3286</v>
      </c>
      <c r="AN2" t="s">
        <v>660</v>
      </c>
      <c r="AO2" t="s">
        <v>19</v>
      </c>
      <c r="AP2" t="s">
        <v>3287</v>
      </c>
      <c r="AQ2" t="s">
        <v>3</v>
      </c>
      <c r="AR2" t="s">
        <v>3288</v>
      </c>
    </row>
    <row r="3" spans="1:44" s="2388" customFormat="1" ht="12.75">
      <c r="A3" s="2386" t="s">
        <v>2721</v>
      </c>
      <c r="B3" s="2387"/>
      <c r="D3" s="3264">
        <f>ROUND(AVERAGEIF(D4:D28,"&lt;&gt;0"),2)</f>
        <v>0.33</v>
      </c>
      <c r="E3" s="3264">
        <f t="shared" ref="E3:H3" si="0">ROUND(AVERAGEIF(E4:E28,"&lt;&gt;0"),2)</f>
        <v>0.14000000000000001</v>
      </c>
      <c r="F3" s="3264">
        <f t="shared" si="0"/>
        <v>-0.16</v>
      </c>
      <c r="G3" s="3264">
        <f t="shared" si="0"/>
        <v>0.39</v>
      </c>
      <c r="H3" s="3264">
        <f t="shared" si="0"/>
        <v>0.47</v>
      </c>
      <c r="I3" s="3264">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4">
        <f>ROUND(SUMPRODUCT(PRODUCT(1+K4:K28)),4)</f>
        <v>1.0631999999999999</v>
      </c>
      <c r="S3" s="3275">
        <f t="shared" ref="S3:V3" si="2">ROUND(SUMPRODUCT(PRODUCT(1+L4:L28)),4)</f>
        <v>1.0268999999999999</v>
      </c>
      <c r="T3" s="3275">
        <f t="shared" si="2"/>
        <v>0.97040000000000004</v>
      </c>
      <c r="U3" s="3275">
        <f t="shared" si="2"/>
        <v>1.0765</v>
      </c>
      <c r="V3" s="3275">
        <f t="shared" si="2"/>
        <v>1.0933999999999999</v>
      </c>
      <c r="W3" s="3274">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3685</v>
      </c>
      <c r="B5" s="3258">
        <v>2026</v>
      </c>
      <c r="C5" s="3259">
        <v>4</v>
      </c>
      <c r="D5" s="3265">
        <v>0</v>
      </c>
      <c r="E5" s="3265">
        <v>0</v>
      </c>
      <c r="F5" s="3265">
        <v>0</v>
      </c>
      <c r="G5" s="3265">
        <v>0</v>
      </c>
      <c r="H5" s="3265">
        <v>0</v>
      </c>
      <c r="I5" s="3266">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6">
        <f>ROUND(IF(项目基本情况!$B$8="出让",SUMPRODUCT(PRODUCT(1+K5:$K$28)),SUMPRODUCT(PRODUCT(1+K5:$K$27))),4)</f>
        <v>1.0529999999999999</v>
      </c>
      <c r="S5" s="3276">
        <f>ROUND(IF(项目基本情况!$B$8="出让",SUMPRODUCT(PRODUCT(1+L5:$L$28)),SUMPRODUCT(PRODUCT(1+L5:$L$27))),4)</f>
        <v>1.0251999999999999</v>
      </c>
      <c r="T5" s="3276">
        <f>ROUND(IF(项目基本情况!$B$8="出让",SUMPRODUCT(PRODUCT(1+M5:$M$28)),SUMPRODUCT(PRODUCT(1+M5:$M$27))),4)</f>
        <v>0.97289999999999999</v>
      </c>
      <c r="U5" s="3276">
        <f>ROUND(IF(项目基本情况!$B$8="出让",SUMPRODUCT(PRODUCT(1+N5:$N$28)),SUMPRODUCT(PRODUCT(1+N5:$N$27))),4)</f>
        <v>1.0647</v>
      </c>
      <c r="V5" s="3276">
        <f>ROUND(IF(项目基本情况!$B$8="出让",SUMPRODUCT(PRODUCT(1+O5:$O$28)),SUMPRODUCT(PRODUCT(1+O5:$O$27))),4)</f>
        <v>1.0894999999999999</v>
      </c>
      <c r="W5" s="3276">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9">
        <f t="shared" ref="AF5:AF6" si="17">$AF$28*R5</f>
        <v>105.3</v>
      </c>
      <c r="AG5" s="3279">
        <f t="shared" ref="AG5:AG6" si="18">$AF$28*S5</f>
        <v>102.51999999999998</v>
      </c>
      <c r="AH5" s="3279">
        <f t="shared" ref="AH5:AH6" si="19">$AF$28*T5</f>
        <v>97.289999999999992</v>
      </c>
      <c r="AI5" s="3279">
        <f t="shared" ref="AI5:AI6" si="20">$AF$28*U5</f>
        <v>106.47</v>
      </c>
      <c r="AJ5" s="3279">
        <f t="shared" ref="AJ5:AJ6" si="21">$AF$28*V5</f>
        <v>108.94999999999999</v>
      </c>
      <c r="AK5" s="3279">
        <f t="shared" ref="AK5:AK6" si="22">$AF$28*W5</f>
        <v>97.289999999999992</v>
      </c>
      <c r="AM5" s="3282">
        <v>100</v>
      </c>
      <c r="AN5" s="3282">
        <v>100</v>
      </c>
      <c r="AO5" s="3282">
        <v>100</v>
      </c>
      <c r="AP5" s="3282">
        <v>100</v>
      </c>
      <c r="AQ5" s="3282">
        <v>100</v>
      </c>
      <c r="AR5" s="3282">
        <v>100</v>
      </c>
    </row>
    <row r="6" spans="1:44" s="1708" customFormat="1" ht="12.75">
      <c r="A6" s="1704" t="s">
        <v>3684</v>
      </c>
      <c r="B6" s="3258">
        <v>2026</v>
      </c>
      <c r="C6" s="3259">
        <v>3</v>
      </c>
      <c r="D6" s="3265">
        <v>0</v>
      </c>
      <c r="E6" s="3265">
        <v>0</v>
      </c>
      <c r="F6" s="3265">
        <v>0</v>
      </c>
      <c r="G6" s="3265">
        <v>0</v>
      </c>
      <c r="H6" s="3265">
        <v>0</v>
      </c>
      <c r="I6" s="3266">
        <f t="shared" ref="I6:I9" si="23">F6</f>
        <v>0</v>
      </c>
      <c r="J6" s="2408"/>
      <c r="K6" s="1706"/>
      <c r="L6" s="1696"/>
      <c r="M6" s="1696"/>
      <c r="N6" s="1696"/>
      <c r="O6" s="1696"/>
      <c r="P6" s="1696"/>
      <c r="Q6" s="2408"/>
      <c r="R6" s="3276">
        <f>ROUND(IF(项目基本情况!$B$8="出让",SUMPRODUCT(PRODUCT(1+K6:$K$28)),SUMPRODUCT(PRODUCT(1+K6:$K$27))),4)</f>
        <v>1.0529999999999999</v>
      </c>
      <c r="S6" s="3276">
        <f>ROUND(IF(项目基本情况!$B$8="出让",SUMPRODUCT(PRODUCT(1+L6:$L$28)),SUMPRODUCT(PRODUCT(1+L6:$L$27))),4)</f>
        <v>1.0251999999999999</v>
      </c>
      <c r="T6" s="3276">
        <f>ROUND(IF(项目基本情况!$B$8="出让",SUMPRODUCT(PRODUCT(1+M6:$M$28)),SUMPRODUCT(PRODUCT(1+M6:$M$27))),4)</f>
        <v>0.97289999999999999</v>
      </c>
      <c r="U6" s="3276">
        <f>ROUND(IF(项目基本情况!$B$8="出让",SUMPRODUCT(PRODUCT(1+N6:$N$28)),SUMPRODUCT(PRODUCT(1+N6:$N$27))),4)</f>
        <v>1.0647</v>
      </c>
      <c r="V6" s="3276">
        <f>ROUND(IF(项目基本情况!$B$8="出让",SUMPRODUCT(PRODUCT(1+O6:$O$28)),SUMPRODUCT(PRODUCT(1+O6:$O$27))),4)</f>
        <v>1.0894999999999999</v>
      </c>
      <c r="W6" s="3276">
        <f t="shared" si="11"/>
        <v>0.97289999999999999</v>
      </c>
      <c r="X6" s="2408"/>
      <c r="Y6" s="1696"/>
      <c r="Z6" s="1696"/>
      <c r="AA6" s="1696"/>
      <c r="AB6" s="1696"/>
      <c r="AC6" s="1696"/>
      <c r="AD6" s="1696"/>
      <c r="AF6" s="3279">
        <f t="shared" si="17"/>
        <v>105.3</v>
      </c>
      <c r="AG6" s="3279">
        <f t="shared" si="18"/>
        <v>102.51999999999998</v>
      </c>
      <c r="AH6" s="3279">
        <f t="shared" si="19"/>
        <v>97.289999999999992</v>
      </c>
      <c r="AI6" s="3279">
        <f t="shared" si="20"/>
        <v>106.47</v>
      </c>
      <c r="AJ6" s="3279">
        <f t="shared" si="21"/>
        <v>108.94999999999999</v>
      </c>
      <c r="AK6" s="3279">
        <f t="shared" si="22"/>
        <v>97.289999999999992</v>
      </c>
      <c r="AM6" s="3279">
        <f t="shared" ref="AM6" si="24">AM5/(1+D5/100)</f>
        <v>100</v>
      </c>
      <c r="AN6" s="3279">
        <f t="shared" ref="AN6" si="25">AN5/(1+E5/100)</f>
        <v>100</v>
      </c>
      <c r="AO6" s="3279">
        <f t="shared" ref="AO6" si="26">AO5/(1+F5/100)</f>
        <v>100</v>
      </c>
      <c r="AP6" s="3279">
        <f t="shared" ref="AP6" si="27">AP5/(1+G5/100)</f>
        <v>100</v>
      </c>
      <c r="AQ6" s="3279">
        <f t="shared" ref="AQ6" si="28">AQ5/(1+H5/100)</f>
        <v>100</v>
      </c>
      <c r="AR6" s="3279">
        <f t="shared" ref="AR6" si="29">AR5/(1+I5/100)</f>
        <v>100</v>
      </c>
    </row>
    <row r="7" spans="1:44" s="1708" customFormat="1" ht="12.75">
      <c r="A7" s="1704" t="s">
        <v>3683</v>
      </c>
      <c r="B7" s="3258">
        <v>2026</v>
      </c>
      <c r="C7" s="3259">
        <v>2</v>
      </c>
      <c r="D7" s="3265">
        <v>0</v>
      </c>
      <c r="E7" s="3265">
        <v>0</v>
      </c>
      <c r="F7" s="3265">
        <v>0</v>
      </c>
      <c r="G7" s="3265">
        <v>0</v>
      </c>
      <c r="H7" s="3265">
        <v>0</v>
      </c>
      <c r="I7" s="3266">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6">
        <f>ROUND(IF(项目基本情况!$B$8="出让",SUMPRODUCT(PRODUCT(1+K7:$K$28)),SUMPRODUCT(PRODUCT(1+K7:$K$27))),4)</f>
        <v>1.0529999999999999</v>
      </c>
      <c r="S7" s="3276">
        <f>ROUND(IF(项目基本情况!$B$8="出让",SUMPRODUCT(PRODUCT(1+L7:$L$28)),SUMPRODUCT(PRODUCT(1+L7:$L$27))),4)</f>
        <v>1.0251999999999999</v>
      </c>
      <c r="T7" s="3276">
        <f>ROUND(IF(项目基本情况!$B$8="出让",SUMPRODUCT(PRODUCT(1+M7:$M$28)),SUMPRODUCT(PRODUCT(1+M7:$M$27))),4)</f>
        <v>0.97289999999999999</v>
      </c>
      <c r="U7" s="3276">
        <f>ROUND(IF(项目基本情况!$B$8="出让",SUMPRODUCT(PRODUCT(1+N7:$N$28)),SUMPRODUCT(PRODUCT(1+N7:$N$27))),4)</f>
        <v>1.0647</v>
      </c>
      <c r="V7" s="3276">
        <f>ROUND(IF(项目基本情况!$B$8="出让",SUMPRODUCT(PRODUCT(1+O7:$O$28)),SUMPRODUCT(PRODUCT(1+O7:$O$27))),4)</f>
        <v>1.0894999999999999</v>
      </c>
      <c r="W7" s="3276">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9">
        <f t="shared" ref="AF7:AF9" si="43">$AF$28*R7</f>
        <v>105.3</v>
      </c>
      <c r="AG7" s="3279">
        <f t="shared" ref="AG7:AG9" si="44">$AF$28*S7</f>
        <v>102.51999999999998</v>
      </c>
      <c r="AH7" s="3279">
        <f t="shared" ref="AH7:AH9" si="45">$AF$28*T7</f>
        <v>97.289999999999992</v>
      </c>
      <c r="AI7" s="3279">
        <f t="shared" ref="AI7:AI9" si="46">$AF$28*U7</f>
        <v>106.47</v>
      </c>
      <c r="AJ7" s="3279">
        <f t="shared" ref="AJ7:AJ9" si="47">$AF$28*V7</f>
        <v>108.94999999999999</v>
      </c>
      <c r="AK7" s="3279">
        <f t="shared" ref="AK7:AK9" si="48">$AF$28*W7</f>
        <v>97.289999999999992</v>
      </c>
      <c r="AM7" s="3279">
        <f t="shared" ref="AM7:AM9" si="49">AM6/(1+D6/100)</f>
        <v>100</v>
      </c>
      <c r="AN7" s="3279">
        <f t="shared" ref="AN7:AN9" si="50">AN6/(1+E6/100)</f>
        <v>100</v>
      </c>
      <c r="AO7" s="3279">
        <f t="shared" ref="AO7:AO9" si="51">AO6/(1+F6/100)</f>
        <v>100</v>
      </c>
      <c r="AP7" s="3279">
        <f t="shared" ref="AP7:AP9" si="52">AP6/(1+G6/100)</f>
        <v>100</v>
      </c>
      <c r="AQ7" s="3279">
        <f t="shared" ref="AQ7:AQ9" si="53">AQ6/(1+H6/100)</f>
        <v>100</v>
      </c>
      <c r="AR7" s="3279">
        <f t="shared" ref="AR7:AR9" si="54">AR6/(1+I6/100)</f>
        <v>100</v>
      </c>
    </row>
    <row r="8" spans="1:44" s="2414" customFormat="1" ht="12.75">
      <c r="A8" s="2409" t="s">
        <v>3686</v>
      </c>
      <c r="B8" s="3260">
        <v>2026</v>
      </c>
      <c r="C8" s="3261">
        <v>1</v>
      </c>
      <c r="D8" s="3267">
        <v>0</v>
      </c>
      <c r="E8" s="3267">
        <v>0</v>
      </c>
      <c r="F8" s="3267">
        <v>0</v>
      </c>
      <c r="G8" s="3267">
        <v>0</v>
      </c>
      <c r="H8" s="3268">
        <v>0</v>
      </c>
      <c r="I8" s="3269">
        <f t="shared" si="23"/>
        <v>0</v>
      </c>
      <c r="J8" s="2411"/>
      <c r="K8" s="2412">
        <f t="shared" si="30"/>
        <v>0</v>
      </c>
      <c r="L8" s="2413">
        <f t="shared" si="31"/>
        <v>0</v>
      </c>
      <c r="M8" s="2413">
        <f t="shared" si="32"/>
        <v>0</v>
      </c>
      <c r="N8" s="2413">
        <f t="shared" si="33"/>
        <v>0</v>
      </c>
      <c r="O8" s="2413">
        <f t="shared" si="34"/>
        <v>0</v>
      </c>
      <c r="P8" s="2413">
        <f t="shared" si="35"/>
        <v>0</v>
      </c>
      <c r="Q8" s="2411"/>
      <c r="R8" s="3277">
        <f>ROUND(IF(项目基本情况!$B$8="出让",SUMPRODUCT(PRODUCT(1+K8:$K$28)),SUMPRODUCT(PRODUCT(1+K8:$K$27))),4)</f>
        <v>1.0529999999999999</v>
      </c>
      <c r="S8" s="3277">
        <f>ROUND(IF(项目基本情况!$B$8="出让",SUMPRODUCT(PRODUCT(1+L8:$L$28)),SUMPRODUCT(PRODUCT(1+L8:$L$27))),4)</f>
        <v>1.0251999999999999</v>
      </c>
      <c r="T8" s="3277">
        <f>ROUND(IF(项目基本情况!$B$8="出让",SUMPRODUCT(PRODUCT(1+M8:$M$28)),SUMPRODUCT(PRODUCT(1+M8:$M$27))),4)</f>
        <v>0.97289999999999999</v>
      </c>
      <c r="U8" s="3277">
        <f>ROUND(IF(项目基本情况!$B$8="出让",SUMPRODUCT(PRODUCT(1+N8:$N$28)),SUMPRODUCT(PRODUCT(1+N8:$N$27))),4)</f>
        <v>1.0647</v>
      </c>
      <c r="V8" s="3277">
        <f>ROUND(IF(项目基本情况!$B$8="出让",SUMPRODUCT(PRODUCT(1+O8:$O$28)),SUMPRODUCT(PRODUCT(1+O8:$O$27))),4)</f>
        <v>1.0894999999999999</v>
      </c>
      <c r="W8" s="3277">
        <f t="shared" si="36"/>
        <v>0.97289999999999999</v>
      </c>
      <c r="X8" s="2411"/>
      <c r="Y8" s="2413">
        <f t="shared" si="37"/>
        <v>0</v>
      </c>
      <c r="Z8" s="2413">
        <f t="shared" si="38"/>
        <v>0</v>
      </c>
      <c r="AA8" s="2413">
        <f t="shared" si="39"/>
        <v>0</v>
      </c>
      <c r="AB8" s="2413">
        <f t="shared" si="40"/>
        <v>0</v>
      </c>
      <c r="AC8" s="2413">
        <f t="shared" si="41"/>
        <v>0</v>
      </c>
      <c r="AD8" s="2413">
        <f t="shared" si="42"/>
        <v>0</v>
      </c>
      <c r="AF8" s="3280">
        <f t="shared" si="43"/>
        <v>105.3</v>
      </c>
      <c r="AG8" s="3280">
        <f t="shared" si="44"/>
        <v>102.51999999999998</v>
      </c>
      <c r="AH8" s="3280">
        <f t="shared" si="45"/>
        <v>97.289999999999992</v>
      </c>
      <c r="AI8" s="3280">
        <f t="shared" si="46"/>
        <v>106.47</v>
      </c>
      <c r="AJ8" s="3280">
        <f t="shared" si="47"/>
        <v>108.94999999999999</v>
      </c>
      <c r="AK8" s="3280">
        <f t="shared" si="48"/>
        <v>97.289999999999992</v>
      </c>
      <c r="AM8" s="3280">
        <f t="shared" si="49"/>
        <v>100</v>
      </c>
      <c r="AN8" s="3280">
        <f t="shared" si="50"/>
        <v>100</v>
      </c>
      <c r="AO8" s="3280">
        <f t="shared" si="51"/>
        <v>100</v>
      </c>
      <c r="AP8" s="3280">
        <f t="shared" si="52"/>
        <v>100</v>
      </c>
      <c r="AQ8" s="3280">
        <f t="shared" si="53"/>
        <v>100</v>
      </c>
      <c r="AR8" s="3280">
        <f t="shared" si="54"/>
        <v>100</v>
      </c>
    </row>
    <row r="9" spans="1:44" s="1708" customFormat="1" ht="12.75">
      <c r="A9" s="1704" t="s">
        <v>3682</v>
      </c>
      <c r="B9" s="3258">
        <v>2025</v>
      </c>
      <c r="C9" s="3259">
        <v>4</v>
      </c>
      <c r="D9" s="3265">
        <v>0</v>
      </c>
      <c r="E9" s="3265">
        <v>0</v>
      </c>
      <c r="F9" s="3265">
        <v>0</v>
      </c>
      <c r="G9" s="3265">
        <v>0</v>
      </c>
      <c r="H9" s="3265">
        <v>0</v>
      </c>
      <c r="I9" s="3266">
        <f t="shared" si="23"/>
        <v>0</v>
      </c>
      <c r="J9" s="2408"/>
      <c r="K9" s="1706">
        <f t="shared" si="30"/>
        <v>0</v>
      </c>
      <c r="L9" s="1696">
        <f t="shared" si="31"/>
        <v>0</v>
      </c>
      <c r="M9" s="1696">
        <f t="shared" si="32"/>
        <v>0</v>
      </c>
      <c r="N9" s="1696">
        <f t="shared" si="33"/>
        <v>0</v>
      </c>
      <c r="O9" s="1696">
        <f t="shared" si="34"/>
        <v>0</v>
      </c>
      <c r="P9" s="1696">
        <f t="shared" si="35"/>
        <v>0</v>
      </c>
      <c r="Q9" s="2408"/>
      <c r="R9" s="3276">
        <f>ROUND(IF(项目基本情况!$B$8="出让",SUMPRODUCT(PRODUCT(1+K9:$K$28)),SUMPRODUCT(PRODUCT(1+K9:$K$27))),4)</f>
        <v>1.0529999999999999</v>
      </c>
      <c r="S9" s="3276">
        <f>ROUND(IF(项目基本情况!$B$8="出让",SUMPRODUCT(PRODUCT(1+L9:$L$28)),SUMPRODUCT(PRODUCT(1+L9:$L$27))),4)</f>
        <v>1.0251999999999999</v>
      </c>
      <c r="T9" s="3276">
        <f>ROUND(IF(项目基本情况!$B$8="出让",SUMPRODUCT(PRODUCT(1+M9:$M$28)),SUMPRODUCT(PRODUCT(1+M9:$M$27))),4)</f>
        <v>0.97289999999999999</v>
      </c>
      <c r="U9" s="3276">
        <f>ROUND(IF(项目基本情况!$B$8="出让",SUMPRODUCT(PRODUCT(1+N9:$N$28)),SUMPRODUCT(PRODUCT(1+N9:$N$27))),4)</f>
        <v>1.0647</v>
      </c>
      <c r="V9" s="3276">
        <f>ROUND(IF(项目基本情况!$B$8="出让",SUMPRODUCT(PRODUCT(1+O9:$O$28)),SUMPRODUCT(PRODUCT(1+O9:$O$27))),4)</f>
        <v>1.0894999999999999</v>
      </c>
      <c r="W9" s="3276">
        <f t="shared" si="36"/>
        <v>0.97289999999999999</v>
      </c>
      <c r="X9" s="2408"/>
      <c r="Y9" s="1696">
        <f t="shared" si="37"/>
        <v>0</v>
      </c>
      <c r="Z9" s="1696">
        <f t="shared" si="38"/>
        <v>0</v>
      </c>
      <c r="AA9" s="1696">
        <f t="shared" si="39"/>
        <v>0</v>
      </c>
      <c r="AB9" s="1696">
        <f t="shared" si="40"/>
        <v>0</v>
      </c>
      <c r="AC9" s="1696">
        <f t="shared" si="41"/>
        <v>0</v>
      </c>
      <c r="AD9" s="1696">
        <f t="shared" si="42"/>
        <v>0</v>
      </c>
      <c r="AF9" s="3279">
        <f t="shared" si="43"/>
        <v>105.3</v>
      </c>
      <c r="AG9" s="3279">
        <f t="shared" si="44"/>
        <v>102.51999999999998</v>
      </c>
      <c r="AH9" s="3279">
        <f t="shared" si="45"/>
        <v>97.289999999999992</v>
      </c>
      <c r="AI9" s="3279">
        <f t="shared" si="46"/>
        <v>106.47</v>
      </c>
      <c r="AJ9" s="3279">
        <f t="shared" si="47"/>
        <v>108.94999999999999</v>
      </c>
      <c r="AK9" s="3279">
        <f t="shared" si="48"/>
        <v>97.289999999999992</v>
      </c>
      <c r="AM9" s="3279">
        <f t="shared" si="49"/>
        <v>100</v>
      </c>
      <c r="AN9" s="3279">
        <f t="shared" si="50"/>
        <v>100</v>
      </c>
      <c r="AO9" s="3279">
        <f t="shared" si="51"/>
        <v>100</v>
      </c>
      <c r="AP9" s="3279">
        <f t="shared" si="52"/>
        <v>100</v>
      </c>
      <c r="AQ9" s="3279">
        <f t="shared" si="53"/>
        <v>100</v>
      </c>
      <c r="AR9" s="3279">
        <f t="shared" si="54"/>
        <v>100</v>
      </c>
    </row>
    <row r="10" spans="1:44" s="1708" customFormat="1" ht="12.75">
      <c r="A10" s="1704" t="s">
        <v>3687</v>
      </c>
      <c r="B10" s="3258">
        <v>2025</v>
      </c>
      <c r="C10" s="3259">
        <v>3</v>
      </c>
      <c r="D10" s="3265">
        <v>-0.45</v>
      </c>
      <c r="E10" s="3265">
        <v>-0.22</v>
      </c>
      <c r="F10" s="3265">
        <v>-0.82</v>
      </c>
      <c r="G10" s="3265">
        <v>-0.39</v>
      </c>
      <c r="H10" s="3265">
        <v>0.04</v>
      </c>
      <c r="I10" s="3266">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6">
        <f>ROUND(IF(项目基本情况!$B$8="出让",SUMPRODUCT(PRODUCT(1+K10:$K$28)),SUMPRODUCT(PRODUCT(1+K10:$K$27))),4)</f>
        <v>1.0529999999999999</v>
      </c>
      <c r="S10" s="3276">
        <f>ROUND(IF(项目基本情况!$B$8="出让",SUMPRODUCT(PRODUCT(1+L10:$L$28)),SUMPRODUCT(PRODUCT(1+L10:$L$27))),4)</f>
        <v>1.0251999999999999</v>
      </c>
      <c r="T10" s="3276">
        <f>ROUND(IF(项目基本情况!$B$8="出让",SUMPRODUCT(PRODUCT(1+M10:$M$28)),SUMPRODUCT(PRODUCT(1+M10:$M$27))),4)</f>
        <v>0.97289999999999999</v>
      </c>
      <c r="U10" s="3276">
        <f>ROUND(IF(项目基本情况!$B$8="出让",SUMPRODUCT(PRODUCT(1+N10:$N$28)),SUMPRODUCT(PRODUCT(1+N10:$N$27))),4)</f>
        <v>1.0647</v>
      </c>
      <c r="V10" s="3276">
        <f>ROUND(IF(项目基本情况!$B$8="出让",SUMPRODUCT(PRODUCT(1+O10:$O$28)),SUMPRODUCT(PRODUCT(1+O10:$O$27))),4)</f>
        <v>1.0894999999999999</v>
      </c>
      <c r="W10" s="3276">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9">
        <f t="shared" ref="AF10:AF27" si="67">$AF$28*R10</f>
        <v>105.3</v>
      </c>
      <c r="AG10" s="3279">
        <f t="shared" ref="AG10:AG27" si="68">$AF$28*S10</f>
        <v>102.51999999999998</v>
      </c>
      <c r="AH10" s="3279">
        <f t="shared" ref="AH10:AH27" si="69">$AF$28*T10</f>
        <v>97.289999999999992</v>
      </c>
      <c r="AI10" s="3279">
        <f t="shared" ref="AI10:AI27" si="70">$AF$28*U10</f>
        <v>106.47</v>
      </c>
      <c r="AJ10" s="3279">
        <f t="shared" ref="AJ10:AJ27" si="71">$AF$28*V10</f>
        <v>108.94999999999999</v>
      </c>
      <c r="AK10" s="3279">
        <f t="shared" ref="AK10:AK27" si="72">$AF$28*W10</f>
        <v>97.289999999999992</v>
      </c>
      <c r="AM10" s="3279">
        <f>AM5/(1+D5/100)</f>
        <v>100</v>
      </c>
      <c r="AN10" s="3279">
        <f t="shared" ref="AN10:AR10" si="73">AN5/(1+E5/100)</f>
        <v>100</v>
      </c>
      <c r="AO10" s="3279">
        <f t="shared" si="73"/>
        <v>100</v>
      </c>
      <c r="AP10" s="3279">
        <f t="shared" si="73"/>
        <v>100</v>
      </c>
      <c r="AQ10" s="3279">
        <f t="shared" si="73"/>
        <v>100</v>
      </c>
      <c r="AR10" s="3279">
        <f t="shared" si="73"/>
        <v>100</v>
      </c>
    </row>
    <row r="11" spans="1:44" s="1708" customFormat="1" ht="12.75">
      <c r="A11" s="1704" t="s">
        <v>3300</v>
      </c>
      <c r="B11" s="3258">
        <v>2025</v>
      </c>
      <c r="C11" s="3259">
        <v>2</v>
      </c>
      <c r="D11" s="3265">
        <v>0.05</v>
      </c>
      <c r="E11" s="3265">
        <v>-0.62</v>
      </c>
      <c r="F11" s="3265">
        <v>-1.05</v>
      </c>
      <c r="G11" s="3265">
        <v>0.09</v>
      </c>
      <c r="H11" s="3265">
        <v>0.17</v>
      </c>
      <c r="I11" s="3266">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6">
        <f>ROUND(IF(项目基本情况!$B$8="出让",SUMPRODUCT(PRODUCT(1+K11:$K$28)),SUMPRODUCT(PRODUCT(1+K11:$K$27))),4)</f>
        <v>1.0577000000000001</v>
      </c>
      <c r="S11" s="3276">
        <f>ROUND(IF(项目基本情况!$B$8="出让",SUMPRODUCT(PRODUCT(1+L11:$L$28)),SUMPRODUCT(PRODUCT(1+L11:$L$27))),4)</f>
        <v>1.0275000000000001</v>
      </c>
      <c r="T11" s="3276">
        <f>ROUND(IF(项目基本情况!$B$8="出让",SUMPRODUCT(PRODUCT(1+M11:$M$28)),SUMPRODUCT(PRODUCT(1+M11:$M$27))),4)</f>
        <v>0.98089999999999999</v>
      </c>
      <c r="U11" s="3276">
        <f>ROUND(IF(项目基本情况!$B$8="出让",SUMPRODUCT(PRODUCT(1+N11:$N$28)),SUMPRODUCT(PRODUCT(1+N11:$N$27))),4)</f>
        <v>1.0689</v>
      </c>
      <c r="V11" s="3276">
        <f>ROUND(IF(项目基本情况!$B$8="出让",SUMPRODUCT(PRODUCT(1+O11:$O$28)),SUMPRODUCT(PRODUCT(1+O11:$O$27))),4)</f>
        <v>1.0891</v>
      </c>
      <c r="W11" s="3276">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9">
        <f t="shared" si="67"/>
        <v>105.77000000000001</v>
      </c>
      <c r="AG11" s="3279">
        <f t="shared" si="68"/>
        <v>102.75000000000001</v>
      </c>
      <c r="AH11" s="3279">
        <f t="shared" si="69"/>
        <v>98.09</v>
      </c>
      <c r="AI11" s="3279">
        <f t="shared" si="70"/>
        <v>106.89</v>
      </c>
      <c r="AJ11" s="3279">
        <f t="shared" si="71"/>
        <v>108.91</v>
      </c>
      <c r="AK11" s="3279">
        <f t="shared" si="72"/>
        <v>98.09</v>
      </c>
      <c r="AM11" s="3279">
        <f t="shared" ref="AM11:AM28" si="85">AM10/(1+D10/100)</f>
        <v>100.45203415369161</v>
      </c>
      <c r="AN11" s="3279">
        <f t="shared" ref="AN11:AN28" si="86">AN10/(1+E10/100)</f>
        <v>100.22048506714772</v>
      </c>
      <c r="AO11" s="3279">
        <f t="shared" ref="AO11:AO28" si="87">AO10/(1+F10/100)</f>
        <v>100.8267795926598</v>
      </c>
      <c r="AP11" s="3279">
        <f t="shared" ref="AP11:AP28" si="88">AP10/(1+G10/100)</f>
        <v>100.39152695512499</v>
      </c>
      <c r="AQ11" s="3279">
        <f t="shared" ref="AQ11:AQ28" si="89">AQ10/(1+H10/100)</f>
        <v>99.960015993602568</v>
      </c>
      <c r="AR11" s="3279">
        <f t="shared" ref="AR11:AR28" si="90">AR10/(1+I10/100)</f>
        <v>100.8267795926598</v>
      </c>
    </row>
    <row r="12" spans="1:44" s="1708" customFormat="1" ht="12.75">
      <c r="A12" s="1704" t="s">
        <v>3291</v>
      </c>
      <c r="B12" s="3258">
        <v>2025</v>
      </c>
      <c r="C12" s="3259">
        <v>1</v>
      </c>
      <c r="D12" s="3265">
        <v>0.56999999999999995</v>
      </c>
      <c r="E12" s="3265">
        <v>-0.56999999999999995</v>
      </c>
      <c r="F12" s="3265">
        <v>-0.9</v>
      </c>
      <c r="G12" s="3265">
        <v>1.1200000000000001</v>
      </c>
      <c r="H12" s="3265">
        <v>0.42</v>
      </c>
      <c r="I12" s="3266">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6">
        <f>ROUND(IF(项目基本情况!$B$8="出让",SUMPRODUCT(PRODUCT(1+K12:$K$28)),SUMPRODUCT(PRODUCT(1+K12:$K$27))),4)</f>
        <v>1.0571999999999999</v>
      </c>
      <c r="S12" s="3276">
        <f>ROUND(IF(项目基本情况!$B$8="出让",SUMPRODUCT(PRODUCT(1+L12:$L$28)),SUMPRODUCT(PRODUCT(1+L12:$L$27))),4)</f>
        <v>1.0339</v>
      </c>
      <c r="T12" s="3276">
        <f>ROUND(IF(项目基本情况!$B$8="出让",SUMPRODUCT(PRODUCT(1+M12:$M$28)),SUMPRODUCT(PRODUCT(1+M12:$M$27))),4)</f>
        <v>0.99129999999999996</v>
      </c>
      <c r="U12" s="3276">
        <f>ROUND(IF(项目基本情况!$B$8="出让",SUMPRODUCT(PRODUCT(1+N12:$N$28)),SUMPRODUCT(PRODUCT(1+N12:$N$27))),4)</f>
        <v>1.0679000000000001</v>
      </c>
      <c r="V12" s="3276">
        <f>ROUND(IF(项目基本情况!$B$8="出让",SUMPRODUCT(PRODUCT(1+O12:$O$28)),SUMPRODUCT(PRODUCT(1+O12:$O$27))),4)</f>
        <v>1.0871999999999999</v>
      </c>
      <c r="W12" s="3276">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9">
        <f t="shared" si="67"/>
        <v>105.72</v>
      </c>
      <c r="AG12" s="3279">
        <f t="shared" si="68"/>
        <v>103.39</v>
      </c>
      <c r="AH12" s="3279">
        <f t="shared" si="69"/>
        <v>99.13</v>
      </c>
      <c r="AI12" s="3279">
        <f t="shared" si="70"/>
        <v>106.79</v>
      </c>
      <c r="AJ12" s="3279">
        <f t="shared" si="71"/>
        <v>108.72</v>
      </c>
      <c r="AK12" s="3279">
        <f t="shared" si="72"/>
        <v>99.13</v>
      </c>
      <c r="AM12" s="3279">
        <f t="shared" si="85"/>
        <v>100.40183323707308</v>
      </c>
      <c r="AN12" s="3279">
        <f t="shared" si="86"/>
        <v>100.84572858437082</v>
      </c>
      <c r="AO12" s="3279">
        <f t="shared" si="87"/>
        <v>101.89669488899423</v>
      </c>
      <c r="AP12" s="3279">
        <f t="shared" si="88"/>
        <v>100.3012558248826</v>
      </c>
      <c r="AQ12" s="3279">
        <f t="shared" si="89"/>
        <v>99.790372360589558</v>
      </c>
      <c r="AR12" s="3279">
        <f t="shared" si="90"/>
        <v>101.89669488899423</v>
      </c>
    </row>
    <row r="13" spans="1:44" s="1708" customFormat="1" ht="12.75">
      <c r="A13" s="1704" t="s">
        <v>3290</v>
      </c>
      <c r="B13" s="3258">
        <v>2024</v>
      </c>
      <c r="C13" s="3259">
        <v>4</v>
      </c>
      <c r="D13" s="3265">
        <v>-1.02</v>
      </c>
      <c r="E13" s="3265">
        <v>-0.48</v>
      </c>
      <c r="F13" s="3265">
        <v>-0.75</v>
      </c>
      <c r="G13" s="3265">
        <v>-1.05</v>
      </c>
      <c r="H13" s="3265">
        <v>0.08</v>
      </c>
      <c r="I13" s="3266">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6">
        <f>ROUND(IF(项目基本情况!$B$8="出让",SUMPRODUCT(PRODUCT(1+K13:$K$28)),SUMPRODUCT(PRODUCT(1+K13:$K$27))),4)</f>
        <v>1.0511999999999999</v>
      </c>
      <c r="S13" s="3276">
        <f>ROUND(IF(项目基本情况!$B$8="出让",SUMPRODUCT(PRODUCT(1+L13:$L$28)),SUMPRODUCT(PRODUCT(1+L13:$L$27))),4)</f>
        <v>1.0398000000000001</v>
      </c>
      <c r="T13" s="3276">
        <f>ROUND(IF(项目基本情况!$B$8="出让",SUMPRODUCT(PRODUCT(1+M13:$M$28)),SUMPRODUCT(PRODUCT(1+M13:$M$27))),4)</f>
        <v>1.0003</v>
      </c>
      <c r="U13" s="3276">
        <f>ROUND(IF(项目基本情况!$B$8="出让",SUMPRODUCT(PRODUCT(1+N13:$N$28)),SUMPRODUCT(PRODUCT(1+N13:$N$27))),4)</f>
        <v>1.0561</v>
      </c>
      <c r="V13" s="3276">
        <f>ROUND(IF(项目基本情况!$B$8="出让",SUMPRODUCT(PRODUCT(1+O13:$O$28)),SUMPRODUCT(PRODUCT(1+O13:$O$27))),4)</f>
        <v>1.0827</v>
      </c>
      <c r="W13" s="3276">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9">
        <f t="shared" si="67"/>
        <v>105.11999999999999</v>
      </c>
      <c r="AG13" s="3279">
        <f t="shared" si="68"/>
        <v>103.98</v>
      </c>
      <c r="AH13" s="3279">
        <f t="shared" si="69"/>
        <v>100.03</v>
      </c>
      <c r="AI13" s="3279">
        <f t="shared" si="70"/>
        <v>105.61</v>
      </c>
      <c r="AJ13" s="3279">
        <f t="shared" si="71"/>
        <v>108.27</v>
      </c>
      <c r="AK13" s="3279">
        <f t="shared" si="72"/>
        <v>100.03</v>
      </c>
      <c r="AM13" s="3279">
        <f t="shared" si="85"/>
        <v>99.832786354850427</v>
      </c>
      <c r="AN13" s="3279">
        <f t="shared" si="86"/>
        <v>101.42384449800947</v>
      </c>
      <c r="AO13" s="3279">
        <f t="shared" si="87"/>
        <v>102.82209373258752</v>
      </c>
      <c r="AP13" s="3279">
        <f t="shared" si="88"/>
        <v>99.190324193910797</v>
      </c>
      <c r="AQ13" s="3279">
        <f t="shared" si="89"/>
        <v>99.373005736496282</v>
      </c>
      <c r="AR13" s="3279">
        <f t="shared" si="90"/>
        <v>102.82209373258752</v>
      </c>
    </row>
    <row r="14" spans="1:44" s="1708" customFormat="1" ht="12.75">
      <c r="A14" s="1704" t="s">
        <v>3281</v>
      </c>
      <c r="B14" s="3258">
        <v>2024</v>
      </c>
      <c r="C14" s="3259">
        <v>3</v>
      </c>
      <c r="D14" s="3265">
        <v>-1.19</v>
      </c>
      <c r="E14" s="3265">
        <v>-0.47</v>
      </c>
      <c r="F14" s="3265">
        <v>-0.28999999999999998</v>
      </c>
      <c r="G14" s="3265">
        <v>-0.74</v>
      </c>
      <c r="H14" s="3265">
        <v>-0.21</v>
      </c>
      <c r="I14" s="3266">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6">
        <f>ROUND(IF(项目基本情况!$B$8="出让",SUMPRODUCT(PRODUCT(1+K14:$K$28)),SUMPRODUCT(PRODUCT(1+K14:$K$27))),4)</f>
        <v>1.0620000000000001</v>
      </c>
      <c r="S14" s="3276">
        <f>ROUND(IF(项目基本情况!$B$8="出让",SUMPRODUCT(PRODUCT(1+L14:$L$28)),SUMPRODUCT(PRODUCT(1+L14:$L$27))),4)</f>
        <v>1.0448</v>
      </c>
      <c r="T14" s="3276">
        <f>ROUND(IF(项目基本情况!$B$8="出让",SUMPRODUCT(PRODUCT(1+M14:$M$28)),SUMPRODUCT(PRODUCT(1+M14:$M$27))),4)</f>
        <v>1.0079</v>
      </c>
      <c r="U14" s="3276">
        <f>ROUND(IF(项目基本情况!$B$8="出让",SUMPRODUCT(PRODUCT(1+N14:$N$28)),SUMPRODUCT(PRODUCT(1+N14:$N$27))),4)</f>
        <v>1.0672999999999999</v>
      </c>
      <c r="V14" s="3276">
        <f>ROUND(IF(项目基本情况!$B$8="出让",SUMPRODUCT(PRODUCT(1+O14:$O$28)),SUMPRODUCT(PRODUCT(1+O14:$O$27))),4)</f>
        <v>1.0818000000000001</v>
      </c>
      <c r="W14" s="3276">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9">
        <f t="shared" si="67"/>
        <v>106.2</v>
      </c>
      <c r="AG14" s="3279">
        <f t="shared" si="68"/>
        <v>104.47999999999999</v>
      </c>
      <c r="AH14" s="3279">
        <f t="shared" si="69"/>
        <v>100.79</v>
      </c>
      <c r="AI14" s="3279">
        <f t="shared" si="70"/>
        <v>106.72999999999999</v>
      </c>
      <c r="AJ14" s="3279">
        <f t="shared" si="71"/>
        <v>108.18</v>
      </c>
      <c r="AK14" s="3279">
        <f t="shared" si="72"/>
        <v>100.79</v>
      </c>
      <c r="AM14" s="3279">
        <f t="shared" si="85"/>
        <v>100.86157441387192</v>
      </c>
      <c r="AN14" s="3279">
        <f t="shared" si="86"/>
        <v>101.91302702774264</v>
      </c>
      <c r="AO14" s="3279">
        <f t="shared" si="87"/>
        <v>103.59908688421916</v>
      </c>
      <c r="AP14" s="3279">
        <f t="shared" si="88"/>
        <v>100.24287437484668</v>
      </c>
      <c r="AQ14" s="3279">
        <f t="shared" si="89"/>
        <v>99.293570879792455</v>
      </c>
      <c r="AR14" s="3279">
        <f t="shared" si="90"/>
        <v>103.59908688421916</v>
      </c>
    </row>
    <row r="15" spans="1:44" s="1708" customFormat="1" ht="12.75">
      <c r="A15" s="2406" t="s">
        <v>3275</v>
      </c>
      <c r="B15" s="3258">
        <v>2024</v>
      </c>
      <c r="C15" s="3259">
        <v>2</v>
      </c>
      <c r="D15" s="3265">
        <v>-0.59</v>
      </c>
      <c r="E15" s="3265">
        <v>-0.21</v>
      </c>
      <c r="F15" s="3265">
        <v>-1.38</v>
      </c>
      <c r="G15" s="3265">
        <v>-1.24</v>
      </c>
      <c r="H15" s="3270">
        <v>0.34</v>
      </c>
      <c r="I15" s="3266">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6">
        <f>ROUND(IF(项目基本情况!$B$8="出让",SUMPRODUCT(PRODUCT(1+K15:$K$28)),SUMPRODUCT(PRODUCT(1+K15:$K$27))),4)</f>
        <v>1.0748</v>
      </c>
      <c r="S15" s="3276">
        <f>ROUND(IF(项目基本情况!$B$8="出让",SUMPRODUCT(PRODUCT(1+L15:$L$28)),SUMPRODUCT(PRODUCT(1+L15:$L$27))),4)</f>
        <v>1.0498000000000001</v>
      </c>
      <c r="T15" s="3276">
        <f>ROUND(IF(项目基本情况!$B$8="出让",SUMPRODUCT(PRODUCT(1+M15:$M$28)),SUMPRODUCT(PRODUCT(1+M15:$M$27))),4)</f>
        <v>1.0107999999999999</v>
      </c>
      <c r="U15" s="3276">
        <f>ROUND(IF(项目基本情况!$B$8="出让",SUMPRODUCT(PRODUCT(1+N15:$N$28)),SUMPRODUCT(PRODUCT(1+N15:$N$27))),4)</f>
        <v>1.0752999999999999</v>
      </c>
      <c r="V15" s="3276">
        <f>ROUND(IF(项目基本情况!$B$8="出让",SUMPRODUCT(PRODUCT(1+O15:$O$28)),SUMPRODUCT(PRODUCT(1+O15:$O$27))),4)</f>
        <v>1.0841000000000001</v>
      </c>
      <c r="W15" s="3276">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9">
        <f t="shared" si="67"/>
        <v>107.48</v>
      </c>
      <c r="AG15" s="3279">
        <f t="shared" si="68"/>
        <v>104.98</v>
      </c>
      <c r="AH15" s="3279">
        <f t="shared" si="69"/>
        <v>101.08</v>
      </c>
      <c r="AI15" s="3279">
        <f t="shared" si="70"/>
        <v>107.52999999999999</v>
      </c>
      <c r="AJ15" s="3279">
        <f t="shared" si="71"/>
        <v>108.41000000000001</v>
      </c>
      <c r="AK15" s="3279">
        <f t="shared" si="72"/>
        <v>101.08</v>
      </c>
      <c r="AM15" s="3279">
        <f t="shared" si="85"/>
        <v>102.07628217171533</v>
      </c>
      <c r="AN15" s="3279">
        <f t="shared" si="86"/>
        <v>102.39428014442143</v>
      </c>
      <c r="AO15" s="3279">
        <f t="shared" si="87"/>
        <v>103.90039803853091</v>
      </c>
      <c r="AP15" s="3279">
        <f t="shared" si="88"/>
        <v>100.99020186867487</v>
      </c>
      <c r="AQ15" s="3279">
        <f t="shared" si="89"/>
        <v>99.502526184780493</v>
      </c>
      <c r="AR15" s="3279">
        <f t="shared" si="90"/>
        <v>103.90039803853091</v>
      </c>
    </row>
    <row r="16" spans="1:44" s="1708" customFormat="1" ht="12.75">
      <c r="A16" s="2406" t="s">
        <v>3274</v>
      </c>
      <c r="B16" s="3258">
        <v>2024</v>
      </c>
      <c r="C16" s="3259">
        <v>1</v>
      </c>
      <c r="D16" s="3265">
        <v>0.08</v>
      </c>
      <c r="E16" s="3265">
        <v>0.46</v>
      </c>
      <c r="F16" s="3265">
        <v>-0.16</v>
      </c>
      <c r="G16" s="3265">
        <v>0.26</v>
      </c>
      <c r="H16" s="3270">
        <v>0.59</v>
      </c>
      <c r="I16" s="3266">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6">
        <f>ROUND(IF(项目基本情况!$B$8="出让",SUMPRODUCT(PRODUCT(1+K16:$K$28)),SUMPRODUCT(PRODUCT(1+K16:$K$27))),4)</f>
        <v>1.0811999999999999</v>
      </c>
      <c r="S16" s="3276">
        <f>ROUND(IF(项目基本情况!$B$8="出让",SUMPRODUCT(PRODUCT(1+L16:$L$28)),SUMPRODUCT(PRODUCT(1+L16:$L$27))),4)</f>
        <v>1.052</v>
      </c>
      <c r="T16" s="3276">
        <f>ROUND(IF(项目基本情况!$B$8="出让",SUMPRODUCT(PRODUCT(1+M16:$M$28)),SUMPRODUCT(PRODUCT(1+M16:$M$27))),4)</f>
        <v>1.0249999999999999</v>
      </c>
      <c r="U16" s="3276">
        <f>ROUND(IF(项目基本情况!$B$8="出让",SUMPRODUCT(PRODUCT(1+N16:$N$28)),SUMPRODUCT(PRODUCT(1+N16:$N$27))),4)</f>
        <v>1.0888</v>
      </c>
      <c r="V16" s="3276">
        <f>ROUND(IF(项目基本情况!$B$8="出让",SUMPRODUCT(PRODUCT(1+O16:$O$28)),SUMPRODUCT(PRODUCT(1+O16:$O$27))),4)</f>
        <v>1.0804</v>
      </c>
      <c r="W16" s="3276">
        <f t="shared" ref="W16" si="134">T16</f>
        <v>1.0249999999999999</v>
      </c>
      <c r="X16" s="2408"/>
      <c r="Y16" s="1696"/>
      <c r="Z16" s="1696"/>
      <c r="AA16" s="1696"/>
      <c r="AB16" s="1696"/>
      <c r="AC16" s="1696"/>
      <c r="AD16" s="1696"/>
      <c r="AF16" s="3279">
        <f t="shared" si="67"/>
        <v>108.11999999999999</v>
      </c>
      <c r="AG16" s="3279">
        <f t="shared" si="68"/>
        <v>105.2</v>
      </c>
      <c r="AH16" s="3279">
        <f t="shared" si="69"/>
        <v>102.49999999999999</v>
      </c>
      <c r="AI16" s="3279">
        <f t="shared" si="70"/>
        <v>108.88</v>
      </c>
      <c r="AJ16" s="3279">
        <f t="shared" si="71"/>
        <v>108.04</v>
      </c>
      <c r="AK16" s="3279">
        <f t="shared" si="72"/>
        <v>102.49999999999999</v>
      </c>
      <c r="AM16" s="3279">
        <f t="shared" si="85"/>
        <v>102.68210660065922</v>
      </c>
      <c r="AN16" s="3279">
        <f t="shared" si="86"/>
        <v>102.60976064176914</v>
      </c>
      <c r="AO16" s="3279">
        <f t="shared" si="87"/>
        <v>105.35428720191737</v>
      </c>
      <c r="AP16" s="3279">
        <f t="shared" si="88"/>
        <v>102.25820359323093</v>
      </c>
      <c r="AQ16" s="3279">
        <f t="shared" si="89"/>
        <v>99.165363947359467</v>
      </c>
      <c r="AR16" s="3279">
        <f t="shared" si="90"/>
        <v>105.35428720191737</v>
      </c>
    </row>
    <row r="17" spans="1:44" s="1708" customFormat="1" ht="12.75">
      <c r="A17" s="2406" t="s">
        <v>3270</v>
      </c>
      <c r="B17" s="3258">
        <v>2023</v>
      </c>
      <c r="C17" s="3259">
        <v>4</v>
      </c>
      <c r="D17" s="3265">
        <v>0.19</v>
      </c>
      <c r="E17" s="3265">
        <v>0.24</v>
      </c>
      <c r="F17" s="3265">
        <v>-0.16</v>
      </c>
      <c r="G17" s="3265">
        <v>0.17</v>
      </c>
      <c r="H17" s="3270">
        <v>0.61</v>
      </c>
      <c r="I17" s="3266">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6">
        <f>ROUND(IF(项目基本情况!$B$8="出让",SUMPRODUCT(PRODUCT(1+K17:$K$28)),SUMPRODUCT(PRODUCT(1+K17:$K$27))),4)</f>
        <v>1.0804</v>
      </c>
      <c r="S17" s="3276">
        <f>ROUND(IF(项目基本情况!$B$8="出让",SUMPRODUCT(PRODUCT(1+L17:$L$28)),SUMPRODUCT(PRODUCT(1+L17:$L$27))),4)</f>
        <v>1.0471999999999999</v>
      </c>
      <c r="T17" s="3276">
        <f>ROUND(IF(项目基本情况!$B$8="出让",SUMPRODUCT(PRODUCT(1+M17:$M$28)),SUMPRODUCT(PRODUCT(1+M17:$M$27))),4)</f>
        <v>1.0266</v>
      </c>
      <c r="U17" s="3276">
        <f>ROUND(IF(项目基本情况!$B$8="出让",SUMPRODUCT(PRODUCT(1+N17:$N$28)),SUMPRODUCT(PRODUCT(1+N17:$N$27))),4)</f>
        <v>1.0859000000000001</v>
      </c>
      <c r="V17" s="3276">
        <f>ROUND(IF(项目基本情况!$B$8="出让",SUMPRODUCT(PRODUCT(1+O17:$O$28)),SUMPRODUCT(PRODUCT(1+O17:$O$27))),4)</f>
        <v>1.0741000000000001</v>
      </c>
      <c r="W17" s="3276">
        <f t="shared" ref="W17" si="136">T17</f>
        <v>1.0266</v>
      </c>
      <c r="X17" s="2408"/>
      <c r="Y17" s="1696"/>
      <c r="Z17" s="1696"/>
      <c r="AA17" s="1696"/>
      <c r="AB17" s="1696"/>
      <c r="AC17" s="1696"/>
      <c r="AD17" s="1696"/>
      <c r="AF17" s="3279">
        <f t="shared" si="67"/>
        <v>108.04</v>
      </c>
      <c r="AG17" s="3279">
        <f t="shared" si="68"/>
        <v>104.71999999999998</v>
      </c>
      <c r="AH17" s="3279">
        <f t="shared" si="69"/>
        <v>102.66</v>
      </c>
      <c r="AI17" s="3279">
        <f t="shared" si="70"/>
        <v>108.59</v>
      </c>
      <c r="AJ17" s="3279">
        <f t="shared" si="71"/>
        <v>107.41000000000001</v>
      </c>
      <c r="AK17" s="3279">
        <f t="shared" si="72"/>
        <v>102.66</v>
      </c>
      <c r="AM17" s="3279">
        <f t="shared" si="85"/>
        <v>102.60002657939572</v>
      </c>
      <c r="AN17" s="3279">
        <f t="shared" si="86"/>
        <v>102.13991702346122</v>
      </c>
      <c r="AO17" s="3279">
        <f t="shared" si="87"/>
        <v>105.52312420063839</v>
      </c>
      <c r="AP17" s="3279">
        <f t="shared" si="88"/>
        <v>101.99302173671548</v>
      </c>
      <c r="AQ17" s="3279">
        <f t="shared" si="89"/>
        <v>98.583719999363225</v>
      </c>
      <c r="AR17" s="3279">
        <f t="shared" si="90"/>
        <v>105.52312420063839</v>
      </c>
    </row>
    <row r="18" spans="1:44" s="1708" customFormat="1" ht="12.75">
      <c r="A18" s="2406" t="s">
        <v>3269</v>
      </c>
      <c r="B18" s="3258">
        <v>2023</v>
      </c>
      <c r="C18" s="3259">
        <v>3</v>
      </c>
      <c r="D18" s="3265">
        <v>0.25</v>
      </c>
      <c r="E18" s="3265">
        <v>0.5</v>
      </c>
      <c r="F18" s="3265">
        <v>0.31</v>
      </c>
      <c r="G18" s="3265">
        <v>0.21</v>
      </c>
      <c r="H18" s="3270">
        <v>0.43</v>
      </c>
      <c r="I18" s="3266">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6">
        <f>ROUND(IF(项目基本情况!$B$8="出让",SUMPRODUCT(PRODUCT(1+K18:$K$28)),SUMPRODUCT(PRODUCT(1+K18:$K$27))),4)</f>
        <v>1.0783</v>
      </c>
      <c r="S18" s="3276">
        <f>ROUND(IF(项目基本情况!$B$8="出让",SUMPRODUCT(PRODUCT(1+L18:$L$28)),SUMPRODUCT(PRODUCT(1+L18:$L$27))),4)</f>
        <v>1.0447</v>
      </c>
      <c r="T18" s="3276">
        <f>ROUND(IF(项目基本情况!$B$8="出让",SUMPRODUCT(PRODUCT(1+M18:$M$28)),SUMPRODUCT(PRODUCT(1+M18:$M$27))),4)</f>
        <v>1.0282</v>
      </c>
      <c r="U18" s="3276">
        <f>ROUND(IF(项目基本情况!$B$8="出让",SUMPRODUCT(PRODUCT(1+N18:$N$28)),SUMPRODUCT(PRODUCT(1+N18:$N$27))),4)</f>
        <v>1.0841000000000001</v>
      </c>
      <c r="V18" s="3276">
        <f>ROUND(IF(项目基本情况!$B$8="出让",SUMPRODUCT(PRODUCT(1+O18:$O$28)),SUMPRODUCT(PRODUCT(1+O18:$O$27))),4)</f>
        <v>1.0674999999999999</v>
      </c>
      <c r="W18" s="3276">
        <f t="shared" ref="W18:W19" si="143">T18</f>
        <v>1.0282</v>
      </c>
      <c r="X18" s="2408"/>
      <c r="Y18" s="1696"/>
      <c r="Z18" s="1696"/>
      <c r="AA18" s="1696"/>
      <c r="AB18" s="1696"/>
      <c r="AC18" s="1696"/>
      <c r="AD18" s="1696"/>
      <c r="AF18" s="3279">
        <f t="shared" si="67"/>
        <v>107.83</v>
      </c>
      <c r="AG18" s="3279">
        <f t="shared" si="68"/>
        <v>104.47</v>
      </c>
      <c r="AH18" s="3279">
        <f t="shared" si="69"/>
        <v>102.82</v>
      </c>
      <c r="AI18" s="3279">
        <f t="shared" si="70"/>
        <v>108.41000000000001</v>
      </c>
      <c r="AJ18" s="3279">
        <f t="shared" si="71"/>
        <v>106.74999999999999</v>
      </c>
      <c r="AK18" s="3279">
        <f t="shared" si="72"/>
        <v>102.82</v>
      </c>
      <c r="AM18" s="3279">
        <f t="shared" si="85"/>
        <v>102.40545621259179</v>
      </c>
      <c r="AN18" s="3279">
        <f t="shared" si="86"/>
        <v>101.89536813992541</v>
      </c>
      <c r="AO18" s="3279">
        <f t="shared" si="87"/>
        <v>105.69223177147275</v>
      </c>
      <c r="AP18" s="3279">
        <f t="shared" si="88"/>
        <v>101.81992785935456</v>
      </c>
      <c r="AQ18" s="3279">
        <f t="shared" si="89"/>
        <v>97.986005366626799</v>
      </c>
      <c r="AR18" s="3279">
        <f t="shared" si="90"/>
        <v>105.69223177147275</v>
      </c>
    </row>
    <row r="19" spans="1:44" s="1708" customFormat="1" ht="12.75">
      <c r="A19" s="2406" t="s">
        <v>3267</v>
      </c>
      <c r="B19" s="3258">
        <v>2023</v>
      </c>
      <c r="C19" s="3259">
        <v>2</v>
      </c>
      <c r="D19" s="3265">
        <v>0.91</v>
      </c>
      <c r="E19" s="3265">
        <v>0.66</v>
      </c>
      <c r="F19" s="3265">
        <v>0.47</v>
      </c>
      <c r="G19" s="3265">
        <v>0.96</v>
      </c>
      <c r="H19" s="3270">
        <v>0.71</v>
      </c>
      <c r="I19" s="3266">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6">
        <f>ROUND(IF(项目基本情况!$B$8="出让",SUMPRODUCT(PRODUCT(1+K19:$K$28)),SUMPRODUCT(PRODUCT(1+K19:$K$27))),4)</f>
        <v>1.0755999999999999</v>
      </c>
      <c r="S19" s="3276">
        <f>ROUND(IF(项目基本情况!$B$8="出让",SUMPRODUCT(PRODUCT(1+L19:$L$28)),SUMPRODUCT(PRODUCT(1+L19:$L$27))),4)</f>
        <v>1.0395000000000001</v>
      </c>
      <c r="T19" s="3276">
        <f>ROUND(IF(项目基本情况!$B$8="出让",SUMPRODUCT(PRODUCT(1+M19:$M$28)),SUMPRODUCT(PRODUCT(1+M19:$M$27))),4)</f>
        <v>1.0250999999999999</v>
      </c>
      <c r="U19" s="3276">
        <f>ROUND(IF(项目基本情况!$B$8="出让",SUMPRODUCT(PRODUCT(1+N19:$N$28)),SUMPRODUCT(PRODUCT(1+N19:$N$27))),4)</f>
        <v>1.0818000000000001</v>
      </c>
      <c r="V19" s="3276">
        <f>ROUND(IF(项目基本情况!$B$8="出让",SUMPRODUCT(PRODUCT(1+O19:$O$28)),SUMPRODUCT(PRODUCT(1+O19:$O$27))),4)</f>
        <v>1.0629999999999999</v>
      </c>
      <c r="W19" s="3276">
        <f t="shared" si="143"/>
        <v>1.0250999999999999</v>
      </c>
      <c r="X19" s="2408"/>
      <c r="Y19" s="1696"/>
      <c r="Z19" s="1696"/>
      <c r="AA19" s="1696"/>
      <c r="AB19" s="1696"/>
      <c r="AC19" s="1696"/>
      <c r="AD19" s="1696"/>
      <c r="AF19" s="3279">
        <f t="shared" si="67"/>
        <v>107.55999999999999</v>
      </c>
      <c r="AG19" s="3279">
        <f t="shared" si="68"/>
        <v>103.95</v>
      </c>
      <c r="AH19" s="3279">
        <f t="shared" si="69"/>
        <v>102.50999999999999</v>
      </c>
      <c r="AI19" s="3279">
        <f t="shared" si="70"/>
        <v>108.18</v>
      </c>
      <c r="AJ19" s="3279">
        <f t="shared" si="71"/>
        <v>106.3</v>
      </c>
      <c r="AK19" s="3279">
        <f t="shared" si="72"/>
        <v>102.50999999999999</v>
      </c>
      <c r="AM19" s="3279">
        <f t="shared" si="85"/>
        <v>102.15008101006663</v>
      </c>
      <c r="AN19" s="3279">
        <f t="shared" si="86"/>
        <v>101.38842600987604</v>
      </c>
      <c r="AO19" s="3279">
        <f t="shared" si="87"/>
        <v>105.36559841638196</v>
      </c>
      <c r="AP19" s="3279">
        <f t="shared" si="88"/>
        <v>101.60655409575348</v>
      </c>
      <c r="AQ19" s="3279">
        <f t="shared" si="89"/>
        <v>97.56646954757224</v>
      </c>
      <c r="AR19" s="3279">
        <f t="shared" si="90"/>
        <v>105.36559841638196</v>
      </c>
    </row>
    <row r="20" spans="1:44" s="1708" customFormat="1" ht="12.75">
      <c r="A20" s="2406" t="s">
        <v>3266</v>
      </c>
      <c r="B20" s="3258">
        <v>2023</v>
      </c>
      <c r="C20" s="3259">
        <v>1</v>
      </c>
      <c r="D20" s="3265">
        <v>0.89</v>
      </c>
      <c r="E20" s="3265">
        <v>0.74</v>
      </c>
      <c r="F20" s="3265">
        <v>0.56999999999999995</v>
      </c>
      <c r="G20" s="3265">
        <v>0.92</v>
      </c>
      <c r="H20" s="3270">
        <v>0.5</v>
      </c>
      <c r="I20" s="3266">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6">
        <f>ROUND(IF(项目基本情况!$B$8="出让",SUMPRODUCT(PRODUCT(1+K20:$K$28)),SUMPRODUCT(PRODUCT(1+K20:$K$27))),4)</f>
        <v>1.0659000000000001</v>
      </c>
      <c r="S20" s="3276">
        <f>ROUND(IF(项目基本情况!$B$8="出让",SUMPRODUCT(PRODUCT(1+L20:$L$28)),SUMPRODUCT(PRODUCT(1+L20:$L$27))),4)</f>
        <v>1.0326</v>
      </c>
      <c r="T20" s="3276">
        <f>ROUND(IF(项目基本情况!$B$8="出让",SUMPRODUCT(PRODUCT(1+M20:$M$28)),SUMPRODUCT(PRODUCT(1+M20:$M$27))),4)</f>
        <v>1.0203</v>
      </c>
      <c r="U20" s="3276">
        <f>ROUND(IF(项目基本情况!$B$8="出让",SUMPRODUCT(PRODUCT(1+N20:$N$28)),SUMPRODUCT(PRODUCT(1+N20:$N$27))),4)</f>
        <v>1.0714999999999999</v>
      </c>
      <c r="V20" s="3276">
        <f>ROUND(IF(项目基本情况!$B$8="出让",SUMPRODUCT(PRODUCT(1+O20:$O$28)),SUMPRODUCT(PRODUCT(1+O20:$O$27))),4)</f>
        <v>1.0555000000000001</v>
      </c>
      <c r="W20" s="3276">
        <f t="shared" ref="W20:W27" si="144">T20</f>
        <v>1.0203</v>
      </c>
      <c r="X20" s="2408"/>
      <c r="Y20" s="1696"/>
      <c r="Z20" s="1696"/>
      <c r="AA20" s="1696"/>
      <c r="AB20" s="1696"/>
      <c r="AC20" s="1696"/>
      <c r="AD20" s="1696"/>
      <c r="AF20" s="3279">
        <f t="shared" si="67"/>
        <v>106.59</v>
      </c>
      <c r="AG20" s="3279">
        <f t="shared" si="68"/>
        <v>103.25999999999999</v>
      </c>
      <c r="AH20" s="3279">
        <f t="shared" si="69"/>
        <v>102.03</v>
      </c>
      <c r="AI20" s="3279">
        <f t="shared" si="70"/>
        <v>107.14999999999999</v>
      </c>
      <c r="AJ20" s="3279">
        <f t="shared" si="71"/>
        <v>105.55000000000001</v>
      </c>
      <c r="AK20" s="3279">
        <f t="shared" si="72"/>
        <v>102.03</v>
      </c>
      <c r="AM20" s="3279">
        <f t="shared" si="85"/>
        <v>101.22889803792152</v>
      </c>
      <c r="AN20" s="3279">
        <f t="shared" si="86"/>
        <v>100.7236499204014</v>
      </c>
      <c r="AO20" s="3279">
        <f t="shared" si="87"/>
        <v>104.87269674169599</v>
      </c>
      <c r="AP20" s="3279">
        <f t="shared" si="88"/>
        <v>100.6404061962693</v>
      </c>
      <c r="AQ20" s="3279">
        <f t="shared" si="89"/>
        <v>96.878631265586563</v>
      </c>
      <c r="AR20" s="3279">
        <f t="shared" si="90"/>
        <v>104.87269674169599</v>
      </c>
    </row>
    <row r="21" spans="1:44" s="1708" customFormat="1" ht="12.75">
      <c r="A21" s="2406" t="s">
        <v>3265</v>
      </c>
      <c r="B21" s="3258">
        <v>2022</v>
      </c>
      <c r="C21" s="3259">
        <v>4</v>
      </c>
      <c r="D21" s="3265">
        <v>0.62</v>
      </c>
      <c r="E21" s="3265">
        <v>0.2</v>
      </c>
      <c r="F21" s="3265">
        <v>0.11</v>
      </c>
      <c r="G21" s="3265">
        <v>0.69</v>
      </c>
      <c r="H21" s="3270">
        <v>0.53</v>
      </c>
      <c r="I21" s="3266">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6">
        <f>ROUND(IF(项目基本情况!$B$8="出让",SUMPRODUCT(PRODUCT(1+K21:$K$28)),SUMPRODUCT(PRODUCT(1+K21:$K$27))),4)</f>
        <v>1.0565</v>
      </c>
      <c r="S21" s="3276">
        <f>ROUND(IF(项目基本情况!$B$8="出让",SUMPRODUCT(PRODUCT(1+L21:$L$28)),SUMPRODUCT(PRODUCT(1+L21:$L$27))),4)</f>
        <v>1.0250999999999999</v>
      </c>
      <c r="T21" s="3276">
        <f>ROUND(IF(项目基本情况!$B$8="出让",SUMPRODUCT(PRODUCT(1+M21:$M$28)),SUMPRODUCT(PRODUCT(1+M21:$M$27))),4)</f>
        <v>1.0145</v>
      </c>
      <c r="U21" s="3276">
        <f>ROUND(IF(项目基本情况!$B$8="出让",SUMPRODUCT(PRODUCT(1+N21:$N$28)),SUMPRODUCT(PRODUCT(1+N21:$N$27))),4)</f>
        <v>1.0618000000000001</v>
      </c>
      <c r="V21" s="3276">
        <f>ROUND(IF(项目基本情况!$B$8="出让",SUMPRODUCT(PRODUCT(1+O21:$O$28)),SUMPRODUCT(PRODUCT(1+O21:$O$27))),4)</f>
        <v>1.0502</v>
      </c>
      <c r="W21" s="3276">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9">
        <f t="shared" si="67"/>
        <v>105.65</v>
      </c>
      <c r="AG21" s="3279">
        <f t="shared" si="68"/>
        <v>102.50999999999999</v>
      </c>
      <c r="AH21" s="3279">
        <f t="shared" si="69"/>
        <v>101.44999999999999</v>
      </c>
      <c r="AI21" s="3279">
        <f t="shared" si="70"/>
        <v>106.18</v>
      </c>
      <c r="AJ21" s="3279">
        <f t="shared" si="71"/>
        <v>105.02</v>
      </c>
      <c r="AK21" s="3279">
        <f t="shared" si="72"/>
        <v>101.44999999999999</v>
      </c>
      <c r="AM21" s="3279">
        <f t="shared" si="85"/>
        <v>100.33590845269256</v>
      </c>
      <c r="AN21" s="3279">
        <f t="shared" si="86"/>
        <v>99.98377002223684</v>
      </c>
      <c r="AO21" s="3279">
        <f t="shared" si="87"/>
        <v>104.27831037257232</v>
      </c>
      <c r="AP21" s="3279">
        <f t="shared" si="88"/>
        <v>99.722955010175667</v>
      </c>
      <c r="AQ21" s="3279">
        <f t="shared" si="89"/>
        <v>96.396648025459271</v>
      </c>
      <c r="AR21" s="3279">
        <f t="shared" si="90"/>
        <v>104.27831037257232</v>
      </c>
    </row>
    <row r="22" spans="1:44" s="1708" customFormat="1" ht="12.75">
      <c r="A22" s="2406" t="s">
        <v>3263</v>
      </c>
      <c r="B22" s="3258">
        <v>2022</v>
      </c>
      <c r="C22" s="3259">
        <v>3</v>
      </c>
      <c r="D22" s="3265">
        <v>0.66</v>
      </c>
      <c r="E22" s="3265">
        <v>0.32</v>
      </c>
      <c r="F22" s="3265">
        <v>0.23</v>
      </c>
      <c r="G22" s="3265">
        <v>0.72</v>
      </c>
      <c r="H22" s="3270">
        <v>0.63</v>
      </c>
      <c r="I22" s="3266">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6">
        <f>ROUND(IF(项目基本情况!$B$8="出让",SUMPRODUCT(PRODUCT(1+K22:$K$28)),SUMPRODUCT(PRODUCT(1+K22:$K$27))),4)</f>
        <v>1.05</v>
      </c>
      <c r="S22" s="3276">
        <f>ROUND(IF(项目基本情况!$B$8="出让",SUMPRODUCT(PRODUCT(1+L22:$L$28)),SUMPRODUCT(PRODUCT(1+L22:$L$27))),4)</f>
        <v>1.0229999999999999</v>
      </c>
      <c r="T22" s="3276">
        <f>ROUND(IF(项目基本情况!$B$8="出让",SUMPRODUCT(PRODUCT(1+M22:$M$28)),SUMPRODUCT(PRODUCT(1+M22:$M$27))),4)</f>
        <v>1.0134000000000001</v>
      </c>
      <c r="U22" s="3276">
        <f>ROUND(IF(项目基本情况!$B$8="出让",SUMPRODUCT(PRODUCT(1+N22:$N$28)),SUMPRODUCT(PRODUCT(1+N22:$N$27))),4)</f>
        <v>1.0545</v>
      </c>
      <c r="V22" s="3276">
        <f>ROUND(IF(项目基本情况!$B$8="出让",SUMPRODUCT(PRODUCT(1+O22:$O$28)),SUMPRODUCT(PRODUCT(1+O22:$O$27))),4)</f>
        <v>1.0447</v>
      </c>
      <c r="W22" s="3276">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9">
        <f t="shared" si="67"/>
        <v>105</v>
      </c>
      <c r="AG22" s="3279">
        <f t="shared" si="68"/>
        <v>102.3</v>
      </c>
      <c r="AH22" s="3279">
        <f t="shared" si="69"/>
        <v>101.34</v>
      </c>
      <c r="AI22" s="3279">
        <f t="shared" si="70"/>
        <v>105.45</v>
      </c>
      <c r="AJ22" s="3279">
        <f t="shared" si="71"/>
        <v>104.47</v>
      </c>
      <c r="AK22" s="3279">
        <f t="shared" si="72"/>
        <v>101.34</v>
      </c>
      <c r="AM22" s="3279">
        <f t="shared" si="85"/>
        <v>99.717658967096568</v>
      </c>
      <c r="AN22" s="3279">
        <f t="shared" si="86"/>
        <v>99.784201618998836</v>
      </c>
      <c r="AO22" s="3279">
        <f t="shared" si="87"/>
        <v>104.1637302692761</v>
      </c>
      <c r="AP22" s="3279">
        <f t="shared" si="88"/>
        <v>99.039581895099488</v>
      </c>
      <c r="AQ22" s="3279">
        <f t="shared" si="89"/>
        <v>95.888439297184192</v>
      </c>
      <c r="AR22" s="3279">
        <f t="shared" si="90"/>
        <v>104.1637302692761</v>
      </c>
    </row>
    <row r="23" spans="1:44" s="1708" customFormat="1" ht="12.75">
      <c r="A23" s="2406" t="s">
        <v>3254</v>
      </c>
      <c r="B23" s="3258">
        <v>2022</v>
      </c>
      <c r="C23" s="3259">
        <v>2</v>
      </c>
      <c r="D23" s="3265">
        <v>0.93</v>
      </c>
      <c r="E23" s="3265">
        <v>0.15</v>
      </c>
      <c r="F23" s="3265">
        <v>0.01</v>
      </c>
      <c r="G23" s="3265">
        <v>1.05</v>
      </c>
      <c r="H23" s="3270">
        <v>1.08</v>
      </c>
      <c r="I23" s="3266">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6">
        <f>ROUND(IF(项目基本情况!$B$8="出让",SUMPRODUCT(PRODUCT(1+K23:$K$28)),SUMPRODUCT(PRODUCT(1+K23:$K$27))),4)</f>
        <v>1.0430999999999999</v>
      </c>
      <c r="S23" s="3276">
        <f>ROUND(IF(项目基本情况!$B$8="出让",SUMPRODUCT(PRODUCT(1+L23:$L$28)),SUMPRODUCT(PRODUCT(1+L23:$L$27))),4)</f>
        <v>1.0197000000000001</v>
      </c>
      <c r="T23" s="3276">
        <f>ROUND(IF(项目基本情况!$B$8="出让",SUMPRODUCT(PRODUCT(1+M23:$M$28)),SUMPRODUCT(PRODUCT(1+M23:$M$27))),4)</f>
        <v>1.0109999999999999</v>
      </c>
      <c r="U23" s="3276">
        <f>ROUND(IF(项目基本情况!$B$8="出让",SUMPRODUCT(PRODUCT(1+N23:$N$28)),SUMPRODUCT(PRODUCT(1+N23:$N$27))),4)</f>
        <v>1.0468999999999999</v>
      </c>
      <c r="V23" s="3276">
        <f>ROUND(IF(项目基本情况!$B$8="出让",SUMPRODUCT(PRODUCT(1+O23:$O$28)),SUMPRODUCT(PRODUCT(1+O23:$O$27))),4)</f>
        <v>1.0382</v>
      </c>
      <c r="W23" s="3276">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9">
        <f t="shared" si="67"/>
        <v>104.30999999999999</v>
      </c>
      <c r="AG23" s="3279">
        <f t="shared" si="68"/>
        <v>101.97</v>
      </c>
      <c r="AH23" s="3279">
        <f t="shared" si="69"/>
        <v>101.1</v>
      </c>
      <c r="AI23" s="3279">
        <f t="shared" si="70"/>
        <v>104.69</v>
      </c>
      <c r="AJ23" s="3279">
        <f t="shared" si="71"/>
        <v>103.82000000000001</v>
      </c>
      <c r="AK23" s="3279">
        <f t="shared" si="72"/>
        <v>101.1</v>
      </c>
      <c r="AM23" s="3279">
        <f t="shared" si="85"/>
        <v>99.063837638681278</v>
      </c>
      <c r="AN23" s="3279">
        <f t="shared" si="86"/>
        <v>99.465910704743649</v>
      </c>
      <c r="AO23" s="3279">
        <f t="shared" si="87"/>
        <v>103.92470345133803</v>
      </c>
      <c r="AP23" s="3279">
        <f t="shared" si="88"/>
        <v>98.331594415309254</v>
      </c>
      <c r="AQ23" s="3279">
        <f t="shared" si="89"/>
        <v>95.288124115258071</v>
      </c>
      <c r="AR23" s="3279">
        <f t="shared" si="90"/>
        <v>103.92470345133803</v>
      </c>
    </row>
    <row r="24" spans="1:44" s="1708" customFormat="1" ht="12.75">
      <c r="A24" s="2406" t="s">
        <v>2722</v>
      </c>
      <c r="B24" s="3258">
        <v>2022</v>
      </c>
      <c r="C24" s="3259">
        <v>1</v>
      </c>
      <c r="D24" s="3265">
        <v>0.89</v>
      </c>
      <c r="E24" s="3265">
        <v>0.44</v>
      </c>
      <c r="F24" s="3265">
        <v>0.37</v>
      </c>
      <c r="G24" s="3265">
        <v>0.96</v>
      </c>
      <c r="H24" s="3270">
        <v>0.64</v>
      </c>
      <c r="I24" s="3266">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6">
        <f>ROUND(IF(项目基本情况!$B$8="出让",SUMPRODUCT(PRODUCT(1+K24:$K$28)),SUMPRODUCT(PRODUCT(1+K24:$K$27))),4)</f>
        <v>1.0335000000000001</v>
      </c>
      <c r="S24" s="3276">
        <f>ROUND(IF(项目基本情况!$B$8="出让",SUMPRODUCT(PRODUCT(1+L24:$L$28)),SUMPRODUCT(PRODUCT(1+L24:$L$27))),4)</f>
        <v>1.0182</v>
      </c>
      <c r="T24" s="3276">
        <f>ROUND(IF(项目基本情况!$B$8="出让",SUMPRODUCT(PRODUCT(1+M24:$M$28)),SUMPRODUCT(PRODUCT(1+M24:$M$27))),4)</f>
        <v>1.0108999999999999</v>
      </c>
      <c r="U24" s="3276">
        <f>ROUND(IF(项目基本情况!$B$8="出让",SUMPRODUCT(PRODUCT(1+N24:$N$28)),SUMPRODUCT(PRODUCT(1+N24:$N$27))),4)</f>
        <v>1.0361</v>
      </c>
      <c r="V24" s="3276">
        <f>ROUND(IF(项目基本情况!$B$8="出让",SUMPRODUCT(PRODUCT(1+O24:$O$28)),SUMPRODUCT(PRODUCT(1+O24:$O$27))),4)</f>
        <v>1.0270999999999999</v>
      </c>
      <c r="W24" s="3276">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9">
        <f t="shared" si="67"/>
        <v>103.35000000000001</v>
      </c>
      <c r="AG24" s="3279">
        <f t="shared" si="68"/>
        <v>101.82</v>
      </c>
      <c r="AH24" s="3279">
        <f t="shared" si="69"/>
        <v>101.08999999999999</v>
      </c>
      <c r="AI24" s="3279">
        <f t="shared" si="70"/>
        <v>103.61</v>
      </c>
      <c r="AJ24" s="3279">
        <f t="shared" si="71"/>
        <v>102.71</v>
      </c>
      <c r="AK24" s="3279">
        <f t="shared" si="72"/>
        <v>101.08999999999999</v>
      </c>
      <c r="AM24" s="3279">
        <f t="shared" si="85"/>
        <v>98.151033031488424</v>
      </c>
      <c r="AN24" s="3279">
        <f t="shared" si="86"/>
        <v>99.316935301790963</v>
      </c>
      <c r="AO24" s="3279">
        <f t="shared" si="87"/>
        <v>103.91431202013602</v>
      </c>
      <c r="AP24" s="3279">
        <f t="shared" si="88"/>
        <v>97.309841083928021</v>
      </c>
      <c r="AQ24" s="3279">
        <f t="shared" si="89"/>
        <v>94.270008028549739</v>
      </c>
      <c r="AR24" s="3279">
        <f t="shared" si="90"/>
        <v>103.91431202013602</v>
      </c>
    </row>
    <row r="25" spans="1:44" s="1708" customFormat="1" ht="12.75">
      <c r="A25" s="2406" t="s">
        <v>2723</v>
      </c>
      <c r="B25" s="3258">
        <v>2021</v>
      </c>
      <c r="C25" s="3259">
        <v>4</v>
      </c>
      <c r="D25" s="3265">
        <v>1.03</v>
      </c>
      <c r="E25" s="3265">
        <v>0.24</v>
      </c>
      <c r="F25" s="3265">
        <v>7.0000000000000007E-2</v>
      </c>
      <c r="G25" s="3265">
        <v>1.17</v>
      </c>
      <c r="H25" s="3270">
        <v>0.55000000000000004</v>
      </c>
      <c r="I25" s="3266">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6">
        <f>ROUND(IF(项目基本情况!$B$8="出让",SUMPRODUCT(PRODUCT(1+K25:$K$28)),SUMPRODUCT(PRODUCT(1+K25:$K$27))),4)</f>
        <v>1.0244</v>
      </c>
      <c r="S25" s="3276">
        <f>ROUND(IF(项目基本情况!$B$8="出让",SUMPRODUCT(PRODUCT(1+L25:$L$28)),SUMPRODUCT(PRODUCT(1+L25:$L$27))),4)</f>
        <v>1.0138</v>
      </c>
      <c r="T25" s="3276">
        <f>ROUND(IF(项目基本情况!$B$8="出让",SUMPRODUCT(PRODUCT(1+M25:$M$28)),SUMPRODUCT(PRODUCT(1+M25:$M$27))),4)</f>
        <v>1.0072000000000001</v>
      </c>
      <c r="U25" s="3276">
        <f>ROUND(IF(项目基本情况!$B$8="出让",SUMPRODUCT(PRODUCT(1+N25:$N$28)),SUMPRODUCT(PRODUCT(1+N25:$N$27))),4)</f>
        <v>1.0262</v>
      </c>
      <c r="V25" s="3276">
        <f>ROUND(IF(项目基本情况!$B$8="出让",SUMPRODUCT(PRODUCT(1+O25:$O$28)),SUMPRODUCT(PRODUCT(1+O25:$O$27))),4)</f>
        <v>1.0205</v>
      </c>
      <c r="W25" s="3276">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9">
        <f t="shared" si="67"/>
        <v>102.44</v>
      </c>
      <c r="AG25" s="3279">
        <f t="shared" si="68"/>
        <v>101.38000000000001</v>
      </c>
      <c r="AH25" s="3279">
        <f t="shared" si="69"/>
        <v>100.72000000000001</v>
      </c>
      <c r="AI25" s="3279">
        <f t="shared" si="70"/>
        <v>102.62</v>
      </c>
      <c r="AJ25" s="3279">
        <f t="shared" si="71"/>
        <v>102.05</v>
      </c>
      <c r="AK25" s="3279">
        <f t="shared" si="72"/>
        <v>100.72000000000001</v>
      </c>
      <c r="AM25" s="3279">
        <f t="shared" si="85"/>
        <v>97.285194797788122</v>
      </c>
      <c r="AN25" s="3279">
        <f t="shared" si="86"/>
        <v>98.881855139178583</v>
      </c>
      <c r="AO25" s="3279">
        <f t="shared" si="87"/>
        <v>103.53124640842485</v>
      </c>
      <c r="AP25" s="3279">
        <f t="shared" si="88"/>
        <v>96.384549409595891</v>
      </c>
      <c r="AQ25" s="3279">
        <f t="shared" si="89"/>
        <v>93.670516721531939</v>
      </c>
      <c r="AR25" s="3279">
        <f t="shared" si="90"/>
        <v>103.53124640842485</v>
      </c>
    </row>
    <row r="26" spans="1:44" s="1708" customFormat="1" ht="12.75">
      <c r="A26" s="2406" t="s">
        <v>2724</v>
      </c>
      <c r="B26" s="3258">
        <v>2021</v>
      </c>
      <c r="C26" s="3259">
        <v>3</v>
      </c>
      <c r="D26" s="3265">
        <v>0.47</v>
      </c>
      <c r="E26" s="3265">
        <v>0.41</v>
      </c>
      <c r="F26" s="3265">
        <v>0.24</v>
      </c>
      <c r="G26" s="3265">
        <v>0.48</v>
      </c>
      <c r="H26" s="3270">
        <v>0.48</v>
      </c>
      <c r="I26" s="3266">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6">
        <f>ROUND(IF(项目基本情况!$B$8="出让",SUMPRODUCT(PRODUCT(1+K26:$K$28)),SUMPRODUCT(PRODUCT(1+K26:$K$27))),4)</f>
        <v>1.0139</v>
      </c>
      <c r="S26" s="3276">
        <f>ROUND(IF(项目基本情况!$B$8="出让",SUMPRODUCT(PRODUCT(1+L26:$L$28)),SUMPRODUCT(PRODUCT(1+L26:$L$27))),4)</f>
        <v>1.0113000000000001</v>
      </c>
      <c r="T26" s="3276">
        <f>ROUND(IF(项目基本情况!$B$8="出让",SUMPRODUCT(PRODUCT(1+M26:$M$28)),SUMPRODUCT(PRODUCT(1+M26:$M$27))),4)</f>
        <v>1.0065</v>
      </c>
      <c r="U26" s="3276">
        <f>ROUND(IF(项目基本情况!$B$8="出让",SUMPRODUCT(PRODUCT(1+N26:$N$28)),SUMPRODUCT(PRODUCT(1+N26:$N$27))),4)</f>
        <v>1.0143</v>
      </c>
      <c r="V26" s="3276">
        <f>ROUND(IF(项目基本情况!$B$8="出让",SUMPRODUCT(PRODUCT(1+O26:$O$28)),SUMPRODUCT(PRODUCT(1+O26:$O$27))),4)</f>
        <v>1.0148999999999999</v>
      </c>
      <c r="W26" s="3276">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9">
        <f t="shared" si="67"/>
        <v>101.39</v>
      </c>
      <c r="AG26" s="3279">
        <f t="shared" si="68"/>
        <v>101.13000000000001</v>
      </c>
      <c r="AH26" s="3279">
        <f t="shared" si="69"/>
        <v>100.64999999999999</v>
      </c>
      <c r="AI26" s="3279">
        <f t="shared" si="70"/>
        <v>101.42999999999999</v>
      </c>
      <c r="AJ26" s="3279">
        <f t="shared" si="71"/>
        <v>101.49</v>
      </c>
      <c r="AK26" s="3279">
        <f t="shared" si="72"/>
        <v>100.64999999999999</v>
      </c>
      <c r="AM26" s="3279">
        <f t="shared" si="85"/>
        <v>96.293373055318341</v>
      </c>
      <c r="AN26" s="3279">
        <f t="shared" si="86"/>
        <v>98.645106882660201</v>
      </c>
      <c r="AO26" s="3279">
        <f t="shared" si="87"/>
        <v>103.45882523076332</v>
      </c>
      <c r="AP26" s="3279">
        <f t="shared" si="88"/>
        <v>95.269891676975277</v>
      </c>
      <c r="AQ26" s="3279">
        <f t="shared" si="89"/>
        <v>93.158146913507636</v>
      </c>
      <c r="AR26" s="3279">
        <f t="shared" si="90"/>
        <v>103.45882523076332</v>
      </c>
    </row>
    <row r="27" spans="1:44" s="1708" customFormat="1" ht="12.75">
      <c r="A27" s="2406" t="s">
        <v>2725</v>
      </c>
      <c r="B27" s="3258">
        <v>2021</v>
      </c>
      <c r="C27" s="3259">
        <v>2</v>
      </c>
      <c r="D27" s="3265">
        <v>0.92</v>
      </c>
      <c r="E27" s="3265">
        <v>0.72</v>
      </c>
      <c r="F27" s="3265">
        <v>0.41</v>
      </c>
      <c r="G27" s="3265">
        <v>0.95</v>
      </c>
      <c r="H27" s="3270">
        <v>1.01</v>
      </c>
      <c r="I27" s="3266">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6">
        <f>ROUND(IF(项目基本情况!$B$8="出让",SUMPRODUCT(PRODUCT(1+K27:$K$28)),SUMPRODUCT(PRODUCT(1+K27:$K$27))),4)</f>
        <v>1.0092000000000001</v>
      </c>
      <c r="S27" s="3276">
        <f>ROUND(IF(项目基本情况!$B$8="出让",SUMPRODUCT(PRODUCT(1+L27:$L$28)),SUMPRODUCT(PRODUCT(1+L27:$L$27))),4)</f>
        <v>1.0072000000000001</v>
      </c>
      <c r="T27" s="3276">
        <f>ROUND(IF(项目基本情况!$B$8="出让",SUMPRODUCT(PRODUCT(1+M27:$M$28)),SUMPRODUCT(PRODUCT(1+M27:$M$27))),4)</f>
        <v>1.0041</v>
      </c>
      <c r="U27" s="3276">
        <f>ROUND(IF(项目基本情况!$B$8="出让",SUMPRODUCT(PRODUCT(1+N27:$N$28)),SUMPRODUCT(PRODUCT(1+N27:$N$27))),4)</f>
        <v>1.0095000000000001</v>
      </c>
      <c r="V27" s="3276">
        <f>ROUND(IF(项目基本情况!$B$8="出让",SUMPRODUCT(PRODUCT(1+O27:$O$28)),SUMPRODUCT(PRODUCT(1+O27:$O$27))),4)</f>
        <v>1.0101</v>
      </c>
      <c r="W27" s="3276">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9">
        <f t="shared" si="67"/>
        <v>100.92000000000002</v>
      </c>
      <c r="AG27" s="3279">
        <f t="shared" si="68"/>
        <v>100.72000000000001</v>
      </c>
      <c r="AH27" s="3279">
        <f t="shared" si="69"/>
        <v>100.41</v>
      </c>
      <c r="AI27" s="3279">
        <f t="shared" si="70"/>
        <v>100.95</v>
      </c>
      <c r="AJ27" s="3279">
        <f t="shared" si="71"/>
        <v>101.01</v>
      </c>
      <c r="AK27" s="3279">
        <f t="shared" si="72"/>
        <v>100.41</v>
      </c>
      <c r="AM27" s="3279">
        <f t="shared" si="85"/>
        <v>95.842911371870557</v>
      </c>
      <c r="AN27" s="3279">
        <f t="shared" si="86"/>
        <v>98.242313397729504</v>
      </c>
      <c r="AO27" s="3279">
        <f t="shared" si="87"/>
        <v>103.21111854625232</v>
      </c>
      <c r="AP27" s="3279">
        <f t="shared" si="88"/>
        <v>94.81478072947381</v>
      </c>
      <c r="AQ27" s="3279">
        <f t="shared" si="89"/>
        <v>92.713123918697889</v>
      </c>
      <c r="AR27" s="3279">
        <f t="shared" si="90"/>
        <v>103.21111854625232</v>
      </c>
    </row>
    <row r="28" spans="1:44" s="2421" customFormat="1" ht="14.25" thickBot="1">
      <c r="A28" s="2415" t="s">
        <v>2726</v>
      </c>
      <c r="B28" s="3262">
        <v>2021</v>
      </c>
      <c r="C28" s="3263">
        <v>1</v>
      </c>
      <c r="D28" s="3271">
        <v>0.97</v>
      </c>
      <c r="E28" s="3271">
        <v>0.16</v>
      </c>
      <c r="F28" s="3271">
        <v>-0.25</v>
      </c>
      <c r="G28" s="3271">
        <v>1.1100000000000001</v>
      </c>
      <c r="H28" s="3272">
        <v>0.36</v>
      </c>
      <c r="I28" s="3273">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8">
        <v>1</v>
      </c>
      <c r="S28" s="3278">
        <v>1</v>
      </c>
      <c r="T28" s="3278">
        <v>1</v>
      </c>
      <c r="U28" s="3278">
        <v>1</v>
      </c>
      <c r="V28" s="3278">
        <v>1</v>
      </c>
      <c r="W28" s="3278">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1">
        <v>100</v>
      </c>
      <c r="AG28" s="3281">
        <v>100</v>
      </c>
      <c r="AH28" s="3281">
        <v>100</v>
      </c>
      <c r="AI28" s="3281">
        <v>100</v>
      </c>
      <c r="AJ28" s="3281">
        <v>100</v>
      </c>
      <c r="AK28" s="3281">
        <v>100</v>
      </c>
      <c r="AM28" s="3283">
        <f t="shared" si="85"/>
        <v>94.969194779895503</v>
      </c>
      <c r="AN28" s="3283">
        <f t="shared" si="86"/>
        <v>97.540025216173049</v>
      </c>
      <c r="AO28" s="3283">
        <f t="shared" si="87"/>
        <v>102.78968085474786</v>
      </c>
      <c r="AP28" s="3283">
        <f t="shared" si="88"/>
        <v>93.922516819686777</v>
      </c>
      <c r="AQ28" s="3283">
        <f t="shared" si="89"/>
        <v>91.78608446559538</v>
      </c>
      <c r="AR28" s="3283">
        <f t="shared" si="90"/>
        <v>102.78968085474786</v>
      </c>
    </row>
    <row r="29" spans="1:44" ht="14.25" thickTop="1"/>
    <row r="30" spans="1:44">
      <c r="A30" s="2624" t="s">
        <v>3280</v>
      </c>
    </row>
    <row r="31" spans="1:44">
      <c r="I31" s="1122" t="s">
        <v>2727</v>
      </c>
    </row>
    <row r="33" spans="1:44" s="1679" customFormat="1" ht="12.75">
      <c r="B33" s="2422" t="s">
        <v>3278</v>
      </c>
      <c r="C33" s="2423"/>
      <c r="D33" s="2423"/>
      <c r="E33" s="2423"/>
      <c r="F33" s="2423"/>
      <c r="G33" s="2423"/>
      <c r="H33" s="2423"/>
      <c r="I33" s="2423"/>
      <c r="J33" s="2397"/>
      <c r="K33" s="2423" t="s">
        <v>2728</v>
      </c>
      <c r="L33" s="2423"/>
      <c r="M33" s="2423"/>
      <c r="N33" s="2423"/>
      <c r="O33" s="2423"/>
      <c r="P33" s="2423"/>
      <c r="Q33" s="2397"/>
      <c r="R33" s="4597" t="s">
        <v>2729</v>
      </c>
      <c r="S33" s="4598"/>
      <c r="T33" s="4598"/>
      <c r="U33" s="4598"/>
      <c r="V33" s="4598"/>
      <c r="W33" s="4598"/>
      <c r="X33" s="2397"/>
      <c r="Y33" s="4597" t="s">
        <v>2730</v>
      </c>
      <c r="Z33" s="4598"/>
      <c r="AA33" s="4598"/>
      <c r="AB33" s="4598"/>
      <c r="AC33" s="4598"/>
      <c r="AD33" s="4598"/>
    </row>
    <row r="34" spans="1:44" s="1680" customFormat="1" ht="14.25" thickBot="1">
      <c r="B34" s="2383"/>
      <c r="C34" s="2384"/>
      <c r="D34" s="1681" t="s">
        <v>2731</v>
      </c>
      <c r="E34" s="1682" t="s">
        <v>2732</v>
      </c>
      <c r="F34" s="1682" t="s">
        <v>2733</v>
      </c>
      <c r="G34" s="1682" t="s">
        <v>2734</v>
      </c>
      <c r="H34" s="1682"/>
      <c r="I34" s="1682" t="s">
        <v>2735</v>
      </c>
      <c r="J34" s="2385"/>
      <c r="K34" s="1681" t="s">
        <v>2731</v>
      </c>
      <c r="L34" s="1682" t="s">
        <v>2732</v>
      </c>
      <c r="M34" s="1682" t="s">
        <v>2733</v>
      </c>
      <c r="N34" s="1682" t="s">
        <v>2734</v>
      </c>
      <c r="O34" s="1682"/>
      <c r="P34" s="1682" t="s">
        <v>2735</v>
      </c>
      <c r="Q34" s="2385"/>
      <c r="R34" s="1681" t="s">
        <v>2731</v>
      </c>
      <c r="S34" s="1682" t="s">
        <v>2732</v>
      </c>
      <c r="T34" s="1682" t="s">
        <v>2733</v>
      </c>
      <c r="U34" s="1682" t="s">
        <v>2734</v>
      </c>
      <c r="V34" s="1682"/>
      <c r="W34" s="1682" t="s">
        <v>2735</v>
      </c>
      <c r="X34" s="2385"/>
      <c r="Y34" s="1681" t="s">
        <v>2731</v>
      </c>
      <c r="Z34" s="1682" t="s">
        <v>2732</v>
      </c>
      <c r="AA34" s="1682" t="s">
        <v>2733</v>
      </c>
      <c r="AB34" s="1682" t="s">
        <v>2734</v>
      </c>
      <c r="AC34" s="1682"/>
      <c r="AD34" s="1682" t="s">
        <v>2735</v>
      </c>
      <c r="AG34" t="s">
        <v>660</v>
      </c>
      <c r="AH34" t="s">
        <v>19</v>
      </c>
      <c r="AI34" t="s">
        <v>3287</v>
      </c>
      <c r="AJ34"/>
      <c r="AK34" t="s">
        <v>3288</v>
      </c>
      <c r="AN34" t="s">
        <v>660</v>
      </c>
      <c r="AO34" t="s">
        <v>19</v>
      </c>
      <c r="AP34" t="s">
        <v>3287</v>
      </c>
      <c r="AQ34"/>
      <c r="AR34" t="s">
        <v>3288</v>
      </c>
    </row>
    <row r="35" spans="1:44" s="2388" customFormat="1" ht="12.75">
      <c r="A35" s="2386" t="s">
        <v>2736</v>
      </c>
      <c r="B35" s="2387"/>
      <c r="E35" s="3264">
        <f t="shared" ref="E35:G35" si="152">ROUND(AVERAGEIF(E36:E60,"&lt;&gt;0"),2)</f>
        <v>0.04</v>
      </c>
      <c r="F35" s="3264">
        <f t="shared" si="152"/>
        <v>-7.0000000000000007E-2</v>
      </c>
      <c r="G35" s="3264">
        <f t="shared" si="152"/>
        <v>0.2</v>
      </c>
      <c r="H35" s="3264"/>
      <c r="I35" s="3264">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5">
        <f>ROUND(SUMPRODUCT(PRODUCT(1+L36:L60)),4)</f>
        <v>1.0072000000000001</v>
      </c>
      <c r="T35" s="3275">
        <f t="shared" ref="T35:U35" si="154">ROUND(SUMPRODUCT(PRODUCT(1+M36:M60)),4)</f>
        <v>0.98699999999999999</v>
      </c>
      <c r="U35" s="3275">
        <f t="shared" si="154"/>
        <v>1.0375000000000001</v>
      </c>
      <c r="V35" s="3275"/>
      <c r="W35" s="3274">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3685</v>
      </c>
      <c r="B37" s="3258">
        <v>2026</v>
      </c>
      <c r="C37" s="3259">
        <v>4</v>
      </c>
      <c r="D37" s="2407"/>
      <c r="E37" s="3265">
        <v>0</v>
      </c>
      <c r="F37" s="3265">
        <v>0</v>
      </c>
      <c r="G37" s="3265">
        <v>0</v>
      </c>
      <c r="H37" s="3265"/>
      <c r="I37" s="3266">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6">
        <f>ROUND(IF(项目基本情况!$B$8="出让",SUMPRODUCT(PRODUCT(1+L37:L$60)),SUMPRODUCT(PRODUCT(1+L37:L$59))),4)</f>
        <v>1.0037</v>
      </c>
      <c r="T37" s="3276">
        <f>ROUND(IF(项目基本情况!$B$8="出让",SUMPRODUCT(PRODUCT(1+M37:M$60)),SUMPRODUCT(PRODUCT(1+M37:M$59))),4)</f>
        <v>0.98229999999999995</v>
      </c>
      <c r="U37" s="3276">
        <f>ROUND(IF(项目基本情况!$B$8="出让",SUMPRODUCT(PRODUCT(1+N37:N$60)),SUMPRODUCT(PRODUCT(1+N37:N$59))),4)</f>
        <v>1.0274000000000001</v>
      </c>
      <c r="V37" s="3276"/>
      <c r="W37" s="3276">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9">
        <f>$AG$60*S37</f>
        <v>100.37</v>
      </c>
      <c r="AH37" s="3279">
        <f>$AG$60*T37</f>
        <v>98.22999999999999</v>
      </c>
      <c r="AI37" s="3279">
        <f>$AG$60*U37</f>
        <v>102.74000000000001</v>
      </c>
      <c r="AJ37" s="3279"/>
      <c r="AK37" s="3279">
        <f>$AG$60*W37</f>
        <v>98.22999999999999</v>
      </c>
      <c r="AN37" s="3281">
        <v>100</v>
      </c>
      <c r="AO37" s="3281">
        <v>100</v>
      </c>
      <c r="AP37" s="3281">
        <v>100</v>
      </c>
      <c r="AQ37" s="3281"/>
      <c r="AR37" s="3281">
        <v>100</v>
      </c>
    </row>
    <row r="38" spans="1:44" s="1708" customFormat="1" ht="12.75">
      <c r="A38" s="1704" t="s">
        <v>3684</v>
      </c>
      <c r="B38" s="3258">
        <v>2026</v>
      </c>
      <c r="C38" s="3259">
        <v>3</v>
      </c>
      <c r="D38" s="2407"/>
      <c r="E38" s="3265">
        <v>0</v>
      </c>
      <c r="F38" s="3265">
        <v>0</v>
      </c>
      <c r="G38" s="3265">
        <v>0</v>
      </c>
      <c r="H38" s="3265"/>
      <c r="I38" s="3266">
        <f t="shared" ref="I38:I41" si="165">F38</f>
        <v>0</v>
      </c>
      <c r="J38" s="2408"/>
      <c r="K38" s="1706"/>
      <c r="L38" s="1696"/>
      <c r="M38" s="1696"/>
      <c r="N38" s="1696"/>
      <c r="O38" s="1696"/>
      <c r="P38" s="1696"/>
      <c r="Q38" s="2408"/>
      <c r="R38" s="1695"/>
      <c r="S38" s="3276">
        <f>ROUND(IF(项目基本情况!$B$8="出让",SUMPRODUCT(PRODUCT(1+L38:L$60)),SUMPRODUCT(PRODUCT(1+L38:L$59))),4)</f>
        <v>1.0037</v>
      </c>
      <c r="T38" s="3276">
        <f>ROUND(IF(项目基本情况!$B$8="出让",SUMPRODUCT(PRODUCT(1+M38:M$60)),SUMPRODUCT(PRODUCT(1+M38:M$59))),4)</f>
        <v>0.98229999999999995</v>
      </c>
      <c r="U38" s="3276">
        <f>ROUND(IF(项目基本情况!$B$8="出让",SUMPRODUCT(PRODUCT(1+N38:N$60)),SUMPRODUCT(PRODUCT(1+N38:N$59))),4)</f>
        <v>1.0274000000000001</v>
      </c>
      <c r="V38" s="3276"/>
      <c r="W38" s="3276">
        <f t="shared" ref="W38:W41" si="166">T38</f>
        <v>0.98229999999999995</v>
      </c>
      <c r="X38" s="2408"/>
      <c r="Y38" s="1696"/>
      <c r="Z38" s="2403"/>
      <c r="AA38" s="1696"/>
      <c r="AB38" s="1696"/>
      <c r="AC38" s="2405"/>
      <c r="AD38" s="1696"/>
      <c r="AG38" s="3279">
        <f t="shared" ref="AG38:AG41" si="167">$AG$60*S38</f>
        <v>100.37</v>
      </c>
      <c r="AH38" s="3279">
        <f t="shared" ref="AH38:AH41" si="168">$AG$60*T38</f>
        <v>98.22999999999999</v>
      </c>
      <c r="AI38" s="3279">
        <f t="shared" ref="AI38:AI41" si="169">$AG$60*U38</f>
        <v>102.74000000000001</v>
      </c>
      <c r="AJ38" s="3279"/>
      <c r="AK38" s="3279">
        <f t="shared" ref="AK38:AK41" si="170">$AG$60*W38</f>
        <v>98.22999999999999</v>
      </c>
      <c r="AN38" s="3279">
        <f t="shared" ref="AN38:AN41" si="171">AN37/(1+E37/100)</f>
        <v>100</v>
      </c>
      <c r="AO38" s="3279">
        <f t="shared" ref="AO38:AO41" si="172">AO37/(1+F37/100)</f>
        <v>100</v>
      </c>
      <c r="AP38" s="3279">
        <f t="shared" ref="AP38:AP41" si="173">AP37/(1+G37/100)</f>
        <v>100</v>
      </c>
      <c r="AQ38" s="3279"/>
      <c r="AR38" s="3279">
        <f t="shared" ref="AR38:AR41" si="174">AR37/(1+I37/100)</f>
        <v>100</v>
      </c>
    </row>
    <row r="39" spans="1:44" s="1708" customFormat="1" ht="12.75">
      <c r="A39" s="1704" t="s">
        <v>3683</v>
      </c>
      <c r="B39" s="3258">
        <v>2026</v>
      </c>
      <c r="C39" s="3259">
        <v>2</v>
      </c>
      <c r="D39" s="2407"/>
      <c r="E39" s="3265">
        <v>0</v>
      </c>
      <c r="F39" s="3265">
        <v>0</v>
      </c>
      <c r="G39" s="3265">
        <v>0</v>
      </c>
      <c r="H39" s="3265"/>
      <c r="I39" s="3266">
        <f t="shared" si="165"/>
        <v>0</v>
      </c>
      <c r="J39" s="2408"/>
      <c r="K39" s="1706"/>
      <c r="L39" s="1696"/>
      <c r="M39" s="1696"/>
      <c r="N39" s="1696"/>
      <c r="O39" s="1696"/>
      <c r="P39" s="1696"/>
      <c r="Q39" s="2408"/>
      <c r="R39" s="1695"/>
      <c r="S39" s="3276">
        <f>ROUND(IF(项目基本情况!$B$8="出让",SUMPRODUCT(PRODUCT(1+L39:L$60)),SUMPRODUCT(PRODUCT(1+L39:L$59))),4)</f>
        <v>1.0037</v>
      </c>
      <c r="T39" s="3276">
        <f>ROUND(IF(项目基本情况!$B$8="出让",SUMPRODUCT(PRODUCT(1+M39:M$60)),SUMPRODUCT(PRODUCT(1+M39:M$59))),4)</f>
        <v>0.98229999999999995</v>
      </c>
      <c r="U39" s="3276">
        <f>ROUND(IF(项目基本情况!$B$8="出让",SUMPRODUCT(PRODUCT(1+N39:N$60)),SUMPRODUCT(PRODUCT(1+N39:N$59))),4)</f>
        <v>1.0274000000000001</v>
      </c>
      <c r="V39" s="3276"/>
      <c r="W39" s="3276">
        <f t="shared" si="166"/>
        <v>0.98229999999999995</v>
      </c>
      <c r="X39" s="2408"/>
      <c r="Y39" s="1696"/>
      <c r="Z39" s="2403"/>
      <c r="AA39" s="1696"/>
      <c r="AB39" s="1696"/>
      <c r="AC39" s="2405"/>
      <c r="AD39" s="1696"/>
      <c r="AG39" s="3279">
        <f t="shared" si="167"/>
        <v>100.37</v>
      </c>
      <c r="AH39" s="3279">
        <f t="shared" si="168"/>
        <v>98.22999999999999</v>
      </c>
      <c r="AI39" s="3279">
        <f t="shared" si="169"/>
        <v>102.74000000000001</v>
      </c>
      <c r="AJ39" s="3279"/>
      <c r="AK39" s="3279">
        <f t="shared" si="170"/>
        <v>98.22999999999999</v>
      </c>
      <c r="AN39" s="3279">
        <f t="shared" si="171"/>
        <v>100</v>
      </c>
      <c r="AO39" s="3279">
        <f t="shared" si="172"/>
        <v>100</v>
      </c>
      <c r="AP39" s="3279">
        <f t="shared" si="173"/>
        <v>100</v>
      </c>
      <c r="AQ39" s="3279"/>
      <c r="AR39" s="3279">
        <f t="shared" si="174"/>
        <v>100</v>
      </c>
    </row>
    <row r="40" spans="1:44" s="2414" customFormat="1" ht="12.75">
      <c r="A40" s="2409" t="s">
        <v>3688</v>
      </c>
      <c r="B40" s="3260">
        <v>2026</v>
      </c>
      <c r="C40" s="3261">
        <v>1</v>
      </c>
      <c r="D40" s="2410"/>
      <c r="E40" s="3267">
        <v>0</v>
      </c>
      <c r="F40" s="3267">
        <v>0</v>
      </c>
      <c r="G40" s="3267">
        <v>0</v>
      </c>
      <c r="H40" s="3268"/>
      <c r="I40" s="3269">
        <f t="shared" si="165"/>
        <v>0</v>
      </c>
      <c r="J40" s="2411"/>
      <c r="K40" s="2412"/>
      <c r="L40" s="2413"/>
      <c r="M40" s="2413"/>
      <c r="N40" s="2413"/>
      <c r="O40" s="2413"/>
      <c r="P40" s="2413"/>
      <c r="Q40" s="2411"/>
      <c r="R40" s="2411"/>
      <c r="S40" s="3277">
        <f>ROUND(IF(项目基本情况!$B$8="出让",SUMPRODUCT(PRODUCT(1+L40:L$60)),SUMPRODUCT(PRODUCT(1+L40:L$59))),4)</f>
        <v>1.0037</v>
      </c>
      <c r="T40" s="3277">
        <f>ROUND(IF(项目基本情况!$B$8="出让",SUMPRODUCT(PRODUCT(1+M40:M$60)),SUMPRODUCT(PRODUCT(1+M40:M$59))),4)</f>
        <v>0.98229999999999995</v>
      </c>
      <c r="U40" s="3277">
        <f>ROUND(IF(项目基本情况!$B$8="出让",SUMPRODUCT(PRODUCT(1+N40:N$60)),SUMPRODUCT(PRODUCT(1+N40:N$59))),4)</f>
        <v>1.0274000000000001</v>
      </c>
      <c r="V40" s="3277"/>
      <c r="W40" s="3277">
        <f t="shared" si="166"/>
        <v>0.98229999999999995</v>
      </c>
      <c r="X40" s="2411"/>
      <c r="Y40" s="2413"/>
      <c r="Z40" s="2424"/>
      <c r="AA40" s="2425"/>
      <c r="AB40" s="2413"/>
      <c r="AC40" s="2426"/>
      <c r="AD40" s="2413"/>
      <c r="AG40" s="3280">
        <f t="shared" si="167"/>
        <v>100.37</v>
      </c>
      <c r="AH40" s="3280">
        <f t="shared" si="168"/>
        <v>98.22999999999999</v>
      </c>
      <c r="AI40" s="3280">
        <f t="shared" si="169"/>
        <v>102.74000000000001</v>
      </c>
      <c r="AJ40" s="3280"/>
      <c r="AK40" s="3280">
        <f t="shared" si="170"/>
        <v>98.22999999999999</v>
      </c>
      <c r="AN40" s="3280">
        <f t="shared" si="171"/>
        <v>100</v>
      </c>
      <c r="AO40" s="3280">
        <f t="shared" si="172"/>
        <v>100</v>
      </c>
      <c r="AP40" s="3280">
        <f t="shared" si="173"/>
        <v>100</v>
      </c>
      <c r="AQ40" s="3280"/>
      <c r="AR40" s="3280">
        <f t="shared" si="174"/>
        <v>100</v>
      </c>
    </row>
    <row r="41" spans="1:44" s="1708" customFormat="1" ht="12.75">
      <c r="A41" s="1704" t="s">
        <v>3682</v>
      </c>
      <c r="B41" s="3258">
        <v>2025</v>
      </c>
      <c r="C41" s="3259">
        <v>4</v>
      </c>
      <c r="D41" s="2407"/>
      <c r="E41" s="3265">
        <v>0</v>
      </c>
      <c r="F41" s="3265">
        <v>0</v>
      </c>
      <c r="G41" s="3265">
        <v>0</v>
      </c>
      <c r="H41" s="3265"/>
      <c r="I41" s="3266">
        <f t="shared" si="165"/>
        <v>0</v>
      </c>
      <c r="J41" s="2408"/>
      <c r="K41" s="1706"/>
      <c r="L41" s="1696"/>
      <c r="M41" s="1696"/>
      <c r="N41" s="1696"/>
      <c r="O41" s="1696"/>
      <c r="P41" s="1696"/>
      <c r="Q41" s="2408"/>
      <c r="R41" s="1695"/>
      <c r="S41" s="3276">
        <f>ROUND(IF(项目基本情况!$B$8="出让",SUMPRODUCT(PRODUCT(1+L41:L$60)),SUMPRODUCT(PRODUCT(1+L41:L$59))),4)</f>
        <v>1.0037</v>
      </c>
      <c r="T41" s="3276">
        <f>ROUND(IF(项目基本情况!$B$8="出让",SUMPRODUCT(PRODUCT(1+M41:M$60)),SUMPRODUCT(PRODUCT(1+M41:M$59))),4)</f>
        <v>0.98229999999999995</v>
      </c>
      <c r="U41" s="3276">
        <f>ROUND(IF(项目基本情况!$B$8="出让",SUMPRODUCT(PRODUCT(1+N41:N$60)),SUMPRODUCT(PRODUCT(1+N41:N$59))),4)</f>
        <v>1.0274000000000001</v>
      </c>
      <c r="V41" s="3276"/>
      <c r="W41" s="3276">
        <f t="shared" si="166"/>
        <v>0.98229999999999995</v>
      </c>
      <c r="X41" s="2408"/>
      <c r="Y41" s="1696"/>
      <c r="Z41" s="2403"/>
      <c r="AA41" s="1696"/>
      <c r="AB41" s="1696"/>
      <c r="AC41" s="2405"/>
      <c r="AD41" s="1696"/>
      <c r="AG41" s="3279">
        <f t="shared" si="167"/>
        <v>100.37</v>
      </c>
      <c r="AH41" s="3279">
        <f t="shared" si="168"/>
        <v>98.22999999999999</v>
      </c>
      <c r="AI41" s="3279">
        <f t="shared" si="169"/>
        <v>102.74000000000001</v>
      </c>
      <c r="AJ41" s="3279"/>
      <c r="AK41" s="3279">
        <f t="shared" si="170"/>
        <v>98.22999999999999</v>
      </c>
      <c r="AN41" s="3279">
        <f t="shared" si="171"/>
        <v>100</v>
      </c>
      <c r="AO41" s="3279">
        <f t="shared" si="172"/>
        <v>100</v>
      </c>
      <c r="AP41" s="3279">
        <f t="shared" si="173"/>
        <v>100</v>
      </c>
      <c r="AQ41" s="3279"/>
      <c r="AR41" s="3279">
        <f t="shared" si="174"/>
        <v>100</v>
      </c>
    </row>
    <row r="42" spans="1:44" s="1708" customFormat="1" ht="12.75">
      <c r="A42" s="1704" t="s">
        <v>3299</v>
      </c>
      <c r="B42" s="3258">
        <v>2025</v>
      </c>
      <c r="C42" s="3259">
        <v>3</v>
      </c>
      <c r="D42" s="2407"/>
      <c r="E42" s="3265">
        <v>-0.8</v>
      </c>
      <c r="F42" s="3265">
        <v>-1.45</v>
      </c>
      <c r="G42" s="3265">
        <v>-0.62</v>
      </c>
      <c r="H42" s="3265"/>
      <c r="I42" s="3266">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6">
        <f>ROUND(IF(项目基本情况!$B$8="出让",SUMPRODUCT(PRODUCT(1+L42:L$60)),SUMPRODUCT(PRODUCT(1+L42:L$59))),4)</f>
        <v>1.0037</v>
      </c>
      <c r="T42" s="3276">
        <f>ROUND(IF(项目基本情况!$B$8="出让",SUMPRODUCT(PRODUCT(1+M42:M$60)),SUMPRODUCT(PRODUCT(1+M42:M$59))),4)</f>
        <v>0.98229999999999995</v>
      </c>
      <c r="U42" s="3276">
        <f>ROUND(IF(项目基本情况!$B$8="出让",SUMPRODUCT(PRODUCT(1+N42:N$60)),SUMPRODUCT(PRODUCT(1+N42:N$59))),4)</f>
        <v>1.0274000000000001</v>
      </c>
      <c r="V42" s="3276"/>
      <c r="W42" s="3276">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9">
        <f t="shared" ref="AG42:AG58" si="183">$AG$60*S42</f>
        <v>100.37</v>
      </c>
      <c r="AH42" s="3279">
        <f t="shared" ref="AH42:AH58" si="184">$AG$60*T42</f>
        <v>98.22999999999999</v>
      </c>
      <c r="AI42" s="3279">
        <f t="shared" ref="AI42:AI58" si="185">$AG$60*U42</f>
        <v>102.74000000000001</v>
      </c>
      <c r="AJ42" s="3279"/>
      <c r="AK42" s="3279">
        <f t="shared" ref="AK42:AK58" si="186">$AG$60*W42</f>
        <v>98.22999999999999</v>
      </c>
      <c r="AN42" s="3279">
        <f>AN37/(1+E37/100)</f>
        <v>100</v>
      </c>
      <c r="AO42" s="3279">
        <f t="shared" ref="AO42:AR42" si="187">AO37/(1+F37/100)</f>
        <v>100</v>
      </c>
      <c r="AP42" s="3279">
        <f t="shared" si="187"/>
        <v>100</v>
      </c>
      <c r="AQ42" s="3279"/>
      <c r="AR42" s="3279">
        <f t="shared" si="187"/>
        <v>100</v>
      </c>
    </row>
    <row r="43" spans="1:44" s="1708" customFormat="1" ht="12.75">
      <c r="A43" s="1704" t="s">
        <v>3300</v>
      </c>
      <c r="B43" s="3258">
        <v>2025</v>
      </c>
      <c r="C43" s="3259">
        <v>2</v>
      </c>
      <c r="D43" s="2407"/>
      <c r="E43" s="3265">
        <v>-0.31</v>
      </c>
      <c r="F43" s="3265">
        <v>-1.03</v>
      </c>
      <c r="G43" s="3265">
        <v>0.03</v>
      </c>
      <c r="H43" s="3265"/>
      <c r="I43" s="3266">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6">
        <f>ROUND(IF(项目基本情况!$B$8="出让",SUMPRODUCT(PRODUCT(1+L43:L$60)),SUMPRODUCT(PRODUCT(1+L43:L$59))),4)</f>
        <v>1.0118</v>
      </c>
      <c r="T43" s="3276">
        <f>ROUND(IF(项目基本情况!$B$8="出让",SUMPRODUCT(PRODUCT(1+M43:M$60)),SUMPRODUCT(PRODUCT(1+M43:M$59))),4)</f>
        <v>0.99680000000000002</v>
      </c>
      <c r="U43" s="3276">
        <f>ROUND(IF(项目基本情况!$B$8="出让",SUMPRODUCT(PRODUCT(1+N43:N$60)),SUMPRODUCT(PRODUCT(1+N43:N$59))),4)</f>
        <v>1.0338000000000001</v>
      </c>
      <c r="V43" s="3276"/>
      <c r="W43" s="3276">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9">
        <f t="shared" si="183"/>
        <v>101.18</v>
      </c>
      <c r="AH43" s="3279">
        <f t="shared" si="184"/>
        <v>99.68</v>
      </c>
      <c r="AI43" s="3279">
        <f t="shared" si="185"/>
        <v>103.38000000000001</v>
      </c>
      <c r="AJ43" s="3279"/>
      <c r="AK43" s="3279">
        <f t="shared" si="186"/>
        <v>99.68</v>
      </c>
      <c r="AN43" s="3279">
        <f t="shared" ref="AN43:AN60" si="195">AN42/(1+E42/100)</f>
        <v>100.80645161290323</v>
      </c>
      <c r="AO43" s="3279">
        <f t="shared" ref="AO43" si="196">AO42/(1+F42/100)</f>
        <v>101.47133434804667</v>
      </c>
      <c r="AP43" s="3279">
        <f t="shared" ref="AP43" si="197">AP42/(1+G42/100)</f>
        <v>100.6238679814852</v>
      </c>
      <c r="AQ43" s="3279"/>
      <c r="AR43" s="3279">
        <f t="shared" ref="AR43" si="198">AR42/(1+I42/100)</f>
        <v>101.47133434804667</v>
      </c>
    </row>
    <row r="44" spans="1:44" s="1708" customFormat="1" ht="12.75">
      <c r="A44" s="1704" t="s">
        <v>3289</v>
      </c>
      <c r="B44" s="3258">
        <v>2025</v>
      </c>
      <c r="C44" s="3259">
        <v>1</v>
      </c>
      <c r="D44" s="2407"/>
      <c r="E44" s="3265">
        <v>-1.47</v>
      </c>
      <c r="F44" s="3265">
        <v>-0.98</v>
      </c>
      <c r="G44" s="3265">
        <v>-0.51</v>
      </c>
      <c r="H44" s="3265"/>
      <c r="I44" s="3266">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6">
        <f>ROUND(IF(项目基本情况!$B$8="出让",SUMPRODUCT(PRODUCT(1+L44:L$60)),SUMPRODUCT(PRODUCT(1+L44:L$59))),4)</f>
        <v>1.0148999999999999</v>
      </c>
      <c r="T44" s="3276">
        <f>ROUND(IF(项目基本情况!$B$8="出让",SUMPRODUCT(PRODUCT(1+M44:M$60)),SUMPRODUCT(PRODUCT(1+M44:M$59))),4)</f>
        <v>1.0072000000000001</v>
      </c>
      <c r="U44" s="3276">
        <f>ROUND(IF(项目基本情况!$B$8="出让",SUMPRODUCT(PRODUCT(1+N44:N$60)),SUMPRODUCT(PRODUCT(1+N44:N$59))),4)</f>
        <v>1.0335000000000001</v>
      </c>
      <c r="V44" s="3276"/>
      <c r="W44" s="3276">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9">
        <f t="shared" si="183"/>
        <v>101.49</v>
      </c>
      <c r="AH44" s="3279">
        <f t="shared" si="184"/>
        <v>100.72000000000001</v>
      </c>
      <c r="AI44" s="3279">
        <f t="shared" si="185"/>
        <v>103.35000000000001</v>
      </c>
      <c r="AJ44" s="3279"/>
      <c r="AK44" s="3279">
        <f t="shared" si="186"/>
        <v>100.72000000000001</v>
      </c>
      <c r="AN44" s="3279">
        <f t="shared" si="195"/>
        <v>101.11992337536687</v>
      </c>
      <c r="AO44" s="3279">
        <f t="shared" ref="AO44:AO60" si="206">AO43/(1+F43/100)</f>
        <v>102.52736622011383</v>
      </c>
      <c r="AP44" s="3279">
        <f t="shared" ref="AP44:AP60" si="207">AP43/(1+G43/100)</f>
        <v>100.59368987452285</v>
      </c>
      <c r="AQ44" s="3279"/>
      <c r="AR44" s="3279">
        <f t="shared" ref="AR44:AR60" si="208">AR43/(1+I43/100)</f>
        <v>102.52736622011383</v>
      </c>
    </row>
    <row r="45" spans="1:44" s="1708" customFormat="1" ht="12.75">
      <c r="A45" s="1704" t="s">
        <v>3290</v>
      </c>
      <c r="B45" s="3258">
        <v>2024</v>
      </c>
      <c r="C45" s="3259">
        <v>4</v>
      </c>
      <c r="D45" s="2407"/>
      <c r="E45" s="3265">
        <v>-0.61</v>
      </c>
      <c r="F45" s="3265">
        <v>-0.71</v>
      </c>
      <c r="G45" s="3265">
        <v>-0.88</v>
      </c>
      <c r="H45" s="3265"/>
      <c r="I45" s="3266">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6">
        <f>ROUND(IF(项目基本情况!$B$8="出让",SUMPRODUCT(PRODUCT(1+L45:L$60)),SUMPRODUCT(PRODUCT(1+L45:L$59))),4)</f>
        <v>1.0301</v>
      </c>
      <c r="T45" s="3276">
        <f>ROUND(IF(项目基本情况!$B$8="出让",SUMPRODUCT(PRODUCT(1+M45:M$60)),SUMPRODUCT(PRODUCT(1+M45:M$59))),4)</f>
        <v>1.0170999999999999</v>
      </c>
      <c r="U45" s="3276">
        <f>ROUND(IF(项目基本情况!$B$8="出让",SUMPRODUCT(PRODUCT(1+N45:N$60)),SUMPRODUCT(PRODUCT(1+N45:N$59))),4)</f>
        <v>1.0387999999999999</v>
      </c>
      <c r="V45" s="3276"/>
      <c r="W45" s="3276">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9">
        <f t="shared" si="183"/>
        <v>103.01</v>
      </c>
      <c r="AH45" s="3279">
        <f t="shared" si="184"/>
        <v>101.71</v>
      </c>
      <c r="AI45" s="3279">
        <f t="shared" si="185"/>
        <v>103.88</v>
      </c>
      <c r="AJ45" s="3279"/>
      <c r="AK45" s="3279">
        <f t="shared" si="186"/>
        <v>101.71</v>
      </c>
      <c r="AN45" s="3279">
        <f t="shared" si="195"/>
        <v>102.62856325521858</v>
      </c>
      <c r="AO45" s="3279">
        <f t="shared" si="206"/>
        <v>103.54207859029877</v>
      </c>
      <c r="AP45" s="3279">
        <f t="shared" si="207"/>
        <v>101.10934754701262</v>
      </c>
      <c r="AQ45" s="3279"/>
      <c r="AR45" s="3279">
        <f t="shared" si="208"/>
        <v>103.54207859029877</v>
      </c>
    </row>
    <row r="46" spans="1:44" s="1708" customFormat="1" ht="12.75">
      <c r="A46" s="1704" t="s">
        <v>3272</v>
      </c>
      <c r="B46" s="3258">
        <v>2024</v>
      </c>
      <c r="C46" s="3259">
        <v>3</v>
      </c>
      <c r="D46" s="2407"/>
      <c r="E46" s="3265">
        <v>-0.66</v>
      </c>
      <c r="F46" s="3265">
        <v>-0.52</v>
      </c>
      <c r="G46" s="3265">
        <v>-2.87</v>
      </c>
      <c r="H46" s="3265"/>
      <c r="I46" s="3266">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6">
        <f>ROUND(IF(项目基本情况!$B$8="出让",SUMPRODUCT(PRODUCT(1+L46:L$60)),SUMPRODUCT(PRODUCT(1+L46:L$59))),4)</f>
        <v>1.0364</v>
      </c>
      <c r="T46" s="3276">
        <f>ROUND(IF(项目基本情况!$B$8="出让",SUMPRODUCT(PRODUCT(1+M46:M$60)),SUMPRODUCT(PRODUCT(1+M46:M$59))),4)</f>
        <v>1.0244</v>
      </c>
      <c r="U46" s="3276">
        <f>ROUND(IF(项目基本情况!$B$8="出让",SUMPRODUCT(PRODUCT(1+N46:N$60)),SUMPRODUCT(PRODUCT(1+N46:N$59))),4)</f>
        <v>1.048</v>
      </c>
      <c r="V46" s="3276"/>
      <c r="W46" s="3276">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9">
        <f t="shared" si="183"/>
        <v>103.64</v>
      </c>
      <c r="AH46" s="3279">
        <f t="shared" si="184"/>
        <v>102.44</v>
      </c>
      <c r="AI46" s="3279">
        <f t="shared" si="185"/>
        <v>104.80000000000001</v>
      </c>
      <c r="AJ46" s="3279"/>
      <c r="AK46" s="3279">
        <f t="shared" si="186"/>
        <v>102.44</v>
      </c>
      <c r="AN46" s="3279">
        <f t="shared" si="195"/>
        <v>103.25843973761805</v>
      </c>
      <c r="AO46" s="3279">
        <f t="shared" si="206"/>
        <v>104.28248422831984</v>
      </c>
      <c r="AP46" s="3279">
        <f t="shared" si="207"/>
        <v>102.00700922822097</v>
      </c>
      <c r="AQ46" s="3279"/>
      <c r="AR46" s="3279">
        <f t="shared" si="208"/>
        <v>104.28248422831984</v>
      </c>
    </row>
    <row r="47" spans="1:44" s="1708" customFormat="1" ht="12.75">
      <c r="A47" s="2406" t="s">
        <v>3276</v>
      </c>
      <c r="B47" s="3258">
        <v>2024</v>
      </c>
      <c r="C47" s="3259">
        <v>2</v>
      </c>
      <c r="D47" s="2407"/>
      <c r="E47" s="3265">
        <v>-0.31</v>
      </c>
      <c r="F47" s="3265">
        <v>-0.39</v>
      </c>
      <c r="G47" s="3265">
        <v>1.23</v>
      </c>
      <c r="H47" s="3270"/>
      <c r="I47" s="3266">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6">
        <f>ROUND(IF(项目基本情况!$B$8="出让",SUMPRODUCT(PRODUCT(1+L47:L$60)),SUMPRODUCT(PRODUCT(1+L47:L$59))),4)</f>
        <v>1.0432999999999999</v>
      </c>
      <c r="T47" s="3276">
        <f>ROUND(IF(项目基本情况!$B$8="出让",SUMPRODUCT(PRODUCT(1+M47:M$60)),SUMPRODUCT(PRODUCT(1+M47:M$59))),4)</f>
        <v>1.0298</v>
      </c>
      <c r="U47" s="3276">
        <f>ROUND(IF(项目基本情况!$B$8="出让",SUMPRODUCT(PRODUCT(1+N47:N$60)),SUMPRODUCT(PRODUCT(1+N47:N$59))),4)</f>
        <v>1.079</v>
      </c>
      <c r="V47" s="3276"/>
      <c r="W47" s="3276">
        <f t="shared" si="161"/>
        <v>1.0298</v>
      </c>
      <c r="X47" s="2408"/>
      <c r="Y47" s="1696"/>
      <c r="Z47" s="2403">
        <f t="shared" si="220"/>
        <v>3.3E-3</v>
      </c>
      <c r="AA47" s="2404">
        <f t="shared" si="220"/>
        <v>2.3999999999999998E-3</v>
      </c>
      <c r="AB47" s="1696">
        <f t="shared" si="220"/>
        <v>6.1999999999999998E-3</v>
      </c>
      <c r="AC47" s="2405"/>
      <c r="AD47" s="1696">
        <f t="shared" si="182"/>
        <v>2.3999999999999998E-3</v>
      </c>
      <c r="AG47" s="3279">
        <f t="shared" si="183"/>
        <v>104.32999999999998</v>
      </c>
      <c r="AH47" s="3279">
        <f t="shared" si="184"/>
        <v>102.98</v>
      </c>
      <c r="AI47" s="3279">
        <f t="shared" si="185"/>
        <v>107.89999999999999</v>
      </c>
      <c r="AJ47" s="3279"/>
      <c r="AK47" s="3279">
        <f t="shared" si="186"/>
        <v>102.98</v>
      </c>
      <c r="AN47" s="3279">
        <f t="shared" si="195"/>
        <v>103.94447326114158</v>
      </c>
      <c r="AO47" s="3279">
        <f t="shared" si="206"/>
        <v>104.82758768427809</v>
      </c>
      <c r="AP47" s="3279">
        <f t="shared" si="207"/>
        <v>105.02111523547921</v>
      </c>
      <c r="AQ47" s="3279"/>
      <c r="AR47" s="3279">
        <f t="shared" si="208"/>
        <v>104.82758768427809</v>
      </c>
    </row>
    <row r="48" spans="1:44" s="1708" customFormat="1" ht="12.75">
      <c r="A48" s="2406" t="s">
        <v>3273</v>
      </c>
      <c r="B48" s="3258">
        <v>2024</v>
      </c>
      <c r="C48" s="3259">
        <v>1</v>
      </c>
      <c r="D48" s="2407"/>
      <c r="E48" s="3265">
        <v>0.25</v>
      </c>
      <c r="F48" s="3265">
        <v>0.4</v>
      </c>
      <c r="G48" s="3265">
        <v>-0.63</v>
      </c>
      <c r="H48" s="3270"/>
      <c r="I48" s="3266">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6">
        <f>ROUND(IF(项目基本情况!$B$8="出让",SUMPRODUCT(PRODUCT(1+L48:L$60)),SUMPRODUCT(PRODUCT(1+L48:L$59))),4)</f>
        <v>1.0465</v>
      </c>
      <c r="T48" s="3276">
        <f>ROUND(IF(项目基本情况!$B$8="出让",SUMPRODUCT(PRODUCT(1+M48:M$60)),SUMPRODUCT(PRODUCT(1+M48:M$59))),4)</f>
        <v>1.0338000000000001</v>
      </c>
      <c r="U48" s="3276">
        <f>ROUND(IF(项目基本情况!$B$8="出让",SUMPRODUCT(PRODUCT(1+N48:N$60)),SUMPRODUCT(PRODUCT(1+N48:N$59))),4)</f>
        <v>1.0659000000000001</v>
      </c>
      <c r="V48" s="3276"/>
      <c r="W48" s="3276">
        <f t="shared" ref="W48" si="228">T48</f>
        <v>1.0338000000000001</v>
      </c>
      <c r="X48" s="2408"/>
      <c r="Y48" s="1696"/>
      <c r="Z48" s="2403"/>
      <c r="AA48" s="2404"/>
      <c r="AB48" s="1696"/>
      <c r="AC48" s="2405"/>
      <c r="AD48" s="1696"/>
      <c r="AG48" s="3279">
        <f t="shared" si="183"/>
        <v>104.65</v>
      </c>
      <c r="AH48" s="3279">
        <f t="shared" si="184"/>
        <v>103.38000000000001</v>
      </c>
      <c r="AI48" s="3279">
        <f t="shared" si="185"/>
        <v>106.59</v>
      </c>
      <c r="AJ48" s="3279"/>
      <c r="AK48" s="3279">
        <f t="shared" si="186"/>
        <v>103.38000000000001</v>
      </c>
      <c r="AN48" s="3279">
        <f t="shared" si="195"/>
        <v>104.2677031408783</v>
      </c>
      <c r="AO48" s="3279">
        <f t="shared" si="206"/>
        <v>105.23801594646932</v>
      </c>
      <c r="AP48" s="3279">
        <f t="shared" si="207"/>
        <v>103.74505110686478</v>
      </c>
      <c r="AQ48" s="3279"/>
      <c r="AR48" s="3279">
        <f t="shared" si="208"/>
        <v>105.23801594646932</v>
      </c>
    </row>
    <row r="49" spans="1:44" s="1708" customFormat="1" ht="12.75">
      <c r="A49" s="2406" t="s">
        <v>3271</v>
      </c>
      <c r="B49" s="3258">
        <v>2023</v>
      </c>
      <c r="C49" s="3259">
        <v>4</v>
      </c>
      <c r="D49" s="2407"/>
      <c r="E49" s="3265">
        <v>7.0000000000000007E-2</v>
      </c>
      <c r="F49" s="3265">
        <v>0.09</v>
      </c>
      <c r="G49" s="3265">
        <v>0.03</v>
      </c>
      <c r="H49" s="3270"/>
      <c r="I49" s="3266">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6">
        <f>ROUND(IF(项目基本情况!$B$8="出让",SUMPRODUCT(PRODUCT(1+L49:L$60)),SUMPRODUCT(PRODUCT(1+L49:L$59))),4)</f>
        <v>1.0439000000000001</v>
      </c>
      <c r="T49" s="3276">
        <f>ROUND(IF(项目基本情况!$B$8="出让",SUMPRODUCT(PRODUCT(1+M49:M$60)),SUMPRODUCT(PRODUCT(1+M49:M$59))),4)</f>
        <v>1.0297000000000001</v>
      </c>
      <c r="U49" s="3276">
        <f>ROUND(IF(项目基本情况!$B$8="出让",SUMPRODUCT(PRODUCT(1+N49:N$60)),SUMPRODUCT(PRODUCT(1+N49:N$59))),4)</f>
        <v>1.0727</v>
      </c>
      <c r="V49" s="3276"/>
      <c r="W49" s="3276">
        <f t="shared" ref="W49" si="230">T49</f>
        <v>1.0297000000000001</v>
      </c>
      <c r="X49" s="2408"/>
      <c r="Y49" s="1696"/>
      <c r="Z49" s="2403"/>
      <c r="AA49" s="2404"/>
      <c r="AB49" s="1696"/>
      <c r="AC49" s="2405"/>
      <c r="AD49" s="1696"/>
      <c r="AG49" s="3279">
        <f t="shared" si="183"/>
        <v>104.39</v>
      </c>
      <c r="AH49" s="3279">
        <f t="shared" si="184"/>
        <v>102.97</v>
      </c>
      <c r="AI49" s="3279">
        <f t="shared" si="185"/>
        <v>107.27</v>
      </c>
      <c r="AJ49" s="3279"/>
      <c r="AK49" s="3279">
        <f t="shared" si="186"/>
        <v>102.97</v>
      </c>
      <c r="AN49" s="3279">
        <f t="shared" si="195"/>
        <v>104.00768393105068</v>
      </c>
      <c r="AO49" s="3279">
        <f t="shared" si="206"/>
        <v>104.81874098253915</v>
      </c>
      <c r="AP49" s="3279">
        <f t="shared" si="207"/>
        <v>104.40278867552055</v>
      </c>
      <c r="AQ49" s="3279"/>
      <c r="AR49" s="3279">
        <f t="shared" si="208"/>
        <v>104.81874098253915</v>
      </c>
    </row>
    <row r="50" spans="1:44" s="1708" customFormat="1" ht="12.75">
      <c r="A50" s="2406" t="s">
        <v>3269</v>
      </c>
      <c r="B50" s="3258">
        <v>2023</v>
      </c>
      <c r="C50" s="3259">
        <v>3</v>
      </c>
      <c r="D50" s="2407"/>
      <c r="E50" s="3265">
        <v>0.35</v>
      </c>
      <c r="F50" s="3265">
        <v>0.17</v>
      </c>
      <c r="G50" s="3265">
        <v>0.52</v>
      </c>
      <c r="H50" s="3270"/>
      <c r="I50" s="3266">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6">
        <f>ROUND(IF(项目基本情况!$B$8="出让",SUMPRODUCT(PRODUCT(1+L50:L$60)),SUMPRODUCT(PRODUCT(1+L50:L$59))),4)</f>
        <v>1.0431999999999999</v>
      </c>
      <c r="T50" s="3276">
        <f>ROUND(IF(项目基本情况!$B$8="出让",SUMPRODUCT(PRODUCT(1+M50:M$60)),SUMPRODUCT(PRODUCT(1+M50:M$59))),4)</f>
        <v>1.0286999999999999</v>
      </c>
      <c r="U50" s="3276">
        <f>ROUND(IF(项目基本情况!$B$8="出让",SUMPRODUCT(PRODUCT(1+N50:N$60)),SUMPRODUCT(PRODUCT(1+N50:N$59))),4)</f>
        <v>1.0723</v>
      </c>
      <c r="V50" s="3276"/>
      <c r="W50" s="3276">
        <f t="shared" ref="W50:W52" si="235">T50</f>
        <v>1.0286999999999999</v>
      </c>
      <c r="X50" s="2408"/>
      <c r="Y50" s="1696"/>
      <c r="Z50" s="2403"/>
      <c r="AA50" s="2404"/>
      <c r="AB50" s="1696"/>
      <c r="AC50" s="2405"/>
      <c r="AD50" s="1696"/>
      <c r="AG50" s="3279">
        <f t="shared" si="183"/>
        <v>104.32</v>
      </c>
      <c r="AH50" s="3279">
        <f t="shared" si="184"/>
        <v>102.86999999999999</v>
      </c>
      <c r="AI50" s="3279">
        <f t="shared" si="185"/>
        <v>107.23</v>
      </c>
      <c r="AJ50" s="3279"/>
      <c r="AK50" s="3279">
        <f t="shared" si="186"/>
        <v>102.86999999999999</v>
      </c>
      <c r="AN50" s="3279">
        <f t="shared" si="195"/>
        <v>103.9349294804144</v>
      </c>
      <c r="AO50" s="3279">
        <f t="shared" si="206"/>
        <v>104.72448894249092</v>
      </c>
      <c r="AP50" s="3279">
        <f t="shared" si="207"/>
        <v>104.37147723235086</v>
      </c>
      <c r="AQ50" s="3279"/>
      <c r="AR50" s="3279">
        <f t="shared" si="208"/>
        <v>104.72448894249092</v>
      </c>
    </row>
    <row r="51" spans="1:44" s="1708" customFormat="1" ht="12.75">
      <c r="A51" s="2406" t="s">
        <v>3268</v>
      </c>
      <c r="B51" s="3258">
        <v>2023</v>
      </c>
      <c r="C51" s="3259">
        <v>2</v>
      </c>
      <c r="D51" s="2407"/>
      <c r="E51" s="3265">
        <v>0.5</v>
      </c>
      <c r="F51" s="3265">
        <v>0.45</v>
      </c>
      <c r="G51" s="3265">
        <v>0.89</v>
      </c>
      <c r="H51" s="3270"/>
      <c r="I51" s="3266">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6">
        <f>ROUND(IF(项目基本情况!$B$8="出让",SUMPRODUCT(PRODUCT(1+L51:L$60)),SUMPRODUCT(PRODUCT(1+L51:L$59))),4)</f>
        <v>1.0396000000000001</v>
      </c>
      <c r="T51" s="3276">
        <f>ROUND(IF(项目基本情况!$B$8="出让",SUMPRODUCT(PRODUCT(1+M51:M$60)),SUMPRODUCT(PRODUCT(1+M51:M$59))),4)</f>
        <v>1.0269999999999999</v>
      </c>
      <c r="U51" s="3276">
        <f>ROUND(IF(项目基本情况!$B$8="出让",SUMPRODUCT(PRODUCT(1+N51:N$60)),SUMPRODUCT(PRODUCT(1+N51:N$59))),4)</f>
        <v>1.0668</v>
      </c>
      <c r="V51" s="3276"/>
      <c r="W51" s="3276">
        <f t="shared" si="235"/>
        <v>1.0269999999999999</v>
      </c>
      <c r="X51" s="2408"/>
      <c r="Y51" s="1696"/>
      <c r="Z51" s="2403"/>
      <c r="AA51" s="2404"/>
      <c r="AB51" s="1696"/>
      <c r="AC51" s="2405"/>
      <c r="AD51" s="1696"/>
      <c r="AG51" s="3279">
        <f t="shared" si="183"/>
        <v>103.96000000000001</v>
      </c>
      <c r="AH51" s="3279">
        <f t="shared" si="184"/>
        <v>102.69999999999999</v>
      </c>
      <c r="AI51" s="3279">
        <f t="shared" si="185"/>
        <v>106.67999999999999</v>
      </c>
      <c r="AJ51" s="3279"/>
      <c r="AK51" s="3279">
        <f t="shared" si="186"/>
        <v>102.69999999999999</v>
      </c>
      <c r="AN51" s="3279">
        <f t="shared" si="195"/>
        <v>103.5724259894513</v>
      </c>
      <c r="AO51" s="3279">
        <f t="shared" si="206"/>
        <v>104.5467594514235</v>
      </c>
      <c r="AP51" s="3279">
        <f t="shared" si="207"/>
        <v>103.83155315593996</v>
      </c>
      <c r="AQ51" s="3279"/>
      <c r="AR51" s="3279">
        <f t="shared" si="208"/>
        <v>104.5467594514235</v>
      </c>
    </row>
    <row r="52" spans="1:44" s="1708" customFormat="1" ht="12.75">
      <c r="A52" s="2406" t="s">
        <v>3266</v>
      </c>
      <c r="B52" s="3258">
        <v>2023</v>
      </c>
      <c r="C52" s="3259">
        <v>1</v>
      </c>
      <c r="D52" s="2407"/>
      <c r="E52" s="3265">
        <v>0.55000000000000004</v>
      </c>
      <c r="F52" s="3265">
        <v>0.59</v>
      </c>
      <c r="G52" s="3265">
        <v>0.64</v>
      </c>
      <c r="H52" s="3270"/>
      <c r="I52" s="3266">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6">
        <f>ROUND(IF(项目基本情况!$B$8="出让",SUMPRODUCT(PRODUCT(1+L52:L$60)),SUMPRODUCT(PRODUCT(1+L52:L$59))),4)</f>
        <v>1.0344</v>
      </c>
      <c r="T52" s="3276">
        <f>ROUND(IF(项目基本情况!$B$8="出让",SUMPRODUCT(PRODUCT(1+M52:M$60)),SUMPRODUCT(PRODUCT(1+M52:M$59))),4)</f>
        <v>1.0224</v>
      </c>
      <c r="U52" s="3276">
        <f>ROUND(IF(项目基本情况!$B$8="出让",SUMPRODUCT(PRODUCT(1+N52:N$60)),SUMPRODUCT(PRODUCT(1+N52:N$59))),4)</f>
        <v>1.0573999999999999</v>
      </c>
      <c r="V52" s="3276"/>
      <c r="W52" s="3276">
        <f t="shared" si="235"/>
        <v>1.0224</v>
      </c>
      <c r="X52" s="2408"/>
      <c r="Y52" s="1696"/>
      <c r="Z52" s="2403"/>
      <c r="AA52" s="2404"/>
      <c r="AB52" s="1696"/>
      <c r="AC52" s="2405"/>
      <c r="AD52" s="1696"/>
      <c r="AG52" s="3279">
        <f t="shared" si="183"/>
        <v>103.44</v>
      </c>
      <c r="AH52" s="3279">
        <f t="shared" si="184"/>
        <v>102.24</v>
      </c>
      <c r="AI52" s="3279">
        <f t="shared" si="185"/>
        <v>105.74</v>
      </c>
      <c r="AJ52" s="3279"/>
      <c r="AK52" s="3279">
        <f t="shared" si="186"/>
        <v>102.24</v>
      </c>
      <c r="AN52" s="3279">
        <f t="shared" si="195"/>
        <v>103.05714028801125</v>
      </c>
      <c r="AO52" s="3279">
        <f t="shared" si="206"/>
        <v>104.07840662162619</v>
      </c>
      <c r="AP52" s="3279">
        <f t="shared" si="207"/>
        <v>102.91560427786695</v>
      </c>
      <c r="AQ52" s="3279"/>
      <c r="AR52" s="3279">
        <f t="shared" si="208"/>
        <v>104.07840662162619</v>
      </c>
    </row>
    <row r="53" spans="1:44" s="1708" customFormat="1" ht="12.75">
      <c r="A53" s="2406" t="s">
        <v>3265</v>
      </c>
      <c r="B53" s="3258">
        <v>2022</v>
      </c>
      <c r="C53" s="3259">
        <v>4</v>
      </c>
      <c r="D53" s="2407"/>
      <c r="E53" s="3265">
        <v>0.45</v>
      </c>
      <c r="F53" s="3265">
        <v>0.2</v>
      </c>
      <c r="G53" s="3265">
        <v>0.38</v>
      </c>
      <c r="H53" s="3270"/>
      <c r="I53" s="3266">
        <f t="shared" si="221"/>
        <v>0.2</v>
      </c>
      <c r="J53" s="2408"/>
      <c r="K53" s="1706"/>
      <c r="L53" s="1696">
        <f t="shared" si="222"/>
        <v>4.5000000000000005E-3</v>
      </c>
      <c r="M53" s="1696">
        <f t="shared" si="222"/>
        <v>2E-3</v>
      </c>
      <c r="N53" s="1696">
        <f t="shared" si="222"/>
        <v>3.8E-3</v>
      </c>
      <c r="O53" s="1696"/>
      <c r="P53" s="1696">
        <f t="shared" ref="P53:P60" si="236">M53</f>
        <v>2E-3</v>
      </c>
      <c r="Q53" s="2408"/>
      <c r="R53" s="1695"/>
      <c r="S53" s="3276">
        <f>ROUND(IF(项目基本情况!$B$8="出让",SUMPRODUCT(PRODUCT(1+L53:L$60)),SUMPRODUCT(PRODUCT(1+L53:L$59))),4)</f>
        <v>1.0286999999999999</v>
      </c>
      <c r="T53" s="3276">
        <f>ROUND(IF(项目基本情况!$B$8="出让",SUMPRODUCT(PRODUCT(1+M53:M$60)),SUMPRODUCT(PRODUCT(1+M53:M$59))),4)</f>
        <v>1.0164</v>
      </c>
      <c r="U53" s="3276">
        <f>ROUND(IF(项目基本情况!$B$8="出让",SUMPRODUCT(PRODUCT(1+N53:N$60)),SUMPRODUCT(PRODUCT(1+N53:N$59))),4)</f>
        <v>1.0506</v>
      </c>
      <c r="V53" s="3276"/>
      <c r="W53" s="3276">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9">
        <f t="shared" si="183"/>
        <v>102.86999999999999</v>
      </c>
      <c r="AH53" s="3279">
        <f t="shared" si="184"/>
        <v>101.64</v>
      </c>
      <c r="AI53" s="3279">
        <f t="shared" si="185"/>
        <v>105.06</v>
      </c>
      <c r="AJ53" s="3279"/>
      <c r="AK53" s="3279">
        <f t="shared" si="186"/>
        <v>101.64</v>
      </c>
      <c r="AN53" s="3279">
        <f t="shared" si="195"/>
        <v>102.49342644257707</v>
      </c>
      <c r="AO53" s="3279">
        <f t="shared" si="206"/>
        <v>103.46794574174986</v>
      </c>
      <c r="AP53" s="3279">
        <f t="shared" si="207"/>
        <v>102.26113302649736</v>
      </c>
      <c r="AQ53" s="3279"/>
      <c r="AR53" s="3279">
        <f t="shared" si="208"/>
        <v>103.46794574174986</v>
      </c>
    </row>
    <row r="54" spans="1:44" s="1708" customFormat="1" ht="12.75">
      <c r="A54" s="2406" t="s">
        <v>3264</v>
      </c>
      <c r="B54" s="3258">
        <v>2022</v>
      </c>
      <c r="C54" s="3259">
        <v>3</v>
      </c>
      <c r="D54" s="2407"/>
      <c r="E54" s="3265">
        <v>0.3</v>
      </c>
      <c r="F54" s="3265">
        <v>0.28999999999999998</v>
      </c>
      <c r="G54" s="3265">
        <v>0.83</v>
      </c>
      <c r="H54" s="3270"/>
      <c r="I54" s="3266">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6">
        <f>ROUND(IF(项目基本情况!$B$8="出让",SUMPRODUCT(PRODUCT(1+L54:L$60)),SUMPRODUCT(PRODUCT(1+L54:L$59))),4)</f>
        <v>1.0241</v>
      </c>
      <c r="T54" s="3276">
        <f>ROUND(IF(项目基本情况!$B$8="出让",SUMPRODUCT(PRODUCT(1+M54:M$60)),SUMPRODUCT(PRODUCT(1+M54:M$59))),4)</f>
        <v>1.0144</v>
      </c>
      <c r="U54" s="3276">
        <f>ROUND(IF(项目基本情况!$B$8="出让",SUMPRODUCT(PRODUCT(1+N54:N$60)),SUMPRODUCT(PRODUCT(1+N54:N$59))),4)</f>
        <v>1.0467</v>
      </c>
      <c r="V54" s="3276"/>
      <c r="W54" s="3276">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9">
        <f t="shared" si="183"/>
        <v>102.41</v>
      </c>
      <c r="AH54" s="3279">
        <f t="shared" si="184"/>
        <v>101.44</v>
      </c>
      <c r="AI54" s="3279">
        <f t="shared" si="185"/>
        <v>104.67</v>
      </c>
      <c r="AJ54" s="3279"/>
      <c r="AK54" s="3279">
        <f t="shared" si="186"/>
        <v>101.44</v>
      </c>
      <c r="AN54" s="3279">
        <f t="shared" si="195"/>
        <v>102.03427221759789</v>
      </c>
      <c r="AO54" s="3279">
        <f t="shared" si="206"/>
        <v>103.26142289595795</v>
      </c>
      <c r="AP54" s="3279">
        <f t="shared" si="207"/>
        <v>101.87401178172679</v>
      </c>
      <c r="AQ54" s="3279"/>
      <c r="AR54" s="3279">
        <f t="shared" si="208"/>
        <v>103.26142289595795</v>
      </c>
    </row>
    <row r="55" spans="1:44" s="1708" customFormat="1" ht="12.75">
      <c r="A55" s="2406" t="s">
        <v>3254</v>
      </c>
      <c r="B55" s="3258">
        <v>2022</v>
      </c>
      <c r="C55" s="3259">
        <v>2</v>
      </c>
      <c r="D55" s="2407"/>
      <c r="E55" s="3265">
        <v>-0.11</v>
      </c>
      <c r="F55" s="3265">
        <v>-0.13</v>
      </c>
      <c r="G55" s="3265">
        <v>0.53</v>
      </c>
      <c r="H55" s="3270"/>
      <c r="I55" s="3266">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6">
        <f>ROUND(IF(项目基本情况!$B$8="出让",SUMPRODUCT(PRODUCT(1+L55:L$60)),SUMPRODUCT(PRODUCT(1+L55:L$59))),4)</f>
        <v>1.0210999999999999</v>
      </c>
      <c r="T55" s="3276">
        <f>ROUND(IF(项目基本情况!$B$8="出让",SUMPRODUCT(PRODUCT(1+M55:M$60)),SUMPRODUCT(PRODUCT(1+M55:M$59))),4)</f>
        <v>1.0114000000000001</v>
      </c>
      <c r="U55" s="3276">
        <f>ROUND(IF(项目基本情况!$B$8="出让",SUMPRODUCT(PRODUCT(1+N55:N$60)),SUMPRODUCT(PRODUCT(1+N55:N$59))),4)</f>
        <v>1.0381</v>
      </c>
      <c r="V55" s="3276"/>
      <c r="W55" s="3276">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9">
        <f t="shared" si="183"/>
        <v>102.10999999999999</v>
      </c>
      <c r="AH55" s="3279">
        <f t="shared" si="184"/>
        <v>101.14000000000001</v>
      </c>
      <c r="AI55" s="3279">
        <f t="shared" si="185"/>
        <v>103.81</v>
      </c>
      <c r="AJ55" s="3279"/>
      <c r="AK55" s="3279">
        <f t="shared" si="186"/>
        <v>101.14000000000001</v>
      </c>
      <c r="AN55" s="3279">
        <f t="shared" si="195"/>
        <v>101.72908496270976</v>
      </c>
      <c r="AO55" s="3279">
        <f t="shared" si="206"/>
        <v>102.96283068696576</v>
      </c>
      <c r="AP55" s="3279">
        <f t="shared" si="207"/>
        <v>101.03541781387166</v>
      </c>
      <c r="AQ55" s="3279"/>
      <c r="AR55" s="3279">
        <f t="shared" si="208"/>
        <v>102.96283068696576</v>
      </c>
    </row>
    <row r="56" spans="1:44" s="1708" customFormat="1" ht="12.75">
      <c r="A56" s="2406" t="s">
        <v>2737</v>
      </c>
      <c r="B56" s="3258">
        <v>2022</v>
      </c>
      <c r="C56" s="3259">
        <v>1</v>
      </c>
      <c r="D56" s="2407"/>
      <c r="E56" s="3265">
        <v>0.6</v>
      </c>
      <c r="F56" s="3265">
        <v>0.45</v>
      </c>
      <c r="G56" s="3265">
        <v>0.53</v>
      </c>
      <c r="H56" s="3270"/>
      <c r="I56" s="3266">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6">
        <f>ROUND(IF(项目基本情况!$B$8="出让",SUMPRODUCT(PRODUCT(1+L56:L$60)),SUMPRODUCT(PRODUCT(1+L56:L$59))),4)</f>
        <v>1.0222</v>
      </c>
      <c r="T56" s="3276">
        <f>ROUND(IF(项目基本情况!$B$8="出让",SUMPRODUCT(PRODUCT(1+M56:M$60)),SUMPRODUCT(PRODUCT(1+M56:M$59))),4)</f>
        <v>1.0127999999999999</v>
      </c>
      <c r="U56" s="3276">
        <f>ROUND(IF(项目基本情况!$B$8="出让",SUMPRODUCT(PRODUCT(1+N56:N$60)),SUMPRODUCT(PRODUCT(1+N56:N$59))),4)</f>
        <v>1.0326</v>
      </c>
      <c r="V56" s="3276"/>
      <c r="W56" s="3276">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9">
        <f t="shared" si="183"/>
        <v>102.22</v>
      </c>
      <c r="AH56" s="3279">
        <f t="shared" si="184"/>
        <v>101.27999999999999</v>
      </c>
      <c r="AI56" s="3279">
        <f t="shared" si="185"/>
        <v>103.25999999999999</v>
      </c>
      <c r="AJ56" s="3279"/>
      <c r="AK56" s="3279">
        <f t="shared" si="186"/>
        <v>101.27999999999999</v>
      </c>
      <c r="AN56" s="3279">
        <f t="shared" si="195"/>
        <v>101.84111018391206</v>
      </c>
      <c r="AO56" s="3279">
        <f t="shared" si="206"/>
        <v>103.09685660054646</v>
      </c>
      <c r="AP56" s="3279">
        <f t="shared" si="207"/>
        <v>100.50275322179613</v>
      </c>
      <c r="AQ56" s="3279"/>
      <c r="AR56" s="3279">
        <f t="shared" si="208"/>
        <v>103.09685660054646</v>
      </c>
    </row>
    <row r="57" spans="1:44" s="1708" customFormat="1" ht="12.75">
      <c r="A57" s="2406" t="s">
        <v>2738</v>
      </c>
      <c r="B57" s="3258">
        <v>2021</v>
      </c>
      <c r="C57" s="3259">
        <v>4</v>
      </c>
      <c r="D57" s="2407"/>
      <c r="E57" s="3265">
        <v>0.57999999999999996</v>
      </c>
      <c r="F57" s="3265">
        <v>0.08</v>
      </c>
      <c r="G57" s="3265">
        <v>0.68</v>
      </c>
      <c r="H57" s="3270"/>
      <c r="I57" s="3266">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6">
        <f>ROUND(IF(项目基本情况!$B$8="出让",SUMPRODUCT(PRODUCT(1+L57:L$60)),SUMPRODUCT(PRODUCT(1+L57:L$59))),4)</f>
        <v>1.0161</v>
      </c>
      <c r="T57" s="3276">
        <f>ROUND(IF(项目基本情况!$B$8="出让",SUMPRODUCT(PRODUCT(1+M57:M$60)),SUMPRODUCT(PRODUCT(1+M57:M$59))),4)</f>
        <v>1.0082</v>
      </c>
      <c r="U57" s="3276">
        <f>ROUND(IF(项目基本情况!$B$8="出让",SUMPRODUCT(PRODUCT(1+N57:N$60)),SUMPRODUCT(PRODUCT(1+N57:N$59))),4)</f>
        <v>1.0270999999999999</v>
      </c>
      <c r="V57" s="3276"/>
      <c r="W57" s="3276">
        <f t="shared" si="237"/>
        <v>1.0082</v>
      </c>
      <c r="X57" s="2408"/>
      <c r="Y57" s="1696"/>
      <c r="Z57" s="2403">
        <f t="shared" si="238"/>
        <v>4.8999999999999998E-3</v>
      </c>
      <c r="AA57" s="2404">
        <f t="shared" si="238"/>
        <v>3.3E-3</v>
      </c>
      <c r="AB57" s="1696">
        <f t="shared" si="238"/>
        <v>9.1999999999999998E-3</v>
      </c>
      <c r="AC57" s="2405"/>
      <c r="AD57" s="1696">
        <f t="shared" si="238"/>
        <v>3.3E-3</v>
      </c>
      <c r="AG57" s="3279">
        <f t="shared" si="183"/>
        <v>101.61</v>
      </c>
      <c r="AH57" s="3279">
        <f t="shared" si="184"/>
        <v>100.82</v>
      </c>
      <c r="AI57" s="3279">
        <f t="shared" si="185"/>
        <v>102.71</v>
      </c>
      <c r="AJ57" s="3279"/>
      <c r="AK57" s="3279">
        <f t="shared" si="186"/>
        <v>100.82</v>
      </c>
      <c r="AN57" s="3279">
        <f t="shared" si="195"/>
        <v>101.23370793629429</v>
      </c>
      <c r="AO57" s="3279">
        <f t="shared" si="206"/>
        <v>102.63499910457587</v>
      </c>
      <c r="AP57" s="3279">
        <f t="shared" si="207"/>
        <v>99.972896868393633</v>
      </c>
      <c r="AQ57" s="3279"/>
      <c r="AR57" s="3279">
        <f t="shared" si="208"/>
        <v>102.63499910457587</v>
      </c>
    </row>
    <row r="58" spans="1:44" s="1708" customFormat="1" ht="12.75">
      <c r="A58" s="2406" t="s">
        <v>2739</v>
      </c>
      <c r="B58" s="3258">
        <v>2021</v>
      </c>
      <c r="C58" s="3259">
        <v>3</v>
      </c>
      <c r="D58" s="2407"/>
      <c r="E58" s="3265">
        <v>0.47</v>
      </c>
      <c r="F58" s="3265">
        <v>0.28000000000000003</v>
      </c>
      <c r="G58" s="3265">
        <v>0.91</v>
      </c>
      <c r="H58" s="3270"/>
      <c r="I58" s="3266">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6">
        <f>ROUND(IF(项目基本情况!$B$8="出让",SUMPRODUCT(PRODUCT(1+L58:L$60)),SUMPRODUCT(PRODUCT(1+L58:L$59))),4)</f>
        <v>1.0102</v>
      </c>
      <c r="T58" s="3276">
        <f>ROUND(IF(项目基本情况!$B$8="出让",SUMPRODUCT(PRODUCT(1+M58:M$60)),SUMPRODUCT(PRODUCT(1+M58:M$59))),4)</f>
        <v>1.0074000000000001</v>
      </c>
      <c r="U58" s="3276">
        <f>ROUND(IF(项目基本情况!$B$8="出让",SUMPRODUCT(PRODUCT(1+N58:N$60)),SUMPRODUCT(PRODUCT(1+N58:N$59))),4)</f>
        <v>1.0202</v>
      </c>
      <c r="V58" s="3276"/>
      <c r="W58" s="3276">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9">
        <f t="shared" si="183"/>
        <v>101.02</v>
      </c>
      <c r="AH58" s="3279">
        <f t="shared" si="184"/>
        <v>100.74000000000001</v>
      </c>
      <c r="AI58" s="3279">
        <f t="shared" si="185"/>
        <v>102.02</v>
      </c>
      <c r="AJ58" s="3279"/>
      <c r="AK58" s="3279">
        <f t="shared" si="186"/>
        <v>100.74000000000001</v>
      </c>
      <c r="AN58" s="3279">
        <f t="shared" si="195"/>
        <v>100.649938294188</v>
      </c>
      <c r="AO58" s="3279">
        <f t="shared" si="206"/>
        <v>102.55295673918452</v>
      </c>
      <c r="AP58" s="3279">
        <f t="shared" si="207"/>
        <v>99.297672694073938</v>
      </c>
      <c r="AQ58" s="3279"/>
      <c r="AR58" s="3279">
        <f t="shared" si="208"/>
        <v>102.55295673918452</v>
      </c>
    </row>
    <row r="59" spans="1:44" s="1708" customFormat="1" ht="12.75">
      <c r="A59" s="2406" t="s">
        <v>2740</v>
      </c>
      <c r="B59" s="3258">
        <v>2021</v>
      </c>
      <c r="C59" s="3259">
        <v>2</v>
      </c>
      <c r="D59" s="2407"/>
      <c r="E59" s="3265">
        <v>0.55000000000000004</v>
      </c>
      <c r="F59" s="3265">
        <v>0.46</v>
      </c>
      <c r="G59" s="3265">
        <v>1.1000000000000001</v>
      </c>
      <c r="H59" s="3270"/>
      <c r="I59" s="3266">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6">
        <f>ROUND(IF(项目基本情况!$B$8="出让",SUMPRODUCT(PRODUCT(1+L59:L$60)),SUMPRODUCT(PRODUCT(1+L59:L$59))),4)</f>
        <v>1.0055000000000001</v>
      </c>
      <c r="T59" s="3276">
        <f>ROUND(IF(项目基本情况!$B$8="出让",SUMPRODUCT(PRODUCT(1+M59:M$60)),SUMPRODUCT(PRODUCT(1+M59:M$59))),4)</f>
        <v>1.0045999999999999</v>
      </c>
      <c r="U59" s="3276">
        <f>ROUND(IF(项目基本情况!$B$8="出让",SUMPRODUCT(PRODUCT(1+N59:N$60)),SUMPRODUCT(PRODUCT(1+N59:N$59))),4)</f>
        <v>1.0109999999999999</v>
      </c>
      <c r="V59" s="3276"/>
      <c r="W59" s="3276">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9">
        <f>$AG$60*S59</f>
        <v>100.55000000000001</v>
      </c>
      <c r="AH59" s="3279">
        <f t="shared" ref="AH59:AK59" si="239">$AG$60*T59</f>
        <v>100.46</v>
      </c>
      <c r="AI59" s="3279">
        <f t="shared" si="239"/>
        <v>101.1</v>
      </c>
      <c r="AJ59" s="3279"/>
      <c r="AK59" s="3279">
        <f t="shared" si="239"/>
        <v>100.46</v>
      </c>
      <c r="AN59" s="3279">
        <f t="shared" si="195"/>
        <v>100.1790965404479</v>
      </c>
      <c r="AO59" s="3279">
        <f t="shared" si="206"/>
        <v>102.26661023053903</v>
      </c>
      <c r="AP59" s="3279">
        <f t="shared" si="207"/>
        <v>98.402212559779926</v>
      </c>
      <c r="AQ59" s="3279"/>
      <c r="AR59" s="3279">
        <f t="shared" si="208"/>
        <v>102.26661023053903</v>
      </c>
    </row>
    <row r="60" spans="1:44" s="2421" customFormat="1" ht="14.25" thickBot="1">
      <c r="A60" s="2415" t="s">
        <v>2726</v>
      </c>
      <c r="B60" s="3262">
        <v>2021</v>
      </c>
      <c r="C60" s="3263">
        <v>1</v>
      </c>
      <c r="D60" s="2416"/>
      <c r="E60" s="3271">
        <v>0.35</v>
      </c>
      <c r="F60" s="3271">
        <v>0.48</v>
      </c>
      <c r="G60" s="3271">
        <v>0.98</v>
      </c>
      <c r="H60" s="3272"/>
      <c r="I60" s="3273">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8">
        <v>1</v>
      </c>
      <c r="T60" s="3278">
        <v>1</v>
      </c>
      <c r="U60" s="3278">
        <v>1</v>
      </c>
      <c r="V60" s="3278"/>
      <c r="W60" s="3278">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2">
        <v>100</v>
      </c>
      <c r="AH60" s="3282">
        <v>100</v>
      </c>
      <c r="AI60" s="3282">
        <v>100</v>
      </c>
      <c r="AJ60" s="3282"/>
      <c r="AK60" s="3282">
        <v>100</v>
      </c>
      <c r="AN60" s="3283">
        <f t="shared" si="195"/>
        <v>99.631125351017303</v>
      </c>
      <c r="AO60" s="3283">
        <f t="shared" si="206"/>
        <v>101.79833787630803</v>
      </c>
      <c r="AP60" s="3283">
        <f t="shared" si="207"/>
        <v>97.331565341028622</v>
      </c>
      <c r="AQ60" s="3283"/>
      <c r="AR60" s="3283">
        <f t="shared" si="208"/>
        <v>101.79833787630803</v>
      </c>
    </row>
    <row r="61" spans="1:44" ht="14.25" thickTop="1"/>
    <row r="62" spans="1:44">
      <c r="A62" s="2624" t="s">
        <v>3279</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89" t="str">
        <f>IF(项目基本情况!B9="房地产市场价值","估价结果一览表","结果表-2")</f>
        <v>结果表-2</v>
      </c>
      <c r="B1" s="4189"/>
      <c r="C1" s="4189"/>
      <c r="D1" s="4189"/>
      <c r="E1" s="4189"/>
      <c r="F1" s="4189"/>
      <c r="G1" s="4189"/>
      <c r="H1" s="4189"/>
      <c r="I1" s="4189"/>
    </row>
    <row r="2" spans="1:9" ht="30" customHeight="1" thickTop="1">
      <c r="A2" s="4190" t="s">
        <v>915</v>
      </c>
      <c r="B2" s="4190" t="s">
        <v>916</v>
      </c>
      <c r="C2" s="4190" t="s">
        <v>917</v>
      </c>
      <c r="D2" s="4190" t="str">
        <f>结果表!D116</f>
        <v>出让国有建设用地使用权价值</v>
      </c>
      <c r="E2" s="4190"/>
      <c r="F2" s="4190">
        <f>结果表!F116</f>
        <v>0</v>
      </c>
      <c r="G2" s="4190"/>
      <c r="H2" s="4190" t="str">
        <f>IF(项目基本情况!B9="房地产市场价值","房地产市场价值","房地产价值")</f>
        <v>房地产价值</v>
      </c>
      <c r="I2" s="4190"/>
    </row>
    <row r="3" spans="1:9" ht="15">
      <c r="A3" s="4191"/>
      <c r="B3" s="4191"/>
      <c r="C3" s="4191"/>
      <c r="D3" s="595" t="s">
        <v>912</v>
      </c>
      <c r="E3" s="595" t="s">
        <v>918</v>
      </c>
      <c r="F3" s="595" t="s">
        <v>912</v>
      </c>
      <c r="G3" s="595" t="s">
        <v>913</v>
      </c>
      <c r="H3" s="595" t="s">
        <v>912</v>
      </c>
      <c r="I3" s="595" t="s">
        <v>913</v>
      </c>
    </row>
    <row r="4" spans="1:9" ht="15">
      <c r="A4" s="1120" t="str">
        <f>项目基本情况!S2</f>
        <v>北京市房地产</v>
      </c>
      <c r="B4" s="595">
        <f>项目基本情况!C17</f>
        <v>1048.8</v>
      </c>
      <c r="C4" s="595">
        <f>项目基本情况!C18</f>
        <v>0</v>
      </c>
      <c r="D4" s="595" t="e">
        <f ca="1">结果表!D118</f>
        <v>#REF!</v>
      </c>
      <c r="E4" s="595" t="e">
        <f ca="1">结果表!E118</f>
        <v>#REF!</v>
      </c>
      <c r="F4" s="595" t="e">
        <f ca="1">结果表!F118</f>
        <v>#REF!</v>
      </c>
      <c r="G4" s="595" t="e">
        <f ca="1">结果表!G118</f>
        <v>#REF!</v>
      </c>
      <c r="H4" s="595" t="e">
        <f ca="1">结果表!H118</f>
        <v>#REF!</v>
      </c>
      <c r="I4" s="595" t="e">
        <f ca="1">结果表!I118</f>
        <v>#REF!</v>
      </c>
    </row>
    <row r="5" spans="1:9" ht="30" customHeight="1">
      <c r="A5" s="4191" t="s">
        <v>914</v>
      </c>
      <c r="B5" s="4191"/>
      <c r="C5" s="4191"/>
      <c r="D5" s="4191" t="e">
        <f ca="1">结果表!D119</f>
        <v>#REF!</v>
      </c>
      <c r="E5" s="4191"/>
      <c r="F5" s="4191" t="e">
        <f ca="1">结果表!F119</f>
        <v>#REF!</v>
      </c>
      <c r="G5" s="4191"/>
      <c r="H5" s="4191" t="e">
        <f ca="1">结果表!H119</f>
        <v>#REF!</v>
      </c>
      <c r="I5" s="4191"/>
    </row>
    <row r="6" spans="1:9" ht="15.75">
      <c r="A6" s="4192" t="str">
        <f>结果表!A120</f>
        <v>估价师知悉的法定优先受偿款</v>
      </c>
      <c r="B6" s="4192"/>
      <c r="C6" s="4192"/>
      <c r="D6" s="4192">
        <f>结果表!D120</f>
        <v>0</v>
      </c>
      <c r="E6" s="4192"/>
      <c r="F6" s="4192"/>
      <c r="G6" s="4192"/>
      <c r="H6" s="4192"/>
      <c r="I6" s="4192"/>
    </row>
    <row r="7" spans="1:9" ht="15">
      <c r="A7" s="4191" t="s">
        <v>914</v>
      </c>
      <c r="B7" s="4191"/>
      <c r="C7" s="4191"/>
      <c r="D7" s="4193" t="str">
        <f>结果表!D121</f>
        <v>零元整</v>
      </c>
      <c r="E7" s="4194"/>
      <c r="F7" s="4194"/>
      <c r="G7" s="4194"/>
      <c r="H7" s="4194"/>
      <c r="I7" s="4195"/>
    </row>
    <row r="8" spans="1:9" ht="15.75">
      <c r="A8" s="4192" t="str">
        <f>结果表!A122</f>
        <v>房地产抵押价值</v>
      </c>
      <c r="B8" s="4192"/>
      <c r="C8" s="4192"/>
      <c r="D8" s="4192" t="e">
        <f ca="1">结果表!D122</f>
        <v>#REF!</v>
      </c>
      <c r="E8" s="4192"/>
      <c r="F8" s="4192"/>
      <c r="G8" s="4192"/>
      <c r="H8" s="4192"/>
      <c r="I8" s="4192"/>
    </row>
    <row r="9" spans="1:9" ht="15">
      <c r="A9" s="4191" t="s">
        <v>914</v>
      </c>
      <c r="B9" s="4191"/>
      <c r="C9" s="4191"/>
      <c r="D9" s="4191" t="e">
        <f ca="1">结果表!D123</f>
        <v>#REF!</v>
      </c>
      <c r="E9" s="4191"/>
      <c r="F9" s="4191"/>
      <c r="G9" s="4191"/>
      <c r="H9" s="4191"/>
      <c r="I9" s="4191"/>
    </row>
    <row r="10" spans="1:9" ht="15.75">
      <c r="A10" s="4192" t="str">
        <f>结果表!A124</f>
        <v/>
      </c>
      <c r="B10" s="4192"/>
      <c r="C10" s="4192"/>
      <c r="D10" s="4192" t="str">
        <f>结果表!D124</f>
        <v>——</v>
      </c>
      <c r="E10" s="4192"/>
      <c r="F10" s="4192"/>
      <c r="G10" s="4192"/>
      <c r="H10" s="4192"/>
      <c r="I10" s="4192"/>
    </row>
    <row r="11" spans="1:9" ht="15">
      <c r="A11" s="4191" t="s">
        <v>914</v>
      </c>
      <c r="B11" s="4191"/>
      <c r="C11" s="4191"/>
      <c r="D11" s="4191" t="e">
        <f>结果表!D125</f>
        <v>#VALUE!</v>
      </c>
      <c r="E11" s="4191"/>
      <c r="F11" s="4191"/>
      <c r="G11" s="4191"/>
      <c r="H11" s="4191"/>
      <c r="I11" s="4191"/>
    </row>
    <row r="12" spans="1:9" ht="15.75">
      <c r="A12" s="4192" t="str">
        <f>结果表!A126</f>
        <v/>
      </c>
      <c r="B12" s="4192"/>
      <c r="C12" s="4192"/>
      <c r="D12" s="4192" t="str">
        <f>结果表!D126</f>
        <v>——</v>
      </c>
      <c r="E12" s="4192"/>
      <c r="F12" s="4192"/>
      <c r="G12" s="4192"/>
      <c r="H12" s="4192"/>
      <c r="I12" s="4192"/>
    </row>
    <row r="13" spans="1:9" ht="15.75" thickBot="1">
      <c r="A13" s="4196" t="s">
        <v>914</v>
      </c>
      <c r="B13" s="4196"/>
      <c r="C13" s="4196"/>
      <c r="D13" s="4196" t="e">
        <f>结果表!D127</f>
        <v>#VALUE!</v>
      </c>
      <c r="E13" s="4196"/>
      <c r="F13" s="4196"/>
      <c r="G13" s="4196"/>
      <c r="H13" s="4196"/>
      <c r="I13" s="4196"/>
    </row>
    <row r="14" spans="1:9" ht="15" thickTop="1">
      <c r="A14" s="4197" t="s">
        <v>919</v>
      </c>
      <c r="B14" s="4197"/>
      <c r="C14" s="4197"/>
      <c r="D14" s="4197"/>
      <c r="E14" s="4197"/>
      <c r="F14" s="4197"/>
      <c r="G14" s="4197"/>
      <c r="H14" s="4197"/>
      <c r="I14" s="4197"/>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F26" sqref="F26"/>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602" t="s">
        <v>446</v>
      </c>
      <c r="C1" s="4602"/>
      <c r="D1" s="4602"/>
      <c r="E1" s="4602"/>
      <c r="F1" s="4602"/>
      <c r="G1" s="4598" t="s">
        <v>447</v>
      </c>
      <c r="H1" s="4598"/>
      <c r="I1" s="4598"/>
      <c r="J1" s="4598"/>
      <c r="K1" s="4598"/>
      <c r="L1" s="4598"/>
      <c r="N1" s="4598" t="s">
        <v>448</v>
      </c>
      <c r="O1" s="4598"/>
      <c r="P1" s="4598"/>
      <c r="Q1" s="4598"/>
      <c r="S1" s="4598" t="s">
        <v>449</v>
      </c>
      <c r="T1" s="4598"/>
      <c r="U1" s="4598"/>
      <c r="V1" s="4598"/>
      <c r="X1" s="4597" t="s">
        <v>450</v>
      </c>
      <c r="Y1" s="4598"/>
      <c r="Z1" s="4598"/>
      <c r="AA1" s="4598"/>
      <c r="AB1" s="4598"/>
      <c r="AD1" s="4597" t="s">
        <v>451</v>
      </c>
      <c r="AE1" s="4598"/>
      <c r="AF1" s="4598"/>
      <c r="AG1" s="4598"/>
      <c r="AH1" s="4598"/>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2030</v>
      </c>
      <c r="B3" s="1685"/>
      <c r="C3" s="1685"/>
      <c r="D3" s="1686"/>
      <c r="E3" s="1686"/>
      <c r="F3" s="1685"/>
      <c r="G3" s="1687"/>
      <c r="I3" s="3305">
        <f>ROUND(AVERAGE($I4:$I40),2)</f>
        <v>1.55</v>
      </c>
      <c r="J3" s="3305">
        <f>ROUND(AVERAGE($J4:$J40),2)</f>
        <v>0.97</v>
      </c>
      <c r="K3" s="3305">
        <f>ROUND(AVERAGE($K4:$K40),2)</f>
        <v>1.66</v>
      </c>
      <c r="L3" s="3305">
        <f>ROUND(AVERAGE($L4:$L40),2)</f>
        <v>1.1000000000000001</v>
      </c>
      <c r="N3" s="1687"/>
      <c r="S3" s="1687"/>
      <c r="W3" s="1689"/>
      <c r="X3" s="3317">
        <f>ROUND(SUMPRODUCT(PRODUCT(1+N3:N$39)),4)</f>
        <v>1.6585000000000001</v>
      </c>
      <c r="Y3" s="3317">
        <f>ROUND(SUMPRODUCT(PRODUCT(1+O3:O$39)),4)</f>
        <v>1.3676999999999999</v>
      </c>
      <c r="Z3" s="3317">
        <f t="shared" ref="Z3:Z37" si="0">Y3</f>
        <v>1.3676999999999999</v>
      </c>
      <c r="AA3" s="3317">
        <f>ROUND(SUMPRODUCT(PRODUCT(1+P3:P$39)),4)</f>
        <v>1.7434000000000001</v>
      </c>
      <c r="AB3" s="3317">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3262</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8">
        <v>2022</v>
      </c>
      <c r="H5" s="3259">
        <v>1</v>
      </c>
      <c r="I5" s="3265">
        <v>0</v>
      </c>
      <c r="J5" s="3265">
        <v>0</v>
      </c>
      <c r="K5" s="3265">
        <v>0</v>
      </c>
      <c r="L5" s="3266">
        <v>0</v>
      </c>
      <c r="M5" s="1695"/>
      <c r="N5" s="1706">
        <f t="shared" ref="N5" si="7">I5/100</f>
        <v>0</v>
      </c>
      <c r="O5" s="1696">
        <f t="shared" ref="O5" si="8">J5/100</f>
        <v>0</v>
      </c>
      <c r="P5" s="1696">
        <f t="shared" ref="P5" si="9">K5/100</f>
        <v>0</v>
      </c>
      <c r="Q5" s="1696">
        <f t="shared" ref="Q5" si="10">L5/100</f>
        <v>0</v>
      </c>
      <c r="R5" s="1707"/>
      <c r="S5" s="1706"/>
      <c r="T5" s="1696"/>
      <c r="U5" s="1696"/>
      <c r="V5" s="1696"/>
      <c r="W5" s="1695"/>
      <c r="X5" s="3276" t="e">
        <f>ROUND(IF(项目基本情况!#REF!="出让",SUMPRODUCT(PRODUCT(1+N5:N$40)),SUMPRODUCT(PRODUCT(1+N5:N$39))),4)</f>
        <v>#REF!</v>
      </c>
      <c r="Y5" s="3276" t="e">
        <f>ROUND(IF(项目基本情况!#REF!="出让",SUMPRODUCT(PRODUCT(1+O5:O$40)),SUMPRODUCT(PRODUCT(1+O5:O$39))),4)</f>
        <v>#REF!</v>
      </c>
      <c r="Z5" s="3276" t="e">
        <f t="shared" ref="Z5" si="11">Y5</f>
        <v>#REF!</v>
      </c>
      <c r="AA5" s="3276" t="e">
        <f>ROUND(IF(项目基本情况!#REF!="出让",SUMPRODUCT(PRODUCT(1+P5:P$40)),SUMPRODUCT(PRODUCT(1+P5:P$39))),4)</f>
        <v>#REF!</v>
      </c>
      <c r="AB5" s="3276"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3259</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8">
        <v>2022</v>
      </c>
      <c r="H6" s="3293">
        <v>1</v>
      </c>
      <c r="I6" s="3306">
        <v>0</v>
      </c>
      <c r="J6" s="3306">
        <v>0</v>
      </c>
      <c r="K6" s="3306">
        <v>0</v>
      </c>
      <c r="L6" s="3306">
        <v>0</v>
      </c>
      <c r="N6" s="1700">
        <f t="shared" ref="N6" si="18">I6/100</f>
        <v>0</v>
      </c>
      <c r="O6" s="1700">
        <f t="shared" ref="O6" si="19">J6/100</f>
        <v>0</v>
      </c>
      <c r="P6" s="1700">
        <f t="shared" ref="P6" si="20">K6/100</f>
        <v>0</v>
      </c>
      <c r="Q6" s="1700">
        <f t="shared" ref="Q6" si="21">L6/100</f>
        <v>0</v>
      </c>
      <c r="S6" s="1701"/>
      <c r="W6" s="1702" t="s">
        <v>2031</v>
      </c>
      <c r="X6" s="3318" t="e">
        <f>ROUND(IF(项目基本情况!#REF!="出让",SUMPRODUCT(PRODUCT(1+N6:N$40)),SUMPRODUCT(PRODUCT(1+N6:N$39))),4)</f>
        <v>#REF!</v>
      </c>
      <c r="Y6" s="3318" t="e">
        <f>ROUND(IF(项目基本情况!#REF!="出让",SUMPRODUCT(PRODUCT(1+O6:O$40)),SUMPRODUCT(PRODUCT(1+O6:O$39))),4)</f>
        <v>#REF!</v>
      </c>
      <c r="Z6" s="3318" t="e">
        <f t="shared" ref="Z6" si="22">Y6</f>
        <v>#REF!</v>
      </c>
      <c r="AA6" s="3318" t="e">
        <f>ROUND(IF(项目基本情况!#REF!="出让",SUMPRODUCT(PRODUCT(1+P6:P$40)),SUMPRODUCT(PRODUCT(1+P6:P$39))),4)</f>
        <v>#REF!</v>
      </c>
      <c r="AB6" s="3318"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3260</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8">
        <v>2022</v>
      </c>
      <c r="H7" s="3259">
        <v>1</v>
      </c>
      <c r="I7" s="3265">
        <v>0</v>
      </c>
      <c r="J7" s="3265">
        <v>0</v>
      </c>
      <c r="K7" s="3265">
        <v>0</v>
      </c>
      <c r="L7" s="3266">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6" t="e">
        <f>ROUND(IF(项目基本情况!#REF!="出让",SUMPRODUCT(PRODUCT(1+N7:N$40)),SUMPRODUCT(PRODUCT(1+N7:N$39))),4)</f>
        <v>#REF!</v>
      </c>
      <c r="Y7" s="3276" t="e">
        <f>ROUND(IF(项目基本情况!#REF!="出让",SUMPRODUCT(PRODUCT(1+O7:O$40)),SUMPRODUCT(PRODUCT(1+O7:O$39))),4)</f>
        <v>#REF!</v>
      </c>
      <c r="Z7" s="3276" t="e">
        <f t="shared" ref="Z7" si="33">Y7</f>
        <v>#REF!</v>
      </c>
      <c r="AA7" s="3276" t="e">
        <f>ROUND(IF(项目基本情况!#REF!="出让",SUMPRODUCT(PRODUCT(1+P7:P$40)),SUMPRODUCT(PRODUCT(1+P7:P$39))),4)</f>
        <v>#REF!</v>
      </c>
      <c r="AB7" s="3276"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3261</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8">
        <v>2022</v>
      </c>
      <c r="H8" s="3259">
        <v>1</v>
      </c>
      <c r="I8" s="3265"/>
      <c r="J8" s="3265"/>
      <c r="K8" s="3265">
        <v>0</v>
      </c>
      <c r="L8" s="3266">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6">
        <f>ROUND(IF(项目基本情况!B1="出让",SUMPRODUCT(PRODUCT(1+N8:N$40)),SUMPRODUCT(PRODUCT(1+N8:N$39))),4)</f>
        <v>1.6585000000000001</v>
      </c>
      <c r="Y8" s="3276">
        <f>ROUND(IF(项目基本情况!B1="出让",SUMPRODUCT(PRODUCT(1+O8:O$40)),SUMPRODUCT(PRODUCT(1+O8:O$39))),4)</f>
        <v>1.3676999999999999</v>
      </c>
      <c r="Z8" s="3276">
        <f t="shared" ref="Z8" si="44">Y8</f>
        <v>1.3676999999999999</v>
      </c>
      <c r="AA8" s="3276">
        <f>ROUND(IF(项目基本情况!B1="出让",SUMPRODUCT(PRODUCT(1+P8:P$40)),SUMPRODUCT(PRODUCT(1+P8:P$39))),4)</f>
        <v>1.7434000000000001</v>
      </c>
      <c r="AB8" s="3276">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2338</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8">
        <v>2021</v>
      </c>
      <c r="H9" s="3259">
        <v>4</v>
      </c>
      <c r="I9" s="3265">
        <v>1.03</v>
      </c>
      <c r="J9" s="3265">
        <v>0.24</v>
      </c>
      <c r="K9" s="3265">
        <v>1.17</v>
      </c>
      <c r="L9" s="3266">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6">
        <f>ROUND(IF(项目基本情况!B2="出让",SUMPRODUCT(PRODUCT(1+N9:N$40)),SUMPRODUCT(PRODUCT(1+N9:N$39))),4)</f>
        <v>1.6585000000000001</v>
      </c>
      <c r="Y9" s="3276">
        <f>ROUND(IF(项目基本情况!B2="出让",SUMPRODUCT(PRODUCT(1+O9:O$40)),SUMPRODUCT(PRODUCT(1+O9:O$39))),4)</f>
        <v>1.3676999999999999</v>
      </c>
      <c r="Z9" s="3276">
        <f t="shared" ref="Z9" si="55">Y9</f>
        <v>1.3676999999999999</v>
      </c>
      <c r="AA9" s="3276">
        <f>ROUND(IF(项目基本情况!B2="出让",SUMPRODUCT(PRODUCT(1+P9:P$40)),SUMPRODUCT(PRODUCT(1+P9:P$39))),4)</f>
        <v>1.7434000000000001</v>
      </c>
      <c r="AB9" s="3276">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2220</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8">
        <v>2021</v>
      </c>
      <c r="H10" s="3259">
        <v>3</v>
      </c>
      <c r="I10" s="3265">
        <v>0.47</v>
      </c>
      <c r="J10" s="3265">
        <v>0.41</v>
      </c>
      <c r="K10" s="3265">
        <v>0.48</v>
      </c>
      <c r="L10" s="3266">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6">
        <f>ROUND(IF(项目基本情况!B3="出让",SUMPRODUCT(PRODUCT(1+N10:N$40)),SUMPRODUCT(PRODUCT(1+N10:N$39))),4)</f>
        <v>1.6415999999999999</v>
      </c>
      <c r="Y10" s="3276">
        <f>ROUND(IF(项目基本情况!B3="出让",SUMPRODUCT(PRODUCT(1+O10:O$40)),SUMPRODUCT(PRODUCT(1+O10:O$39))),4)</f>
        <v>1.3644000000000001</v>
      </c>
      <c r="Z10" s="3276">
        <f t="shared" ref="Z10" si="66">Y10</f>
        <v>1.3644000000000001</v>
      </c>
      <c r="AA10" s="3276">
        <f>ROUND(IF(项目基本情况!B3="出让",SUMPRODUCT(PRODUCT(1+P10:P$40)),SUMPRODUCT(PRODUCT(1+P10:P$39))),4)</f>
        <v>1.7232000000000001</v>
      </c>
      <c r="AB10" s="3276">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2219</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8">
        <v>2021</v>
      </c>
      <c r="H11" s="3259">
        <v>2</v>
      </c>
      <c r="I11" s="3265">
        <v>0.92</v>
      </c>
      <c r="J11" s="3265">
        <v>0.72</v>
      </c>
      <c r="K11" s="3265">
        <v>0.95</v>
      </c>
      <c r="L11" s="3266">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6">
        <f>ROUND(IF(项目基本情况!B4="出让",SUMPRODUCT(PRODUCT(1+N11:N$40)),SUMPRODUCT(PRODUCT(1+N11:N$39))),4)</f>
        <v>1.6338999999999999</v>
      </c>
      <c r="Y11" s="3276">
        <f>ROUND(IF(项目基本情况!B4="出让",SUMPRODUCT(PRODUCT(1+O11:O$40)),SUMPRODUCT(PRODUCT(1+O11:O$39))),4)</f>
        <v>1.3588</v>
      </c>
      <c r="Z11" s="3276">
        <f t="shared" ref="Z11" si="77">Y11</f>
        <v>1.3588</v>
      </c>
      <c r="AA11" s="3276">
        <f>ROUND(IF(项目基本情况!B4="出让",SUMPRODUCT(PRODUCT(1+P11:P$40)),SUMPRODUCT(PRODUCT(1+P11:P$39))),4)</f>
        <v>1.7150000000000001</v>
      </c>
      <c r="AB11" s="3276">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2218</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8">
        <v>2021</v>
      </c>
      <c r="H12" s="3259">
        <v>1</v>
      </c>
      <c r="I12" s="3265">
        <v>0.97</v>
      </c>
      <c r="J12" s="3265">
        <v>0.16</v>
      </c>
      <c r="K12" s="3265">
        <v>1.1100000000000001</v>
      </c>
      <c r="L12" s="3266">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6">
        <f>ROUND(IF(项目基本情况!B5="出让",SUMPRODUCT(PRODUCT(1+N12:N$40)),SUMPRODUCT(PRODUCT(1+N12:N$39))),4)</f>
        <v>1.619</v>
      </c>
      <c r="Y12" s="3276">
        <f>ROUND(IF(项目基本情况!B5="出让",SUMPRODUCT(PRODUCT(1+O12:O$40)),SUMPRODUCT(PRODUCT(1+O12:O$39))),4)</f>
        <v>1.3491</v>
      </c>
      <c r="Z12" s="3276">
        <f t="shared" ref="Z12" si="91">Y12</f>
        <v>1.3491</v>
      </c>
      <c r="AA12" s="3276">
        <f>ROUND(IF(项目基本情况!B5="出让",SUMPRODUCT(PRODUCT(1+P12:P$40)),SUMPRODUCT(PRODUCT(1+P12:P$39))),4)</f>
        <v>1.6988000000000001</v>
      </c>
      <c r="AB12" s="3276">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2215</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8">
        <v>2020</v>
      </c>
      <c r="H13" s="3259">
        <v>4</v>
      </c>
      <c r="I13" s="3265">
        <v>2.0699999999999998</v>
      </c>
      <c r="J13" s="3265">
        <v>0.37</v>
      </c>
      <c r="K13" s="3265">
        <v>2.35</v>
      </c>
      <c r="L13" s="3266">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6">
        <f>ROUND(IF(项目基本情况!B6="出让",SUMPRODUCT(PRODUCT(1+N13:N$40)),SUMPRODUCT(PRODUCT(1+N13:N$39))),4)</f>
        <v>1.6034999999999999</v>
      </c>
      <c r="Y13" s="3276">
        <f>ROUND(IF(项目基本情况!B6="出让",SUMPRODUCT(PRODUCT(1+O13:O$40)),SUMPRODUCT(PRODUCT(1+O13:O$39))),4)</f>
        <v>1.3469</v>
      </c>
      <c r="Z13" s="3276">
        <f t="shared" ref="Z13" si="102">Y13</f>
        <v>1.3469</v>
      </c>
      <c r="AA13" s="3276">
        <f>ROUND(IF(项目基本情况!B6="出让",SUMPRODUCT(PRODUCT(1+P13:P$40)),SUMPRODUCT(PRODUCT(1+P13:P$39))),4)</f>
        <v>1.6801999999999999</v>
      </c>
      <c r="AB13" s="3276">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2214</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8">
        <v>2020</v>
      </c>
      <c r="H14" s="3259">
        <v>3</v>
      </c>
      <c r="I14" s="3265">
        <v>0.36</v>
      </c>
      <c r="J14" s="3265">
        <v>-0.39</v>
      </c>
      <c r="K14" s="3265">
        <v>0.49</v>
      </c>
      <c r="L14" s="3266">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6">
        <f>ROUND(IF(项目基本情况!B7="出让",SUMPRODUCT(PRODUCT(1+N14:N$40)),SUMPRODUCT(PRODUCT(1+N14:N$39))),4)</f>
        <v>1.571</v>
      </c>
      <c r="Y14" s="3276">
        <f>ROUND(IF(项目基本情况!B7="出让",SUMPRODUCT(PRODUCT(1+O14:O$40)),SUMPRODUCT(PRODUCT(1+O14:O$39))),4)</f>
        <v>1.3420000000000001</v>
      </c>
      <c r="Z14" s="3276">
        <f t="shared" ref="Z14" si="113">Y14</f>
        <v>1.3420000000000001</v>
      </c>
      <c r="AA14" s="3276">
        <f>ROUND(IF(项目基本情况!B7="出让",SUMPRODUCT(PRODUCT(1+P14:P$40)),SUMPRODUCT(PRODUCT(1+P14:P$39))),4)</f>
        <v>1.6415999999999999</v>
      </c>
      <c r="AB14" s="3276">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8">
        <v>2020</v>
      </c>
      <c r="H15" s="3259">
        <v>2</v>
      </c>
      <c r="I15" s="3265">
        <v>0.31</v>
      </c>
      <c r="J15" s="3265">
        <v>-0.78</v>
      </c>
      <c r="K15" s="3265">
        <v>0.5</v>
      </c>
      <c r="L15" s="3266">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6">
        <f>ROUND(IF(项目基本情况!B8="出让",SUMPRODUCT(PRODUCT(1+N15:N$40)),SUMPRODUCT(PRODUCT(1+N15:N$39))),4)</f>
        <v>1.5652999999999999</v>
      </c>
      <c r="Y15" s="3276">
        <f>ROUND(IF(项目基本情况!B8="出让",SUMPRODUCT(PRODUCT(1+O15:O$40)),SUMPRODUCT(PRODUCT(1+O15:O$39))),4)</f>
        <v>1.3472</v>
      </c>
      <c r="Z15" s="3276">
        <f t="shared" ref="Z15" si="124">Y15</f>
        <v>1.3472</v>
      </c>
      <c r="AA15" s="3276">
        <f>ROUND(IF(项目基本情况!B8="出让",SUMPRODUCT(PRODUCT(1+P15:P$40)),SUMPRODUCT(PRODUCT(1+P15:P$39))),4)</f>
        <v>1.6335999999999999</v>
      </c>
      <c r="AB15" s="3276">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8">
        <v>2020</v>
      </c>
      <c r="H16" s="3259">
        <v>1</v>
      </c>
      <c r="I16" s="3265">
        <v>0.12</v>
      </c>
      <c r="J16" s="3265">
        <v>-0.4</v>
      </c>
      <c r="K16" s="3265">
        <v>0.21</v>
      </c>
      <c r="L16" s="3266">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6">
        <f>ROUND(IF(项目基本情况!B8="出让",SUMPRODUCT(PRODUCT(1+N16:N$40)),SUMPRODUCT(PRODUCT(1+N16:N$39))),4)</f>
        <v>1.5605</v>
      </c>
      <c r="Y16" s="3276">
        <f>ROUND(IF(项目基本情况!B8="出让",SUMPRODUCT(PRODUCT(1+O16:O$40)),SUMPRODUCT(PRODUCT(1+O16:O$39))),4)</f>
        <v>1.3577999999999999</v>
      </c>
      <c r="Z16" s="3276">
        <f t="shared" ref="Z16" si="138">Y16</f>
        <v>1.3577999999999999</v>
      </c>
      <c r="AA16" s="3276">
        <f>ROUND(IF(项目基本情况!B8="出让",SUMPRODUCT(PRODUCT(1+P16:P$40)),SUMPRODUCT(PRODUCT(1+P16:P$39))),4)</f>
        <v>1.6254999999999999</v>
      </c>
      <c r="AB16" s="3276">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8">
        <v>2019</v>
      </c>
      <c r="H17" s="3259">
        <v>4</v>
      </c>
      <c r="I17" s="3257">
        <v>0.45</v>
      </c>
      <c r="J17" s="3257">
        <v>-0.12</v>
      </c>
      <c r="K17" s="3257">
        <v>0.54</v>
      </c>
      <c r="L17" s="3307">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6">
        <f>ROUND(IF(项目基本情况!B8="出让",SUMPRODUCT(PRODUCT(1+N17:N$40)),SUMPRODUCT(PRODUCT(1+N17:N$39))),4)</f>
        <v>1.5586</v>
      </c>
      <c r="Y17" s="3276">
        <f>ROUND(IF(项目基本情况!B8="出让",SUMPRODUCT(PRODUCT(1+O17:O$40)),SUMPRODUCT(PRODUCT(1+O17:O$39))),4)</f>
        <v>1.3633</v>
      </c>
      <c r="Z17" s="3276">
        <f t="shared" ref="Z17" si="149">Y17</f>
        <v>1.3633</v>
      </c>
      <c r="AA17" s="3276">
        <f>ROUND(IF(项目基本情况!B8="出让",SUMPRODUCT(PRODUCT(1+P17:P$40)),SUMPRODUCT(PRODUCT(1+P17:P$39))),4)</f>
        <v>1.6221000000000001</v>
      </c>
      <c r="AB17" s="3276">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8">
        <v>2019</v>
      </c>
      <c r="H18" s="3259">
        <v>3</v>
      </c>
      <c r="I18" s="3257">
        <v>0.61</v>
      </c>
      <c r="J18" s="3257">
        <v>0.67</v>
      </c>
      <c r="K18" s="3257">
        <v>0.6</v>
      </c>
      <c r="L18" s="3307">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6">
        <f>ROUND(IF(项目基本情况!B8="出让",SUMPRODUCT(PRODUCT(1+N18:N$40)),SUMPRODUCT(PRODUCT(1+N18:N$39))),4)</f>
        <v>1.5516000000000001</v>
      </c>
      <c r="Y18" s="3276">
        <f>ROUND(IF(项目基本情况!B8="出让",SUMPRODUCT(PRODUCT(1+O18:O$40)),SUMPRODUCT(PRODUCT(1+O18:O$39))),4)</f>
        <v>1.3649</v>
      </c>
      <c r="Z18" s="3276">
        <f t="shared" ref="Z18" si="159">Y18</f>
        <v>1.3649</v>
      </c>
      <c r="AA18" s="3276">
        <f>ROUND(IF(项目基本情况!B8="出让",SUMPRODUCT(PRODUCT(1+P18:P$40)),SUMPRODUCT(PRODUCT(1+P18:P$39))),4)</f>
        <v>1.6133999999999999</v>
      </c>
      <c r="AB18" s="3276">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8">
        <v>2019</v>
      </c>
      <c r="H19" s="3294">
        <v>2</v>
      </c>
      <c r="I19" s="3284">
        <v>1.53</v>
      </c>
      <c r="J19" s="3284">
        <v>1.01</v>
      </c>
      <c r="K19" s="3284">
        <v>1.62</v>
      </c>
      <c r="L19" s="3308">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6">
        <f>ROUND(IF(项目基本情况!B8="出让",SUMPRODUCT(PRODUCT(1+N19:N$40)),SUMPRODUCT(PRODUCT(1+N19:N$39))),4)</f>
        <v>1.5422</v>
      </c>
      <c r="Y19" s="3276">
        <f>ROUND(IF(项目基本情况!B8="出让",SUMPRODUCT(PRODUCT(1+O19:O$40)),SUMPRODUCT(PRODUCT(1+O19:O$39))),4)</f>
        <v>1.3557999999999999</v>
      </c>
      <c r="Z19" s="3276">
        <f t="shared" ref="Z19" si="169">Y19</f>
        <v>1.3557999999999999</v>
      </c>
      <c r="AA19" s="3276">
        <f>ROUND(IF(项目基本情况!B8="出让",SUMPRODUCT(PRODUCT(1+P19:P$40)),SUMPRODUCT(PRODUCT(1+P19:P$39))),4)</f>
        <v>1.6036999999999999</v>
      </c>
      <c r="AB19" s="3276">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8">
        <v>2019</v>
      </c>
      <c r="H20" s="3259">
        <v>1</v>
      </c>
      <c r="I20" s="3257">
        <v>0.6</v>
      </c>
      <c r="J20" s="3257">
        <v>0.37</v>
      </c>
      <c r="K20" s="3257">
        <v>0.63</v>
      </c>
      <c r="L20" s="3307">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6">
        <f>ROUND(IF(项目基本情况!B8="出让",SUMPRODUCT(PRODUCT(1+N20:N$40)),SUMPRODUCT(PRODUCT(1+N20:N$39))),4)</f>
        <v>1.5189999999999999</v>
      </c>
      <c r="Y20" s="3276">
        <f>ROUND(IF(项目基本情况!B8="出让",SUMPRODUCT(PRODUCT(1+O20:O$40)),SUMPRODUCT(PRODUCT(1+O20:O$39))),4)</f>
        <v>1.3423</v>
      </c>
      <c r="Z20" s="3276">
        <f t="shared" ref="Z20" si="182">Y20</f>
        <v>1.3423</v>
      </c>
      <c r="AA20" s="3276">
        <f>ROUND(IF(项目基本情况!B8="出让",SUMPRODUCT(PRODUCT(1+P20:P$40)),SUMPRODUCT(PRODUCT(1+P20:P$39))),4)</f>
        <v>1.5782</v>
      </c>
      <c r="AB20" s="3276">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600">
        <v>2018</v>
      </c>
      <c r="H21" s="3294">
        <v>4</v>
      </c>
      <c r="I21" s="3284">
        <v>0.96</v>
      </c>
      <c r="J21" s="3284">
        <v>1.03</v>
      </c>
      <c r="K21" s="3284">
        <v>0.92</v>
      </c>
      <c r="L21" s="3308">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6">
        <f>ROUND(SUMPRODUCT(PRODUCT(1+N21:N$39)),4)</f>
        <v>1.5099</v>
      </c>
      <c r="Y21" s="3276">
        <f>ROUND(SUMPRODUCT(PRODUCT(1+O21:O$39)),4)</f>
        <v>1.3372999999999999</v>
      </c>
      <c r="Z21" s="3276">
        <f t="shared" ref="Z21" si="192">Y21</f>
        <v>1.3372999999999999</v>
      </c>
      <c r="AA21" s="3276">
        <f>ROUND(SUMPRODUCT(PRODUCT(1+P21:P$39)),4)</f>
        <v>1.5683</v>
      </c>
      <c r="AB21" s="3276">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600"/>
      <c r="H22" s="3259">
        <v>3</v>
      </c>
      <c r="I22" s="3257">
        <v>1.51</v>
      </c>
      <c r="J22" s="3257">
        <v>1.41</v>
      </c>
      <c r="K22" s="3257">
        <v>1.52</v>
      </c>
      <c r="L22" s="3307">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6">
        <f>ROUND(SUMPRODUCT(PRODUCT(1+N22:N$39)),4)</f>
        <v>1.4956</v>
      </c>
      <c r="Y22" s="3276">
        <f>ROUND(SUMPRODUCT(PRODUCT(1+O22:O$39)),4)</f>
        <v>1.3237000000000001</v>
      </c>
      <c r="Z22" s="3276">
        <f t="shared" ref="Z22" si="202">Y22</f>
        <v>1.3237000000000001</v>
      </c>
      <c r="AA22" s="3276">
        <f>ROUND(SUMPRODUCT(PRODUCT(1+P22:P$39)),4)</f>
        <v>1.554</v>
      </c>
      <c r="AB22" s="3276">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600"/>
      <c r="H23" s="3295">
        <v>2</v>
      </c>
      <c r="I23" s="3285">
        <v>1.49</v>
      </c>
      <c r="J23" s="3285">
        <v>0.96</v>
      </c>
      <c r="K23" s="3285">
        <v>1.58</v>
      </c>
      <c r="L23" s="3309">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6">
        <f>ROUND(SUMPRODUCT(PRODUCT(1+N23:N$39)),4)</f>
        <v>1.4733000000000001</v>
      </c>
      <c r="Y23" s="3276">
        <f>ROUND(SUMPRODUCT(PRODUCT(1+O23:O$39)),4)</f>
        <v>1.3052999999999999</v>
      </c>
      <c r="Z23" s="3276">
        <f t="shared" ref="Z23" si="213">Y23</f>
        <v>1.3052999999999999</v>
      </c>
      <c r="AA23" s="3276">
        <f>ROUND(SUMPRODUCT(PRODUCT(1+P23:P$39)),4)</f>
        <v>1.5306999999999999</v>
      </c>
      <c r="AB23" s="3276">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607"/>
      <c r="H24" s="3259">
        <v>1</v>
      </c>
      <c r="I24" s="3257">
        <v>1.7</v>
      </c>
      <c r="J24" s="3257">
        <v>1.92</v>
      </c>
      <c r="K24" s="3257">
        <v>1.64</v>
      </c>
      <c r="L24" s="3307">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6">
        <f>ROUND(SUMPRODUCT(PRODUCT(1+N24:N$39)),4)</f>
        <v>1.4517</v>
      </c>
      <c r="Y24" s="3276">
        <f>ROUND(SUMPRODUCT(PRODUCT(1+O24:O$39)),4)</f>
        <v>1.2928999999999999</v>
      </c>
      <c r="Z24" s="3276">
        <f t="shared" ref="Z24" si="227">Y24</f>
        <v>1.2928999999999999</v>
      </c>
      <c r="AA24" s="3276">
        <f>ROUND(SUMPRODUCT(PRODUCT(1+P24:P$39)),4)</f>
        <v>1.5068999999999999</v>
      </c>
      <c r="AB24" s="3276">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2027</v>
      </c>
      <c r="B25" s="1709">
        <v>439</v>
      </c>
      <c r="C25" s="1709">
        <v>327</v>
      </c>
      <c r="D25" s="1709">
        <f>C25</f>
        <v>327</v>
      </c>
      <c r="E25" s="1709">
        <v>627</v>
      </c>
      <c r="F25" s="1710">
        <v>283</v>
      </c>
      <c r="G25" s="4603">
        <v>2017</v>
      </c>
      <c r="H25" s="3294">
        <v>4</v>
      </c>
      <c r="I25" s="3284">
        <v>1.71</v>
      </c>
      <c r="J25" s="3284">
        <v>1.78</v>
      </c>
      <c r="K25" s="3284">
        <v>1.71</v>
      </c>
      <c r="L25" s="3308">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6">
        <f>ROUND(SUMPRODUCT(PRODUCT(1+N25:N$39)),4)</f>
        <v>1.4274</v>
      </c>
      <c r="Y25" s="3276">
        <f>ROUND(SUMPRODUCT(PRODUCT(1+O25:O$39)),4)</f>
        <v>1.2685</v>
      </c>
      <c r="Z25" s="3276">
        <f t="shared" si="0"/>
        <v>1.2685</v>
      </c>
      <c r="AA25" s="3276">
        <f>ROUND(SUMPRODUCT(PRODUCT(1+P25:P$39)),4)</f>
        <v>1.4825999999999999</v>
      </c>
      <c r="AB25" s="3276">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600"/>
      <c r="H26" s="3259">
        <v>3</v>
      </c>
      <c r="I26" s="3257">
        <v>2.98</v>
      </c>
      <c r="J26" s="3257">
        <v>2.11</v>
      </c>
      <c r="K26" s="3257">
        <v>3.24</v>
      </c>
      <c r="L26" s="3307">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6">
        <f>ROUND(SUMPRODUCT(PRODUCT(1+N26:N$39)),4)</f>
        <v>1.4034</v>
      </c>
      <c r="Y26" s="3276">
        <f>ROUND(SUMPRODUCT(PRODUCT(1+O26:O$39)),4)</f>
        <v>1.2463</v>
      </c>
      <c r="Z26" s="3276">
        <f t="shared" si="0"/>
        <v>1.2463</v>
      </c>
      <c r="AA26" s="3276">
        <f>ROUND(SUMPRODUCT(PRODUCT(1+P26:P$39)),4)</f>
        <v>1.4577</v>
      </c>
      <c r="AB26" s="3276">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600"/>
      <c r="H27" s="3295">
        <v>2</v>
      </c>
      <c r="I27" s="3285">
        <v>3.4</v>
      </c>
      <c r="J27" s="3285">
        <v>2</v>
      </c>
      <c r="K27" s="3285">
        <v>3.82</v>
      </c>
      <c r="L27" s="3309">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6">
        <f>ROUND(SUMPRODUCT(PRODUCT(1+N27:N$39)),4)</f>
        <v>1.3628</v>
      </c>
      <c r="Y27" s="3276">
        <f>ROUND(SUMPRODUCT(PRODUCT(1+O27:O$39)),4)</f>
        <v>1.2205999999999999</v>
      </c>
      <c r="Z27" s="3276">
        <f t="shared" si="0"/>
        <v>1.2205999999999999</v>
      </c>
      <c r="AA27" s="3276">
        <f>ROUND(SUMPRODUCT(PRODUCT(1+P27:P$39)),4)</f>
        <v>1.4118999999999999</v>
      </c>
      <c r="AB27" s="3276">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607"/>
      <c r="H28" s="3259">
        <v>1</v>
      </c>
      <c r="I28" s="3257">
        <v>3.45</v>
      </c>
      <c r="J28" s="3257">
        <v>1.92</v>
      </c>
      <c r="K28" s="3257">
        <v>3.92</v>
      </c>
      <c r="L28" s="3307">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6">
        <f>ROUND(SUMPRODUCT(PRODUCT(1+N28:N$39)),4)</f>
        <v>1.3180000000000001</v>
      </c>
      <c r="Y28" s="3276">
        <f>ROUND(SUMPRODUCT(PRODUCT(1+O28:O$39)),4)</f>
        <v>1.1966000000000001</v>
      </c>
      <c r="Z28" s="3276">
        <f t="shared" si="0"/>
        <v>1.1966000000000001</v>
      </c>
      <c r="AA28" s="3276">
        <f>ROUND(SUMPRODUCT(PRODUCT(1+P28:P$39)),4)</f>
        <v>1.36</v>
      </c>
      <c r="AB28" s="3276">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603">
        <v>2016</v>
      </c>
      <c r="H29" s="3294">
        <v>4</v>
      </c>
      <c r="I29" s="3284">
        <v>4.5599999999999996</v>
      </c>
      <c r="J29" s="3284">
        <v>2.15</v>
      </c>
      <c r="K29" s="3284">
        <v>5.32</v>
      </c>
      <c r="L29" s="3308">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6">
        <f>ROUND(SUMPRODUCT(PRODUCT(1+N29:N$39)),4)</f>
        <v>1.274</v>
      </c>
      <c r="Y29" s="3276">
        <f>ROUND(SUMPRODUCT(PRODUCT(1+O29:O$39)),4)</f>
        <v>1.1740999999999999</v>
      </c>
      <c r="Z29" s="3276">
        <f t="shared" si="0"/>
        <v>1.1740999999999999</v>
      </c>
      <c r="AA29" s="3276">
        <f>ROUND(SUMPRODUCT(PRODUCT(1+P29:P$39)),4)</f>
        <v>1.3087</v>
      </c>
      <c r="AB29" s="3276">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600"/>
      <c r="H30" s="3259">
        <v>3</v>
      </c>
      <c r="I30" s="3257">
        <v>4.12</v>
      </c>
      <c r="J30" s="3257">
        <v>2</v>
      </c>
      <c r="K30" s="3257">
        <v>4.79</v>
      </c>
      <c r="L30" s="3307">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6">
        <f>ROUND(SUMPRODUCT(PRODUCT(1+N30:N$39)),4)</f>
        <v>1.2184999999999999</v>
      </c>
      <c r="Y30" s="3276">
        <f>ROUND(SUMPRODUCT(PRODUCT(1+O30:O$39)),4)</f>
        <v>1.1494</v>
      </c>
      <c r="Z30" s="3276">
        <f t="shared" si="0"/>
        <v>1.1494</v>
      </c>
      <c r="AA30" s="3276">
        <f>ROUND(SUMPRODUCT(PRODUCT(1+P30:P$39)),4)</f>
        <v>1.2425999999999999</v>
      </c>
      <c r="AB30" s="3276">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600"/>
      <c r="H31" s="3295">
        <v>2</v>
      </c>
      <c r="I31" s="3285">
        <v>3.85</v>
      </c>
      <c r="J31" s="3285">
        <v>1.95</v>
      </c>
      <c r="K31" s="3285">
        <v>4.4800000000000004</v>
      </c>
      <c r="L31" s="3309">
        <v>1.41</v>
      </c>
      <c r="N31" s="1706">
        <f t="shared" si="248"/>
        <v>3.85E-2</v>
      </c>
      <c r="O31" s="1696">
        <f t="shared" si="243"/>
        <v>1.95E-2</v>
      </c>
      <c r="P31" s="1696">
        <f t="shared" si="243"/>
        <v>4.4800000000000006E-2</v>
      </c>
      <c r="Q31" s="1696">
        <f t="shared" si="243"/>
        <v>1.41E-2</v>
      </c>
      <c r="R31" s="1707"/>
      <c r="S31" s="1706"/>
      <c r="T31" s="1696"/>
      <c r="U31" s="1696"/>
      <c r="V31" s="1696"/>
      <c r="X31" s="3276">
        <f>ROUND(SUMPRODUCT(PRODUCT(1+N31:N$39)),4)</f>
        <v>1.1702999999999999</v>
      </c>
      <c r="Y31" s="3276">
        <f>ROUND(SUMPRODUCT(PRODUCT(1+O31:O$39)),4)</f>
        <v>1.1269</v>
      </c>
      <c r="Z31" s="3276">
        <f t="shared" si="0"/>
        <v>1.1269</v>
      </c>
      <c r="AA31" s="3276">
        <f>ROUND(SUMPRODUCT(PRODUCT(1+P31:P$39)),4)</f>
        <v>1.1858</v>
      </c>
      <c r="AB31" s="3276">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601"/>
      <c r="H32" s="3259">
        <v>1</v>
      </c>
      <c r="I32" s="3257">
        <v>4.09</v>
      </c>
      <c r="J32" s="3257">
        <v>2.93</v>
      </c>
      <c r="K32" s="3257">
        <v>4.54</v>
      </c>
      <c r="L32" s="3307">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6">
        <f>ROUND(SUMPRODUCT(PRODUCT(1+N32:N$39)),4)</f>
        <v>1.1269</v>
      </c>
      <c r="Y32" s="3276">
        <f>ROUND(SUMPRODUCT(PRODUCT(1+O32:O$39)),4)</f>
        <v>1.1052999999999999</v>
      </c>
      <c r="Z32" s="3276">
        <f t="shared" si="0"/>
        <v>1.1052999999999999</v>
      </c>
      <c r="AA32" s="3276">
        <f>ROUND(SUMPRODUCT(PRODUCT(1+P32:P$39)),4)</f>
        <v>1.1349</v>
      </c>
      <c r="AB32" s="3276">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99">
        <v>2015</v>
      </c>
      <c r="H33" s="3296">
        <v>4</v>
      </c>
      <c r="I33" s="3286">
        <v>1.63</v>
      </c>
      <c r="J33" s="3286">
        <v>1.1100000000000001</v>
      </c>
      <c r="K33" s="3286">
        <v>1.77</v>
      </c>
      <c r="L33" s="3310">
        <v>1.89</v>
      </c>
      <c r="N33" s="1715">
        <f t="shared" si="248"/>
        <v>1.6299999999999999E-2</v>
      </c>
      <c r="O33" s="1716">
        <f t="shared" si="243"/>
        <v>1.11E-2</v>
      </c>
      <c r="P33" s="1716">
        <f t="shared" si="243"/>
        <v>1.77E-2</v>
      </c>
      <c r="Q33" s="1716">
        <f t="shared" si="243"/>
        <v>1.89E-2</v>
      </c>
      <c r="R33" s="1707"/>
      <c r="X33" s="3276">
        <f>ROUND(SUMPRODUCT(PRODUCT(1+N33:N$39)),4)</f>
        <v>1.0826</v>
      </c>
      <c r="Y33" s="3276">
        <f>ROUND(SUMPRODUCT(PRODUCT(1+O33:O$39)),4)</f>
        <v>1.0738000000000001</v>
      </c>
      <c r="Z33" s="3276">
        <f t="shared" si="0"/>
        <v>1.0738000000000001</v>
      </c>
      <c r="AA33" s="3276">
        <f>ROUND(SUMPRODUCT(PRODUCT(1+P33:P$39)),4)</f>
        <v>1.0855999999999999</v>
      </c>
      <c r="AB33" s="3276">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600"/>
      <c r="H34" s="3297">
        <v>3</v>
      </c>
      <c r="I34" s="3287">
        <v>1.65</v>
      </c>
      <c r="J34" s="3287">
        <v>0.92</v>
      </c>
      <c r="K34" s="3287">
        <v>1.88</v>
      </c>
      <c r="L34" s="3311">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6">
        <f>ROUND(SUMPRODUCT(PRODUCT(1+N34:N$39)),4)</f>
        <v>1.0651999999999999</v>
      </c>
      <c r="Y34" s="3276">
        <f>ROUND(SUMPRODUCT(PRODUCT(1+O34:O$39)),4)</f>
        <v>1.0621</v>
      </c>
      <c r="Z34" s="3276">
        <f t="shared" si="0"/>
        <v>1.0621</v>
      </c>
      <c r="AA34" s="3276">
        <f>ROUND(SUMPRODUCT(PRODUCT(1+P34:P$39)),4)</f>
        <v>1.0668</v>
      </c>
      <c r="AB34" s="3276">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600"/>
      <c r="H35" s="3295">
        <v>2</v>
      </c>
      <c r="I35" s="3285">
        <v>0.77</v>
      </c>
      <c r="J35" s="3285">
        <v>0.69</v>
      </c>
      <c r="K35" s="3285">
        <v>0.8</v>
      </c>
      <c r="L35" s="3309">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6">
        <f>ROUND(SUMPRODUCT(PRODUCT(1+N35:N$39)),4)</f>
        <v>1.048</v>
      </c>
      <c r="Y35" s="3276">
        <f>ROUND(SUMPRODUCT(PRODUCT(1+O35:O$39)),4)</f>
        <v>1.0524</v>
      </c>
      <c r="Z35" s="3276">
        <f t="shared" si="0"/>
        <v>1.0524</v>
      </c>
      <c r="AA35" s="3276">
        <f>ROUND(SUMPRODUCT(PRODUCT(1+P35:P$39)),4)</f>
        <v>1.0470999999999999</v>
      </c>
      <c r="AB35" s="3276">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601"/>
      <c r="H36" s="3259">
        <v>1</v>
      </c>
      <c r="I36" s="3257">
        <v>0.51</v>
      </c>
      <c r="J36" s="3257">
        <v>0.54</v>
      </c>
      <c r="K36" s="3257">
        <v>0.48</v>
      </c>
      <c r="L36" s="3307">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6">
        <f>ROUND(SUMPRODUCT(PRODUCT(1+N36:N$39)),4)</f>
        <v>1.0399</v>
      </c>
      <c r="Y36" s="3276">
        <f>ROUND(SUMPRODUCT(PRODUCT(1+O36:O$39)),4)</f>
        <v>1.0451999999999999</v>
      </c>
      <c r="Z36" s="3276">
        <f t="shared" si="0"/>
        <v>1.0451999999999999</v>
      </c>
      <c r="AA36" s="3276">
        <f>ROUND(SUMPRODUCT(PRODUCT(1+P36:P$39)),4)</f>
        <v>1.0387999999999999</v>
      </c>
      <c r="AB36" s="3276">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99">
        <v>2014</v>
      </c>
      <c r="H37" s="3296">
        <v>4</v>
      </c>
      <c r="I37" s="3286">
        <v>0.21</v>
      </c>
      <c r="J37" s="3286">
        <v>0.41</v>
      </c>
      <c r="K37" s="3286">
        <v>0.12</v>
      </c>
      <c r="L37" s="3310">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6">
        <f>ROUND(SUMPRODUCT(PRODUCT(1+N37:N$39)),4)</f>
        <v>1.0347</v>
      </c>
      <c r="Y37" s="3276">
        <f>ROUND(SUMPRODUCT(PRODUCT(1+O37:O$39)),4)</f>
        <v>1.0395000000000001</v>
      </c>
      <c r="Z37" s="3276">
        <f t="shared" si="0"/>
        <v>1.0395000000000001</v>
      </c>
      <c r="AA37" s="3276">
        <f>ROUND(SUMPRODUCT(PRODUCT(1+P37:P$39)),4)</f>
        <v>1.0338000000000001</v>
      </c>
      <c r="AB37" s="3276">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600"/>
      <c r="H38" s="3298">
        <v>3</v>
      </c>
      <c r="I38" s="3288">
        <v>0.83</v>
      </c>
      <c r="J38" s="3288">
        <v>1.47</v>
      </c>
      <c r="K38" s="3288">
        <v>0.65</v>
      </c>
      <c r="L38" s="3312">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6">
        <f>ROUND(SUMPRODUCT(PRODUCT(1+N38:N$39)),4)</f>
        <v>1.0325</v>
      </c>
      <c r="Y38" s="3276">
        <f>ROUND(SUMPRODUCT(PRODUCT(1+O38:O$39)),4)</f>
        <v>1.0353000000000001</v>
      </c>
      <c r="Z38" s="3276">
        <f t="shared" ref="Z38:Z39" si="253">Y38</f>
        <v>1.0353000000000001</v>
      </c>
      <c r="AA38" s="3276">
        <f>ROUND(SUMPRODUCT(PRODUCT(1+P38:P$39)),4)</f>
        <v>1.0326</v>
      </c>
      <c r="AB38" s="3276">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600"/>
      <c r="H39" s="3296">
        <v>2</v>
      </c>
      <c r="I39" s="3286">
        <v>2.4</v>
      </c>
      <c r="J39" s="3286">
        <v>2.0299999999999998</v>
      </c>
      <c r="K39" s="3286">
        <v>2.59</v>
      </c>
      <c r="L39" s="3310">
        <v>1.52</v>
      </c>
      <c r="N39" s="1706">
        <f t="shared" si="248"/>
        <v>2.4E-2</v>
      </c>
      <c r="O39" s="1696">
        <f t="shared" si="243"/>
        <v>2.0299999999999999E-2</v>
      </c>
      <c r="P39" s="1696">
        <f t="shared" si="243"/>
        <v>2.5899999999999999E-2</v>
      </c>
      <c r="Q39" s="1696">
        <f t="shared" si="243"/>
        <v>1.52E-2</v>
      </c>
      <c r="R39" s="1707"/>
      <c r="S39" s="1706"/>
      <c r="T39" s="1696"/>
      <c r="U39" s="1696"/>
      <c r="V39" s="1696"/>
      <c r="X39" s="3276">
        <f>1+N39</f>
        <v>1.024</v>
      </c>
      <c r="Y39" s="3276">
        <f>1+O39</f>
        <v>1.0203</v>
      </c>
      <c r="Z39" s="3276">
        <f t="shared" si="253"/>
        <v>1.0203</v>
      </c>
      <c r="AA39" s="3276">
        <f>1+P39</f>
        <v>1.0259</v>
      </c>
      <c r="AB39" s="3276">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601"/>
      <c r="H40" s="3299">
        <v>1</v>
      </c>
      <c r="I40" s="3289">
        <v>2.97</v>
      </c>
      <c r="J40" s="3289">
        <v>2.34</v>
      </c>
      <c r="K40" s="3289">
        <v>3.28</v>
      </c>
      <c r="L40" s="3313">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9">
        <v>1</v>
      </c>
      <c r="Y40" s="3319">
        <v>1</v>
      </c>
      <c r="Z40" s="3319">
        <v>1</v>
      </c>
      <c r="AA40" s="3319">
        <v>1</v>
      </c>
      <c r="AB40" s="3319">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604">
        <v>2013</v>
      </c>
      <c r="H41" s="3300">
        <v>4</v>
      </c>
      <c r="I41" s="3290">
        <v>1.83</v>
      </c>
      <c r="J41" s="3290">
        <v>1.68</v>
      </c>
      <c r="K41" s="3290">
        <v>1.97</v>
      </c>
      <c r="L41" s="3314">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605"/>
      <c r="H42" s="3297">
        <v>3</v>
      </c>
      <c r="I42" s="3287">
        <v>1.86</v>
      </c>
      <c r="J42" s="3287">
        <v>1.72</v>
      </c>
      <c r="K42" s="3287">
        <v>1.98</v>
      </c>
      <c r="L42" s="3311">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605"/>
      <c r="H43" s="3295">
        <v>2</v>
      </c>
      <c r="I43" s="3285">
        <v>2.04</v>
      </c>
      <c r="J43" s="3285">
        <v>2.33</v>
      </c>
      <c r="K43" s="3285">
        <v>2.0699999999999998</v>
      </c>
      <c r="L43" s="3309">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606"/>
      <c r="H44" s="3259">
        <v>1</v>
      </c>
      <c r="I44" s="3257">
        <v>1.67</v>
      </c>
      <c r="J44" s="3257">
        <v>1.31</v>
      </c>
      <c r="K44" s="3257">
        <v>1.85</v>
      </c>
      <c r="L44" s="3307">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99">
        <v>2012</v>
      </c>
      <c r="H45" s="3296">
        <v>4</v>
      </c>
      <c r="I45" s="3286">
        <v>0.91</v>
      </c>
      <c r="J45" s="3286">
        <v>0.68</v>
      </c>
      <c r="K45" s="3286">
        <v>0.98</v>
      </c>
      <c r="L45" s="3310">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600"/>
      <c r="H46" s="3297">
        <v>3</v>
      </c>
      <c r="I46" s="3287">
        <v>0.09</v>
      </c>
      <c r="J46" s="3287">
        <v>0.28999999999999998</v>
      </c>
      <c r="K46" s="3287">
        <v>-0.01</v>
      </c>
      <c r="L46" s="3311">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600"/>
      <c r="H47" s="3295">
        <v>2</v>
      </c>
      <c r="I47" s="3285">
        <v>0.02</v>
      </c>
      <c r="J47" s="3285">
        <v>0.12</v>
      </c>
      <c r="K47" s="3285">
        <v>-0.08</v>
      </c>
      <c r="L47" s="3309">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601"/>
      <c r="H48" s="3259">
        <v>1</v>
      </c>
      <c r="I48" s="3257">
        <v>0.02</v>
      </c>
      <c r="J48" s="3257">
        <v>0.13</v>
      </c>
      <c r="K48" s="3257">
        <v>-0.04</v>
      </c>
      <c r="L48" s="3307">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99">
        <v>2011</v>
      </c>
      <c r="H49" s="3296">
        <v>4</v>
      </c>
      <c r="I49" s="3286">
        <v>-0.2</v>
      </c>
      <c r="J49" s="3286">
        <v>0.04</v>
      </c>
      <c r="K49" s="3286">
        <v>-0.34</v>
      </c>
      <c r="L49" s="3310">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600">
        <v>2011</v>
      </c>
      <c r="H50" s="3297">
        <v>3</v>
      </c>
      <c r="I50" s="3287">
        <v>0.13</v>
      </c>
      <c r="J50" s="3287">
        <v>0.75</v>
      </c>
      <c r="K50" s="3287">
        <v>-0.08</v>
      </c>
      <c r="L50" s="3311">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600">
        <v>2011</v>
      </c>
      <c r="H51" s="3295">
        <v>2</v>
      </c>
      <c r="I51" s="3285">
        <v>-0.4</v>
      </c>
      <c r="J51" s="3285">
        <v>0.17</v>
      </c>
      <c r="K51" s="3285">
        <v>-0.57999999999999996</v>
      </c>
      <c r="L51" s="3309">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601">
        <v>2011</v>
      </c>
      <c r="H52" s="3259">
        <v>1</v>
      </c>
      <c r="I52" s="3257">
        <v>2.65</v>
      </c>
      <c r="J52" s="3257">
        <v>3.76</v>
      </c>
      <c r="K52" s="3257">
        <v>1.89</v>
      </c>
      <c r="L52" s="3307">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99">
        <v>2010</v>
      </c>
      <c r="H53" s="3296">
        <v>4</v>
      </c>
      <c r="I53" s="3286">
        <v>5.72</v>
      </c>
      <c r="J53" s="3286">
        <v>6.57</v>
      </c>
      <c r="K53" s="3286">
        <v>5.72</v>
      </c>
      <c r="L53" s="3310">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600">
        <v>2010</v>
      </c>
      <c r="H54" s="3297">
        <v>3</v>
      </c>
      <c r="I54" s="3287">
        <v>4.7300000000000004</v>
      </c>
      <c r="J54" s="3287">
        <v>3.9</v>
      </c>
      <c r="K54" s="3287">
        <v>5.03</v>
      </c>
      <c r="L54" s="3311">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600">
        <v>2010</v>
      </c>
      <c r="H55" s="3295">
        <v>2</v>
      </c>
      <c r="I55" s="3285">
        <v>4.6900000000000004</v>
      </c>
      <c r="J55" s="3285">
        <v>3.55</v>
      </c>
      <c r="K55" s="3285">
        <v>5.07</v>
      </c>
      <c r="L55" s="3309">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601">
        <v>2010</v>
      </c>
      <c r="H56" s="3259">
        <v>1</v>
      </c>
      <c r="I56" s="3257">
        <v>5.4</v>
      </c>
      <c r="J56" s="3257">
        <v>3.2</v>
      </c>
      <c r="K56" s="3257">
        <v>6.16</v>
      </c>
      <c r="L56" s="3307">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99">
        <v>2009</v>
      </c>
      <c r="H57" s="3296">
        <v>4</v>
      </c>
      <c r="I57" s="3286">
        <v>2.2999999999999998</v>
      </c>
      <c r="J57" s="3286">
        <v>1.04</v>
      </c>
      <c r="K57" s="3286">
        <v>2.84</v>
      </c>
      <c r="L57" s="3310">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600">
        <v>2009</v>
      </c>
      <c r="H58" s="3297">
        <v>3</v>
      </c>
      <c r="I58" s="3287">
        <v>2.1</v>
      </c>
      <c r="J58" s="3287">
        <v>1.86</v>
      </c>
      <c r="K58" s="3287">
        <v>2.29</v>
      </c>
      <c r="L58" s="3311">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600">
        <v>2009</v>
      </c>
      <c r="H59" s="3295">
        <v>2</v>
      </c>
      <c r="I59" s="3285">
        <v>0.86</v>
      </c>
      <c r="J59" s="3285">
        <v>-1.1299999999999999</v>
      </c>
      <c r="K59" s="3285">
        <v>1.79</v>
      </c>
      <c r="L59" s="3309">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601">
        <v>2009</v>
      </c>
      <c r="H60" s="3259">
        <v>1</v>
      </c>
      <c r="I60" s="3257">
        <v>-2.64</v>
      </c>
      <c r="J60" s="3257">
        <v>-2.5299999999999998</v>
      </c>
      <c r="K60" s="3257">
        <v>-3.02</v>
      </c>
      <c r="L60" s="3307">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99">
        <v>2008</v>
      </c>
      <c r="H61" s="3296">
        <v>4</v>
      </c>
      <c r="I61" s="3286">
        <v>1.73</v>
      </c>
      <c r="J61" s="3286">
        <v>0.03</v>
      </c>
      <c r="K61" s="3286">
        <v>2.59</v>
      </c>
      <c r="L61" s="3310">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600">
        <v>2008</v>
      </c>
      <c r="H62" s="3297">
        <v>3</v>
      </c>
      <c r="I62" s="3287">
        <v>1.96</v>
      </c>
      <c r="J62" s="3287">
        <v>2.36</v>
      </c>
      <c r="K62" s="3287">
        <v>1.82</v>
      </c>
      <c r="L62" s="3311">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600">
        <v>2008</v>
      </c>
      <c r="H63" s="3295">
        <v>2</v>
      </c>
      <c r="I63" s="3285">
        <v>4.93</v>
      </c>
      <c r="J63" s="3285">
        <v>7.38</v>
      </c>
      <c r="K63" s="3285">
        <v>3.98</v>
      </c>
      <c r="L63" s="3309">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601">
        <v>2008</v>
      </c>
      <c r="H64" s="3301">
        <v>1</v>
      </c>
      <c r="I64" s="3291">
        <v>4.1399999999999997</v>
      </c>
      <c r="J64" s="3291">
        <v>3.45</v>
      </c>
      <c r="K64" s="3291">
        <v>4.95</v>
      </c>
      <c r="L64" s="3315">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99">
        <v>2007</v>
      </c>
      <c r="H65" s="3302">
        <v>4</v>
      </c>
      <c r="I65" s="3292">
        <v>5.51</v>
      </c>
      <c r="J65" s="3292">
        <v>4.8899999999999997</v>
      </c>
      <c r="K65" s="3292">
        <v>6.43</v>
      </c>
      <c r="L65" s="3316">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600">
        <v>2007</v>
      </c>
      <c r="H66" s="3297">
        <v>3</v>
      </c>
      <c r="I66" s="3287">
        <v>8.65</v>
      </c>
      <c r="J66" s="3287">
        <v>8.06</v>
      </c>
      <c r="K66" s="3287">
        <v>9.94</v>
      </c>
      <c r="L66" s="3311">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600">
        <v>2007</v>
      </c>
      <c r="H67" s="3295">
        <v>2</v>
      </c>
      <c r="I67" s="3285">
        <v>3.67</v>
      </c>
      <c r="J67" s="3285">
        <v>2.3199999999999998</v>
      </c>
      <c r="K67" s="3285">
        <v>5.0199999999999996</v>
      </c>
      <c r="L67" s="3309">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601">
        <v>2007</v>
      </c>
      <c r="H68" s="3259">
        <v>1</v>
      </c>
      <c r="I68" s="3257">
        <v>3.58</v>
      </c>
      <c r="J68" s="3257">
        <v>3.08</v>
      </c>
      <c r="K68" s="3257">
        <v>4.34</v>
      </c>
      <c r="L68" s="3307">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99">
        <v>2006</v>
      </c>
      <c r="H69" s="3296">
        <v>4</v>
      </c>
      <c r="I69" s="3286">
        <v>3.79</v>
      </c>
      <c r="J69" s="3286">
        <v>2.21</v>
      </c>
      <c r="K69" s="3286">
        <v>5.65</v>
      </c>
      <c r="L69" s="3310">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600">
        <v>2006</v>
      </c>
      <c r="H70" s="3297">
        <v>3</v>
      </c>
      <c r="I70" s="3287">
        <v>0.92</v>
      </c>
      <c r="J70" s="3287">
        <v>1.08</v>
      </c>
      <c r="K70" s="3287">
        <v>0.73</v>
      </c>
      <c r="L70" s="3311">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600">
        <v>2006</v>
      </c>
      <c r="H71" s="3295">
        <v>2</v>
      </c>
      <c r="I71" s="3285">
        <v>0.96</v>
      </c>
      <c r="J71" s="3285">
        <v>0.25</v>
      </c>
      <c r="K71" s="3285">
        <v>1.9</v>
      </c>
      <c r="L71" s="3309">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601">
        <v>2006</v>
      </c>
      <c r="H72" s="3259">
        <v>1</v>
      </c>
      <c r="I72" s="3257">
        <v>2.29</v>
      </c>
      <c r="J72" s="3257">
        <v>3.72</v>
      </c>
      <c r="K72" s="3257">
        <v>0.75</v>
      </c>
      <c r="L72" s="3307">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99">
        <v>2005</v>
      </c>
      <c r="H73" s="3296">
        <v>4</v>
      </c>
      <c r="I73" s="3286">
        <v>3.29</v>
      </c>
      <c r="J73" s="3286">
        <v>1.44</v>
      </c>
      <c r="K73" s="3286">
        <v>0.66</v>
      </c>
      <c r="L73" s="3310">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600">
        <v>2005</v>
      </c>
      <c r="H74" s="3297">
        <v>3</v>
      </c>
      <c r="I74" s="3287">
        <v>0.46</v>
      </c>
      <c r="J74" s="3287">
        <v>0.32</v>
      </c>
      <c r="K74" s="3287">
        <v>0.42</v>
      </c>
      <c r="L74" s="3311">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600">
        <v>2005</v>
      </c>
      <c r="H75" s="3295">
        <v>2</v>
      </c>
      <c r="I75" s="3285">
        <v>0.47</v>
      </c>
      <c r="J75" s="3285">
        <v>0.1</v>
      </c>
      <c r="K75" s="3285">
        <v>0.52</v>
      </c>
      <c r="L75" s="3309">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601">
        <v>2005</v>
      </c>
      <c r="H76" s="3259">
        <v>1</v>
      </c>
      <c r="I76" s="3257">
        <v>0.43</v>
      </c>
      <c r="J76" s="3257">
        <v>0.37</v>
      </c>
      <c r="K76" s="3257">
        <v>0.37</v>
      </c>
      <c r="L76" s="3307">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99">
        <v>2004</v>
      </c>
      <c r="H77" s="3296">
        <v>4</v>
      </c>
      <c r="I77" s="3286">
        <v>0.33</v>
      </c>
      <c r="J77" s="3286">
        <v>0.5</v>
      </c>
      <c r="K77" s="3286">
        <v>0.5</v>
      </c>
      <c r="L77" s="3310">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600">
        <v>2004</v>
      </c>
      <c r="H78" s="3297">
        <v>3</v>
      </c>
      <c r="I78" s="3287">
        <v>0.56000000000000005</v>
      </c>
      <c r="J78" s="3287">
        <v>0.8</v>
      </c>
      <c r="K78" s="3287">
        <v>0.83</v>
      </c>
      <c r="L78" s="3311">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600">
        <v>2004</v>
      </c>
      <c r="H79" s="3295">
        <v>2</v>
      </c>
      <c r="I79" s="3285">
        <v>1</v>
      </c>
      <c r="J79" s="3285">
        <v>1.5</v>
      </c>
      <c r="K79" s="3285">
        <v>1.5</v>
      </c>
      <c r="L79" s="3309">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601">
        <v>2004</v>
      </c>
      <c r="H80" s="3301">
        <v>1</v>
      </c>
      <c r="I80" s="3291">
        <v>0.33</v>
      </c>
      <c r="J80" s="3291">
        <v>0.5</v>
      </c>
      <c r="K80" s="3291">
        <v>0.5</v>
      </c>
      <c r="L80" s="3315">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99">
        <v>2003</v>
      </c>
      <c r="H81" s="3302">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600">
        <v>2003</v>
      </c>
      <c r="H82" s="3297">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600">
        <v>2003</v>
      </c>
      <c r="H83" s="3295">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601">
        <v>2003</v>
      </c>
      <c r="H84" s="3303">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99">
        <v>2002</v>
      </c>
      <c r="H85" s="3296">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600">
        <v>2002</v>
      </c>
      <c r="H86" s="3297">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600">
        <v>2002</v>
      </c>
      <c r="H87" s="3295">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601">
        <v>2002</v>
      </c>
      <c r="H88" s="3304">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26" sqref="F26"/>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610" t="s">
        <v>2741</v>
      </c>
      <c r="B1" s="4610"/>
      <c r="C1" s="4610"/>
      <c r="D1" s="4610"/>
      <c r="E1" s="4610"/>
      <c r="F1" s="4610"/>
      <c r="G1" s="4611"/>
      <c r="I1" s="2431" t="s">
        <v>2742</v>
      </c>
      <c r="J1" s="2432" t="s">
        <v>2743</v>
      </c>
      <c r="K1" s="2432" t="s">
        <v>2744</v>
      </c>
      <c r="L1" s="2432" t="s">
        <v>2745</v>
      </c>
      <c r="M1" s="2432" t="s">
        <v>2746</v>
      </c>
      <c r="N1" s="2432" t="s">
        <v>2747</v>
      </c>
      <c r="O1" s="2432" t="s">
        <v>2748</v>
      </c>
      <c r="P1" s="2432" t="s">
        <v>2749</v>
      </c>
      <c r="Q1" s="2432" t="s">
        <v>2750</v>
      </c>
      <c r="R1" s="2432" t="s">
        <v>2751</v>
      </c>
      <c r="S1" s="2432" t="s">
        <v>2752</v>
      </c>
      <c r="T1" s="2433" t="s">
        <v>2753</v>
      </c>
    </row>
    <row r="2" spans="1:20" ht="12" thickBot="1">
      <c r="A2" s="2434" t="s">
        <v>2754</v>
      </c>
      <c r="B2" s="2434"/>
      <c r="C2" s="2434"/>
      <c r="D2" s="2434"/>
      <c r="E2" s="2434"/>
      <c r="F2" s="2434"/>
      <c r="G2" s="2435" t="s">
        <v>2755</v>
      </c>
      <c r="I2" s="2436" t="s">
        <v>2756</v>
      </c>
      <c r="J2" s="2436" t="s">
        <v>2757</v>
      </c>
      <c r="K2" s="2436" t="s">
        <v>2758</v>
      </c>
      <c r="L2" s="2436" t="s">
        <v>2759</v>
      </c>
      <c r="M2" s="2436" t="s">
        <v>2760</v>
      </c>
      <c r="N2" s="2436" t="s">
        <v>2761</v>
      </c>
      <c r="O2" s="2436" t="s">
        <v>2762</v>
      </c>
      <c r="P2" s="2436" t="s">
        <v>2763</v>
      </c>
      <c r="Q2" s="2436" t="s">
        <v>2764</v>
      </c>
      <c r="R2" s="2436" t="s">
        <v>2765</v>
      </c>
      <c r="S2" s="2436" t="s">
        <v>2766</v>
      </c>
      <c r="T2" s="2436" t="s">
        <v>2767</v>
      </c>
    </row>
    <row r="3" spans="1:20" s="2442" customFormat="1">
      <c r="A3" s="4608" t="s">
        <v>2768</v>
      </c>
      <c r="B3" s="2437"/>
      <c r="C3" s="2438" t="s">
        <v>2713</v>
      </c>
      <c r="D3" s="2438" t="s">
        <v>2769</v>
      </c>
      <c r="E3" s="2438" t="s">
        <v>2715</v>
      </c>
      <c r="F3" s="2438" t="s">
        <v>2770</v>
      </c>
      <c r="G3" s="2438" t="s">
        <v>2533</v>
      </c>
      <c r="H3" s="2439"/>
      <c r="I3" s="2440" t="s">
        <v>2771</v>
      </c>
      <c r="J3" s="2441" t="s">
        <v>126</v>
      </c>
      <c r="K3" s="2441" t="s">
        <v>127</v>
      </c>
      <c r="L3" s="2440" t="s">
        <v>128</v>
      </c>
      <c r="M3" s="2440" t="s">
        <v>129</v>
      </c>
      <c r="N3" s="2440" t="s">
        <v>130</v>
      </c>
      <c r="O3" s="2440" t="s">
        <v>131</v>
      </c>
      <c r="P3" s="2440" t="s">
        <v>132</v>
      </c>
      <c r="Q3" s="2440" t="s">
        <v>133</v>
      </c>
      <c r="R3" s="2440" t="s">
        <v>134</v>
      </c>
      <c r="S3" s="2440" t="s">
        <v>2772</v>
      </c>
      <c r="T3" s="2440" t="s">
        <v>2773</v>
      </c>
    </row>
    <row r="4" spans="1:20" s="2442" customFormat="1" ht="12" thickBot="1">
      <c r="A4" s="4609"/>
      <c r="B4" s="2443" t="s">
        <v>2774</v>
      </c>
      <c r="C4" s="2443" t="s">
        <v>2775</v>
      </c>
      <c r="D4" s="2443" t="s">
        <v>2775</v>
      </c>
      <c r="E4" s="2443" t="s">
        <v>2775</v>
      </c>
      <c r="F4" s="2444" t="s">
        <v>2775</v>
      </c>
      <c r="G4" s="2444" t="s">
        <v>2775</v>
      </c>
      <c r="H4" s="2439"/>
      <c r="I4" s="2441" t="s">
        <v>135</v>
      </c>
      <c r="J4" s="2441" t="s">
        <v>109</v>
      </c>
      <c r="K4" s="2441" t="s">
        <v>136</v>
      </c>
      <c r="L4" s="2440" t="s">
        <v>137</v>
      </c>
      <c r="M4" s="2440" t="s">
        <v>138</v>
      </c>
      <c r="N4" s="2440" t="s">
        <v>139</v>
      </c>
      <c r="O4" s="2440" t="s">
        <v>140</v>
      </c>
      <c r="P4" s="2440" t="s">
        <v>141</v>
      </c>
      <c r="Q4" s="2440" t="s">
        <v>2776</v>
      </c>
      <c r="R4" s="2440" t="s">
        <v>2777</v>
      </c>
      <c r="S4" s="2440" t="s">
        <v>2778</v>
      </c>
      <c r="T4" s="2440" t="s">
        <v>2779</v>
      </c>
    </row>
    <row r="5" spans="1:20">
      <c r="A5" s="2445" t="s">
        <v>2742</v>
      </c>
      <c r="B5" s="2436" t="s">
        <v>2756</v>
      </c>
      <c r="C5" s="3320">
        <v>34550</v>
      </c>
      <c r="D5" s="3320">
        <v>34470</v>
      </c>
      <c r="E5" s="3320">
        <v>34330</v>
      </c>
      <c r="F5" s="3320">
        <v>13400</v>
      </c>
      <c r="G5" s="3320">
        <v>25450</v>
      </c>
      <c r="H5" s="2439"/>
      <c r="I5" s="2440" t="s">
        <v>143</v>
      </c>
      <c r="J5" s="2441" t="s">
        <v>144</v>
      </c>
      <c r="K5" s="2441" t="s">
        <v>145</v>
      </c>
      <c r="L5" s="2440" t="s">
        <v>146</v>
      </c>
      <c r="M5" s="2440" t="s">
        <v>147</v>
      </c>
      <c r="N5" s="2440" t="s">
        <v>148</v>
      </c>
      <c r="O5" s="2440" t="s">
        <v>149</v>
      </c>
      <c r="P5" s="2440" t="s">
        <v>150</v>
      </c>
      <c r="Q5" s="2440" t="s">
        <v>2780</v>
      </c>
      <c r="R5" s="2440" t="s">
        <v>2781</v>
      </c>
      <c r="S5" s="2440" t="s">
        <v>151</v>
      </c>
      <c r="T5" s="2440" t="s">
        <v>2782</v>
      </c>
    </row>
    <row r="6" spans="1:20" ht="12" thickBot="1">
      <c r="A6" s="2440" t="s">
        <v>142</v>
      </c>
      <c r="B6" s="2440" t="s">
        <v>2771</v>
      </c>
      <c r="C6" s="3321">
        <v>36990</v>
      </c>
      <c r="D6" s="3321">
        <v>36850</v>
      </c>
      <c r="E6" s="3321">
        <v>36700</v>
      </c>
      <c r="F6" s="3321">
        <v>14590</v>
      </c>
      <c r="G6" s="3321">
        <v>27450</v>
      </c>
      <c r="H6" s="2439"/>
      <c r="I6" s="2446" t="s">
        <v>152</v>
      </c>
      <c r="J6" s="2441" t="s">
        <v>153</v>
      </c>
      <c r="K6" s="2441" t="s">
        <v>154</v>
      </c>
      <c r="L6" s="2440" t="s">
        <v>155</v>
      </c>
      <c r="M6" s="2440" t="s">
        <v>156</v>
      </c>
      <c r="N6" s="2440" t="s">
        <v>157</v>
      </c>
      <c r="O6" s="2440" t="s">
        <v>158</v>
      </c>
      <c r="P6" s="2440" t="s">
        <v>2783</v>
      </c>
      <c r="Q6" s="2440" t="s">
        <v>2784</v>
      </c>
      <c r="R6" s="2440" t="s">
        <v>159</v>
      </c>
      <c r="S6" s="2440" t="s">
        <v>2785</v>
      </c>
      <c r="T6" s="2440" t="s">
        <v>2786</v>
      </c>
    </row>
    <row r="7" spans="1:20">
      <c r="A7" s="2440" t="s">
        <v>142</v>
      </c>
      <c r="B7" s="2441" t="s">
        <v>135</v>
      </c>
      <c r="C7" s="3321">
        <v>34850</v>
      </c>
      <c r="D7" s="3321">
        <v>34690</v>
      </c>
      <c r="E7" s="3321">
        <v>34550</v>
      </c>
      <c r="F7" s="3321">
        <v>14360</v>
      </c>
      <c r="G7" s="3321">
        <v>25620</v>
      </c>
      <c r="H7" s="2439"/>
      <c r="J7" s="2441" t="s">
        <v>160</v>
      </c>
      <c r="K7" s="2441" t="s">
        <v>161</v>
      </c>
      <c r="L7" s="2440" t="s">
        <v>162</v>
      </c>
      <c r="M7" s="2440" t="s">
        <v>163</v>
      </c>
      <c r="N7" s="2440" t="s">
        <v>164</v>
      </c>
      <c r="O7" s="2440" t="s">
        <v>165</v>
      </c>
      <c r="P7" s="2440" t="s">
        <v>2787</v>
      </c>
      <c r="Q7" s="2440" t="s">
        <v>2788</v>
      </c>
      <c r="R7" s="2440" t="s">
        <v>2789</v>
      </c>
      <c r="S7" s="2440" t="s">
        <v>2790</v>
      </c>
      <c r="T7" s="2440" t="s">
        <v>2791</v>
      </c>
    </row>
    <row r="8" spans="1:20" ht="12" thickBot="1">
      <c r="A8" s="2440" t="s">
        <v>142</v>
      </c>
      <c r="B8" s="2440" t="s">
        <v>143</v>
      </c>
      <c r="C8" s="3321">
        <v>32630</v>
      </c>
      <c r="D8" s="3321">
        <v>32510</v>
      </c>
      <c r="E8" s="3321">
        <v>32420</v>
      </c>
      <c r="F8" s="3321">
        <v>13300</v>
      </c>
      <c r="G8" s="3321">
        <v>24010</v>
      </c>
      <c r="H8" s="2439"/>
      <c r="J8" s="2441" t="s">
        <v>166</v>
      </c>
      <c r="K8" s="2441" t="s">
        <v>167</v>
      </c>
      <c r="L8" s="2440" t="s">
        <v>168</v>
      </c>
      <c r="M8" s="2440" t="s">
        <v>169</v>
      </c>
      <c r="N8" s="2440" t="s">
        <v>170</v>
      </c>
      <c r="O8" s="2440" t="s">
        <v>171</v>
      </c>
      <c r="P8" s="2440" t="s">
        <v>2792</v>
      </c>
      <c r="Q8" s="2440" t="s">
        <v>172</v>
      </c>
      <c r="R8" s="2440" t="s">
        <v>2793</v>
      </c>
      <c r="S8" s="2440" t="s">
        <v>2794</v>
      </c>
      <c r="T8" s="2447" t="s">
        <v>2795</v>
      </c>
    </row>
    <row r="9" spans="1:20" ht="12" thickBot="1">
      <c r="A9" s="2448" t="s">
        <v>142</v>
      </c>
      <c r="B9" s="2446" t="s">
        <v>152</v>
      </c>
      <c r="C9" s="3322">
        <v>36370</v>
      </c>
      <c r="D9" s="3322">
        <v>36210</v>
      </c>
      <c r="E9" s="3322">
        <v>36050</v>
      </c>
      <c r="F9" s="3322"/>
      <c r="G9" s="3322">
        <v>26740</v>
      </c>
      <c r="H9" s="2439"/>
      <c r="J9" s="2441" t="s">
        <v>173</v>
      </c>
      <c r="K9" s="2441" t="s">
        <v>174</v>
      </c>
      <c r="L9" s="2440" t="s">
        <v>175</v>
      </c>
      <c r="M9" s="2440" t="s">
        <v>176</v>
      </c>
      <c r="N9" s="2440" t="s">
        <v>177</v>
      </c>
      <c r="O9" s="2440" t="s">
        <v>178</v>
      </c>
      <c r="P9" s="2440" t="s">
        <v>2796</v>
      </c>
      <c r="Q9" s="2440" t="s">
        <v>180</v>
      </c>
      <c r="R9" s="2440" t="s">
        <v>181</v>
      </c>
      <c r="S9" s="2440" t="s">
        <v>198</v>
      </c>
    </row>
    <row r="10" spans="1:20">
      <c r="A10" s="2445" t="s">
        <v>182</v>
      </c>
      <c r="B10" s="2436" t="s">
        <v>2757</v>
      </c>
      <c r="C10" s="3321">
        <v>32350</v>
      </c>
      <c r="D10" s="3321">
        <v>31430</v>
      </c>
      <c r="E10" s="3321">
        <v>31320</v>
      </c>
      <c r="F10" s="3321">
        <v>10850</v>
      </c>
      <c r="G10" s="3321">
        <v>22860</v>
      </c>
      <c r="H10" s="2439"/>
      <c r="J10" s="2441" t="s">
        <v>183</v>
      </c>
      <c r="K10" s="2441" t="s">
        <v>184</v>
      </c>
      <c r="L10" s="2440" t="s">
        <v>185</v>
      </c>
      <c r="M10" s="2440" t="s">
        <v>186</v>
      </c>
      <c r="N10" s="2440" t="s">
        <v>187</v>
      </c>
      <c r="O10" s="2440" t="s">
        <v>188</v>
      </c>
      <c r="P10" s="2440" t="s">
        <v>179</v>
      </c>
      <c r="Q10" s="2440" t="s">
        <v>190</v>
      </c>
      <c r="R10" s="2440" t="s">
        <v>191</v>
      </c>
      <c r="S10" s="2440" t="s">
        <v>2797</v>
      </c>
    </row>
    <row r="11" spans="1:20">
      <c r="A11" s="2440" t="s">
        <v>182</v>
      </c>
      <c r="B11" s="2441" t="s">
        <v>126</v>
      </c>
      <c r="C11" s="3321">
        <v>31590</v>
      </c>
      <c r="D11" s="3321">
        <v>29490</v>
      </c>
      <c r="E11" s="3321">
        <v>28700</v>
      </c>
      <c r="F11" s="3321">
        <v>10410</v>
      </c>
      <c r="G11" s="3321">
        <v>21460</v>
      </c>
      <c r="H11" s="2439"/>
      <c r="J11" s="2441" t="s">
        <v>192</v>
      </c>
      <c r="K11" s="2441" t="s">
        <v>193</v>
      </c>
      <c r="L11" s="2440" t="s">
        <v>194</v>
      </c>
      <c r="M11" s="2440" t="s">
        <v>195</v>
      </c>
      <c r="N11" s="2440" t="s">
        <v>196</v>
      </c>
      <c r="O11" s="2440" t="s">
        <v>2798</v>
      </c>
      <c r="P11" s="2440" t="s">
        <v>189</v>
      </c>
      <c r="Q11" s="2440" t="s">
        <v>197</v>
      </c>
      <c r="R11" s="2440" t="s">
        <v>2799</v>
      </c>
      <c r="S11" s="2440" t="s">
        <v>2800</v>
      </c>
    </row>
    <row r="12" spans="1:20">
      <c r="A12" s="2440" t="s">
        <v>182</v>
      </c>
      <c r="B12" s="2441" t="s">
        <v>109</v>
      </c>
      <c r="C12" s="3321">
        <v>29640</v>
      </c>
      <c r="D12" s="3321">
        <v>27550</v>
      </c>
      <c r="E12" s="3321">
        <v>28010</v>
      </c>
      <c r="F12" s="3321">
        <v>8730</v>
      </c>
      <c r="G12" s="3321">
        <v>20050</v>
      </c>
      <c r="H12" s="2439"/>
      <c r="J12" s="2441" t="s">
        <v>199</v>
      </c>
      <c r="K12" s="2441" t="s">
        <v>200</v>
      </c>
      <c r="L12" s="2440" t="s">
        <v>201</v>
      </c>
      <c r="M12" s="2440" t="s">
        <v>202</v>
      </c>
      <c r="N12" s="2440" t="s">
        <v>203</v>
      </c>
      <c r="O12" s="2440" t="s">
        <v>2801</v>
      </c>
      <c r="P12" s="2440" t="s">
        <v>2802</v>
      </c>
      <c r="Q12" s="2440" t="s">
        <v>2803</v>
      </c>
      <c r="R12" s="2440" t="s">
        <v>2804</v>
      </c>
      <c r="S12" s="2440" t="s">
        <v>2805</v>
      </c>
    </row>
    <row r="13" spans="1:20">
      <c r="A13" s="2440" t="s">
        <v>182</v>
      </c>
      <c r="B13" s="2441" t="s">
        <v>144</v>
      </c>
      <c r="C13" s="3321">
        <v>29680</v>
      </c>
      <c r="D13" s="3321">
        <v>27660</v>
      </c>
      <c r="E13" s="3321">
        <v>28210</v>
      </c>
      <c r="F13" s="3321">
        <v>9590</v>
      </c>
      <c r="G13" s="3321">
        <v>20120</v>
      </c>
      <c r="H13" s="2439"/>
      <c r="J13" s="2441" t="s">
        <v>206</v>
      </c>
      <c r="K13" s="2441" t="s">
        <v>207</v>
      </c>
      <c r="L13" s="2440" t="s">
        <v>208</v>
      </c>
      <c r="M13" s="2440" t="s">
        <v>209</v>
      </c>
      <c r="N13" s="2440" t="s">
        <v>210</v>
      </c>
      <c r="O13" s="2440" t="s">
        <v>2806</v>
      </c>
      <c r="P13" s="2440" t="s">
        <v>204</v>
      </c>
      <c r="Q13" s="2440" t="s">
        <v>217</v>
      </c>
      <c r="R13" s="2440" t="s">
        <v>218</v>
      </c>
      <c r="S13" s="2440" t="s">
        <v>212</v>
      </c>
    </row>
    <row r="14" spans="1:20">
      <c r="A14" s="2440" t="s">
        <v>182</v>
      </c>
      <c r="B14" s="2441" t="s">
        <v>153</v>
      </c>
      <c r="C14" s="3321">
        <v>30520</v>
      </c>
      <c r="D14" s="3321">
        <v>29510</v>
      </c>
      <c r="E14" s="3321">
        <v>29400</v>
      </c>
      <c r="F14" s="3321">
        <v>9630</v>
      </c>
      <c r="G14" s="3321">
        <v>21480</v>
      </c>
      <c r="H14" s="2439"/>
      <c r="J14" s="2441" t="s">
        <v>2807</v>
      </c>
      <c r="K14" s="2441" t="s">
        <v>213</v>
      </c>
      <c r="L14" s="2440" t="s">
        <v>214</v>
      </c>
      <c r="M14" s="2440" t="s">
        <v>215</v>
      </c>
      <c r="N14" s="2440" t="s">
        <v>216</v>
      </c>
      <c r="O14" s="2440" t="s">
        <v>238</v>
      </c>
      <c r="P14" s="2440" t="s">
        <v>211</v>
      </c>
      <c r="Q14" s="2440" t="s">
        <v>2808</v>
      </c>
      <c r="R14" s="2440" t="s">
        <v>226</v>
      </c>
      <c r="S14" s="2440" t="s">
        <v>219</v>
      </c>
    </row>
    <row r="15" spans="1:20">
      <c r="A15" s="2440" t="s">
        <v>182</v>
      </c>
      <c r="B15" s="2441" t="s">
        <v>160</v>
      </c>
      <c r="C15" s="3321">
        <v>29090</v>
      </c>
      <c r="D15" s="3321">
        <v>27590</v>
      </c>
      <c r="E15" s="3321">
        <v>28120</v>
      </c>
      <c r="F15" s="3321">
        <v>9110</v>
      </c>
      <c r="G15" s="3321">
        <v>20070</v>
      </c>
      <c r="H15" s="2439"/>
      <c r="J15" s="2441" t="s">
        <v>220</v>
      </c>
      <c r="K15" s="2441" t="s">
        <v>221</v>
      </c>
      <c r="L15" s="2440" t="s">
        <v>222</v>
      </c>
      <c r="M15" s="2440" t="s">
        <v>223</v>
      </c>
      <c r="N15" s="2440" t="s">
        <v>224</v>
      </c>
      <c r="O15" s="2440" t="s">
        <v>2809</v>
      </c>
      <c r="P15" s="2440" t="s">
        <v>2810</v>
      </c>
      <c r="Q15" s="2440" t="s">
        <v>240</v>
      </c>
      <c r="R15" s="2440" t="s">
        <v>2811</v>
      </c>
      <c r="S15" s="2440" t="s">
        <v>227</v>
      </c>
    </row>
    <row r="16" spans="1:20">
      <c r="A16" s="2440" t="s">
        <v>182</v>
      </c>
      <c r="B16" s="2441" t="s">
        <v>166</v>
      </c>
      <c r="C16" s="3321">
        <v>26790</v>
      </c>
      <c r="D16" s="3321">
        <v>30370</v>
      </c>
      <c r="E16" s="3321">
        <v>30240</v>
      </c>
      <c r="F16" s="3321">
        <v>11590</v>
      </c>
      <c r="G16" s="3321">
        <v>22090</v>
      </c>
      <c r="H16" s="2439"/>
      <c r="J16" s="2441" t="s">
        <v>228</v>
      </c>
      <c r="K16" s="2441" t="s">
        <v>229</v>
      </c>
      <c r="L16" s="2440" t="s">
        <v>230</v>
      </c>
      <c r="M16" s="2440" t="s">
        <v>231</v>
      </c>
      <c r="N16" s="2440" t="s">
        <v>232</v>
      </c>
      <c r="O16" s="2440" t="s">
        <v>2812</v>
      </c>
      <c r="P16" s="2440" t="s">
        <v>225</v>
      </c>
      <c r="Q16" s="2440" t="s">
        <v>248</v>
      </c>
      <c r="R16" s="2440" t="s">
        <v>205</v>
      </c>
      <c r="S16" s="2440" t="s">
        <v>2813</v>
      </c>
    </row>
    <row r="17" spans="1:19" ht="14.25" customHeight="1">
      <c r="A17" s="2440" t="s">
        <v>182</v>
      </c>
      <c r="B17" s="2441" t="s">
        <v>173</v>
      </c>
      <c r="C17" s="3321">
        <v>29180</v>
      </c>
      <c r="D17" s="3321">
        <v>27620</v>
      </c>
      <c r="E17" s="3321">
        <v>28180</v>
      </c>
      <c r="F17" s="3321">
        <v>10790</v>
      </c>
      <c r="G17" s="3321">
        <v>20090</v>
      </c>
      <c r="H17" s="2439"/>
      <c r="J17" s="2441" t="s">
        <v>233</v>
      </c>
      <c r="K17" s="2441" t="s">
        <v>234</v>
      </c>
      <c r="L17" s="2440" t="s">
        <v>235</v>
      </c>
      <c r="M17" s="2440" t="s">
        <v>236</v>
      </c>
      <c r="N17" s="2440" t="s">
        <v>237</v>
      </c>
      <c r="O17" s="2440" t="s">
        <v>2814</v>
      </c>
      <c r="P17" s="2440" t="s">
        <v>2815</v>
      </c>
      <c r="Q17" s="2440" t="s">
        <v>254</v>
      </c>
      <c r="R17" s="2440" t="s">
        <v>2816</v>
      </c>
      <c r="S17" s="2440" t="s">
        <v>256</v>
      </c>
    </row>
    <row r="18" spans="1:19" ht="14.25" customHeight="1">
      <c r="A18" s="2440" t="s">
        <v>182</v>
      </c>
      <c r="B18" s="2441" t="s">
        <v>183</v>
      </c>
      <c r="C18" s="3321">
        <v>26840</v>
      </c>
      <c r="D18" s="3321">
        <v>28930</v>
      </c>
      <c r="E18" s="3321">
        <v>28820</v>
      </c>
      <c r="F18" s="3321"/>
      <c r="G18" s="3321">
        <v>21050</v>
      </c>
      <c r="H18" s="2439"/>
      <c r="J18" s="2441" t="s">
        <v>242</v>
      </c>
      <c r="K18" s="2441" t="s">
        <v>243</v>
      </c>
      <c r="L18" s="2440" t="s">
        <v>244</v>
      </c>
      <c r="M18" s="2440" t="s">
        <v>245</v>
      </c>
      <c r="N18" s="2440" t="s">
        <v>246</v>
      </c>
      <c r="O18" s="2440" t="s">
        <v>2817</v>
      </c>
      <c r="P18" s="2440" t="s">
        <v>239</v>
      </c>
      <c r="Q18" s="2440" t="s">
        <v>2818</v>
      </c>
      <c r="R18" s="2440" t="s">
        <v>255</v>
      </c>
      <c r="S18" s="2440" t="s">
        <v>264</v>
      </c>
    </row>
    <row r="19" spans="1:19" ht="14.25" customHeight="1">
      <c r="A19" s="2440" t="s">
        <v>182</v>
      </c>
      <c r="B19" s="2441" t="s">
        <v>192</v>
      </c>
      <c r="C19" s="3321">
        <v>27750</v>
      </c>
      <c r="D19" s="3321">
        <v>26680</v>
      </c>
      <c r="E19" s="3321">
        <v>26590</v>
      </c>
      <c r="F19" s="3321"/>
      <c r="G19" s="3321">
        <v>19420</v>
      </c>
      <c r="H19" s="2439"/>
      <c r="J19" s="2441" t="s">
        <v>249</v>
      </c>
      <c r="K19" s="2441" t="s">
        <v>250</v>
      </c>
      <c r="L19" s="2440" t="s">
        <v>251</v>
      </c>
      <c r="M19" s="2440" t="s">
        <v>252</v>
      </c>
      <c r="N19" s="2440" t="s">
        <v>253</v>
      </c>
      <c r="O19" s="2440" t="s">
        <v>2819</v>
      </c>
      <c r="P19" s="2440" t="s">
        <v>247</v>
      </c>
      <c r="Q19" s="2440" t="s">
        <v>2820</v>
      </c>
      <c r="R19" s="2440" t="s">
        <v>263</v>
      </c>
      <c r="S19" s="2440" t="s">
        <v>2821</v>
      </c>
    </row>
    <row r="20" spans="1:19" ht="14.25" customHeight="1">
      <c r="A20" s="2440" t="s">
        <v>182</v>
      </c>
      <c r="B20" s="2441" t="s">
        <v>199</v>
      </c>
      <c r="C20" s="3321">
        <v>27050</v>
      </c>
      <c r="D20" s="3321">
        <v>29010</v>
      </c>
      <c r="E20" s="3321">
        <v>28910</v>
      </c>
      <c r="F20" s="3321"/>
      <c r="G20" s="3321">
        <v>21110</v>
      </c>
      <c r="J20" s="2441" t="s">
        <v>257</v>
      </c>
      <c r="K20" s="2441" t="s">
        <v>258</v>
      </c>
      <c r="L20" s="2440" t="s">
        <v>259</v>
      </c>
      <c r="M20" s="2440" t="s">
        <v>260</v>
      </c>
      <c r="N20" s="2440" t="s">
        <v>261</v>
      </c>
      <c r="O20" s="2440" t="s">
        <v>2822</v>
      </c>
      <c r="P20" s="2440" t="s">
        <v>2823</v>
      </c>
      <c r="Q20" s="2440" t="s">
        <v>288</v>
      </c>
      <c r="R20" s="2440" t="s">
        <v>2824</v>
      </c>
      <c r="S20" s="2440" t="s">
        <v>275</v>
      </c>
    </row>
    <row r="21" spans="1:19" ht="14.25" customHeight="1" thickBot="1">
      <c r="A21" s="2440" t="s">
        <v>182</v>
      </c>
      <c r="B21" s="2441" t="s">
        <v>206</v>
      </c>
      <c r="C21" s="3321">
        <v>32370</v>
      </c>
      <c r="D21" s="3321">
        <v>26730</v>
      </c>
      <c r="E21" s="3321">
        <v>26640</v>
      </c>
      <c r="F21" s="3321"/>
      <c r="G21" s="3321">
        <v>19440</v>
      </c>
      <c r="J21" s="2447" t="s">
        <v>2825</v>
      </c>
      <c r="K21" s="2441" t="s">
        <v>265</v>
      </c>
      <c r="L21" s="2440" t="s">
        <v>266</v>
      </c>
      <c r="M21" s="2440" t="s">
        <v>267</v>
      </c>
      <c r="N21" s="2440" t="s">
        <v>268</v>
      </c>
      <c r="O21" s="2440" t="s">
        <v>262</v>
      </c>
      <c r="P21" s="2440" t="s">
        <v>281</v>
      </c>
      <c r="Q21" s="2440" t="s">
        <v>291</v>
      </c>
      <c r="R21" s="2440" t="s">
        <v>2826</v>
      </c>
      <c r="S21" s="2447" t="s">
        <v>2827</v>
      </c>
    </row>
    <row r="22" spans="1:19" ht="14.25" customHeight="1">
      <c r="A22" s="2440" t="s">
        <v>182</v>
      </c>
      <c r="B22" s="2441" t="s">
        <v>2807</v>
      </c>
      <c r="C22" s="3321">
        <v>29830</v>
      </c>
      <c r="D22" s="3321">
        <v>27600</v>
      </c>
      <c r="E22" s="3321">
        <v>28150</v>
      </c>
      <c r="F22" s="3321"/>
      <c r="G22" s="3321">
        <v>20080</v>
      </c>
      <c r="K22" s="2441" t="s">
        <v>2828</v>
      </c>
      <c r="L22" s="2440" t="s">
        <v>270</v>
      </c>
      <c r="M22" s="2440" t="s">
        <v>271</v>
      </c>
      <c r="N22" s="2440" t="s">
        <v>272</v>
      </c>
      <c r="O22" s="2440" t="s">
        <v>2829</v>
      </c>
      <c r="P22" s="2440" t="s">
        <v>284</v>
      </c>
      <c r="Q22" s="2440" t="s">
        <v>293</v>
      </c>
      <c r="R22" s="2440" t="s">
        <v>241</v>
      </c>
    </row>
    <row r="23" spans="1:19" ht="14.25" customHeight="1">
      <c r="A23" s="2440" t="s">
        <v>182</v>
      </c>
      <c r="B23" s="2441" t="s">
        <v>220</v>
      </c>
      <c r="C23" s="3321">
        <v>27800</v>
      </c>
      <c r="D23" s="3321">
        <v>26900</v>
      </c>
      <c r="E23" s="3321">
        <v>27170</v>
      </c>
      <c r="F23" s="3321"/>
      <c r="G23" s="3321">
        <v>19570</v>
      </c>
      <c r="K23" s="2441" t="s">
        <v>2830</v>
      </c>
      <c r="L23" s="2440" t="s">
        <v>276</v>
      </c>
      <c r="M23" s="2440" t="s">
        <v>277</v>
      </c>
      <c r="N23" s="2440" t="s">
        <v>2831</v>
      </c>
      <c r="O23" s="2440" t="s">
        <v>2832</v>
      </c>
      <c r="P23" s="2440" t="s">
        <v>287</v>
      </c>
      <c r="Q23" s="2440" t="s">
        <v>296</v>
      </c>
      <c r="R23" s="2440" t="s">
        <v>2833</v>
      </c>
    </row>
    <row r="24" spans="1:19" ht="14.25" customHeight="1">
      <c r="A24" s="2440" t="s">
        <v>182</v>
      </c>
      <c r="B24" s="2441" t="s">
        <v>228</v>
      </c>
      <c r="C24" s="3321">
        <v>27930</v>
      </c>
      <c r="D24" s="3321">
        <v>32260</v>
      </c>
      <c r="E24" s="3321">
        <v>32120</v>
      </c>
      <c r="F24" s="3321"/>
      <c r="G24" s="3321">
        <v>23470</v>
      </c>
      <c r="K24" s="2441" t="s">
        <v>2834</v>
      </c>
      <c r="L24" s="2440" t="s">
        <v>279</v>
      </c>
      <c r="M24" s="2440" t="s">
        <v>280</v>
      </c>
      <c r="N24" s="2440" t="s">
        <v>2835</v>
      </c>
      <c r="O24" s="2440" t="s">
        <v>283</v>
      </c>
      <c r="P24" s="2440" t="s">
        <v>2836</v>
      </c>
      <c r="Q24" s="2449" t="s">
        <v>2837</v>
      </c>
      <c r="R24" s="2440" t="s">
        <v>2838</v>
      </c>
    </row>
    <row r="25" spans="1:19" ht="14.25" customHeight="1">
      <c r="A25" s="2440" t="s">
        <v>182</v>
      </c>
      <c r="B25" s="2441" t="s">
        <v>233</v>
      </c>
      <c r="C25" s="3321">
        <v>32230</v>
      </c>
      <c r="D25" s="3321">
        <v>29640</v>
      </c>
      <c r="E25" s="3321">
        <v>29510</v>
      </c>
      <c r="F25" s="3321"/>
      <c r="G25" s="3321">
        <v>21560</v>
      </c>
      <c r="K25" s="2441" t="s">
        <v>2839</v>
      </c>
      <c r="L25" s="2440" t="s">
        <v>2840</v>
      </c>
      <c r="M25" s="2440" t="s">
        <v>282</v>
      </c>
      <c r="N25" s="2440" t="s">
        <v>290</v>
      </c>
      <c r="O25" s="2440" t="s">
        <v>286</v>
      </c>
      <c r="P25" s="2440" t="s">
        <v>273</v>
      </c>
      <c r="Q25" s="2449" t="s">
        <v>269</v>
      </c>
      <c r="R25" s="2440" t="s">
        <v>2841</v>
      </c>
    </row>
    <row r="26" spans="1:19" ht="14.25" customHeight="1" thickBot="1">
      <c r="A26" s="2440" t="s">
        <v>182</v>
      </c>
      <c r="B26" s="2441" t="s">
        <v>242</v>
      </c>
      <c r="C26" s="3321">
        <v>31690</v>
      </c>
      <c r="D26" s="3321">
        <v>27650</v>
      </c>
      <c r="E26" s="3321">
        <v>28200</v>
      </c>
      <c r="F26" s="3321"/>
      <c r="G26" s="3321">
        <v>20110</v>
      </c>
      <c r="K26" s="2446" t="s">
        <v>2842</v>
      </c>
      <c r="L26" s="2440" t="s">
        <v>2843</v>
      </c>
      <c r="M26" s="2440" t="s">
        <v>285</v>
      </c>
      <c r="N26" s="2440" t="s">
        <v>292</v>
      </c>
      <c r="O26" s="2440" t="s">
        <v>2844</v>
      </c>
      <c r="P26" s="2440" t="s">
        <v>2845</v>
      </c>
      <c r="Q26" s="2449" t="s">
        <v>274</v>
      </c>
      <c r="R26" s="2440" t="s">
        <v>2846</v>
      </c>
    </row>
    <row r="27" spans="1:19" ht="14.25" customHeight="1">
      <c r="A27" s="2440" t="s">
        <v>182</v>
      </c>
      <c r="B27" s="2441" t="s">
        <v>249</v>
      </c>
      <c r="C27" s="3321">
        <v>29610</v>
      </c>
      <c r="D27" s="3321">
        <v>27770</v>
      </c>
      <c r="E27" s="3321">
        <v>28300</v>
      </c>
      <c r="F27" s="3321"/>
      <c r="G27" s="3321">
        <v>20210</v>
      </c>
      <c r="L27" s="2440" t="s">
        <v>2847</v>
      </c>
      <c r="M27" s="2440" t="s">
        <v>289</v>
      </c>
      <c r="N27" s="2440" t="s">
        <v>295</v>
      </c>
      <c r="O27" s="2440" t="s">
        <v>2848</v>
      </c>
      <c r="P27" s="2440" t="s">
        <v>2849</v>
      </c>
      <c r="Q27" s="2440" t="s">
        <v>2850</v>
      </c>
      <c r="R27" s="2440" t="s">
        <v>2851</v>
      </c>
    </row>
    <row r="28" spans="1:19" ht="14.25" customHeight="1">
      <c r="A28" s="2440" t="s">
        <v>182</v>
      </c>
      <c r="B28" s="2441" t="s">
        <v>257</v>
      </c>
      <c r="C28" s="3321"/>
      <c r="D28" s="3321">
        <v>31520</v>
      </c>
      <c r="E28" s="3321">
        <v>31410</v>
      </c>
      <c r="F28" s="3321"/>
      <c r="G28" s="3321">
        <v>22940</v>
      </c>
      <c r="L28" s="2440" t="s">
        <v>2852</v>
      </c>
      <c r="M28" s="2440" t="s">
        <v>2853</v>
      </c>
      <c r="N28" s="2440" t="s">
        <v>2854</v>
      </c>
      <c r="O28" s="2440" t="s">
        <v>2855</v>
      </c>
      <c r="P28" s="2440" t="s">
        <v>2856</v>
      </c>
      <c r="Q28" s="2440" t="s">
        <v>2857</v>
      </c>
      <c r="R28" s="2440" t="s">
        <v>2858</v>
      </c>
    </row>
    <row r="29" spans="1:19" ht="14.25" customHeight="1" thickBot="1">
      <c r="A29" s="2448" t="s">
        <v>182</v>
      </c>
      <c r="B29" s="2450" t="s">
        <v>2825</v>
      </c>
      <c r="C29" s="3323"/>
      <c r="D29" s="3323">
        <v>29460</v>
      </c>
      <c r="E29" s="3323">
        <v>28640</v>
      </c>
      <c r="F29" s="3323"/>
      <c r="G29" s="3323">
        <v>21430</v>
      </c>
      <c r="L29" s="2440" t="s">
        <v>2859</v>
      </c>
      <c r="M29" s="2440" t="s">
        <v>2860</v>
      </c>
      <c r="N29" s="2440" t="s">
        <v>2861</v>
      </c>
      <c r="O29" s="2440" t="s">
        <v>2862</v>
      </c>
      <c r="P29" s="2440" t="s">
        <v>2863</v>
      </c>
      <c r="Q29" s="2440" t="s">
        <v>2864</v>
      </c>
      <c r="R29" s="2440" t="s">
        <v>278</v>
      </c>
    </row>
    <row r="30" spans="1:19" ht="14.25" customHeight="1">
      <c r="A30" s="2445" t="s">
        <v>294</v>
      </c>
      <c r="B30" s="2436" t="s">
        <v>2758</v>
      </c>
      <c r="C30" s="3320">
        <v>26890</v>
      </c>
      <c r="D30" s="3320">
        <v>26770</v>
      </c>
      <c r="E30" s="3320">
        <v>25700</v>
      </c>
      <c r="F30" s="3320">
        <v>8180</v>
      </c>
      <c r="G30" s="3324">
        <v>18740</v>
      </c>
      <c r="L30" s="2440" t="s">
        <v>2865</v>
      </c>
      <c r="M30" s="2440" t="s">
        <v>2866</v>
      </c>
      <c r="N30" s="2440" t="s">
        <v>2867</v>
      </c>
      <c r="O30" s="2440" t="s">
        <v>2868</v>
      </c>
      <c r="P30" s="2440" t="s">
        <v>2869</v>
      </c>
      <c r="Q30" s="2440" t="s">
        <v>2870</v>
      </c>
      <c r="R30" s="2440" t="s">
        <v>2871</v>
      </c>
    </row>
    <row r="31" spans="1:19" ht="14.25" customHeight="1">
      <c r="A31" s="2440" t="s">
        <v>294</v>
      </c>
      <c r="B31" s="2441" t="s">
        <v>127</v>
      </c>
      <c r="C31" s="3321">
        <v>24550</v>
      </c>
      <c r="D31" s="3321">
        <v>23990</v>
      </c>
      <c r="E31" s="3321">
        <v>22930</v>
      </c>
      <c r="F31" s="3321">
        <v>7470</v>
      </c>
      <c r="G31" s="3325">
        <v>16790</v>
      </c>
      <c r="L31" s="2440" t="s">
        <v>2872</v>
      </c>
      <c r="M31" s="2440" t="s">
        <v>2873</v>
      </c>
      <c r="N31" s="2440" t="s">
        <v>2874</v>
      </c>
      <c r="O31" s="2440" t="s">
        <v>2875</v>
      </c>
      <c r="P31" s="2440" t="s">
        <v>2876</v>
      </c>
      <c r="Q31" s="2440" t="s">
        <v>2877</v>
      </c>
      <c r="R31" s="2440" t="s">
        <v>2878</v>
      </c>
    </row>
    <row r="32" spans="1:19" ht="14.25" customHeight="1" thickBot="1">
      <c r="A32" s="2440" t="s">
        <v>294</v>
      </c>
      <c r="B32" s="2441" t="s">
        <v>136</v>
      </c>
      <c r="C32" s="3321">
        <v>27210</v>
      </c>
      <c r="D32" s="3321">
        <v>23240</v>
      </c>
      <c r="E32" s="3321">
        <v>23260</v>
      </c>
      <c r="F32" s="3321">
        <v>7130</v>
      </c>
      <c r="G32" s="3325">
        <v>16270</v>
      </c>
      <c r="L32" s="2440" t="s">
        <v>2879</v>
      </c>
      <c r="M32" s="2440" t="s">
        <v>2880</v>
      </c>
      <c r="N32" s="2440" t="s">
        <v>298</v>
      </c>
      <c r="O32" s="2440" t="s">
        <v>2881</v>
      </c>
      <c r="P32" s="2440" t="s">
        <v>297</v>
      </c>
      <c r="Q32" s="2440" t="s">
        <v>2882</v>
      </c>
      <c r="R32" s="2447" t="s">
        <v>2883</v>
      </c>
    </row>
    <row r="33" spans="1:17" ht="14.25" customHeight="1" thickBot="1">
      <c r="A33" s="2440" t="s">
        <v>294</v>
      </c>
      <c r="B33" s="2441" t="s">
        <v>145</v>
      </c>
      <c r="C33" s="3321">
        <v>27300</v>
      </c>
      <c r="D33" s="3321">
        <v>22980</v>
      </c>
      <c r="E33" s="3321">
        <v>24260</v>
      </c>
      <c r="F33" s="3321">
        <v>5860</v>
      </c>
      <c r="G33" s="3325">
        <v>16090</v>
      </c>
      <c r="L33" s="2447" t="s">
        <v>2884</v>
      </c>
      <c r="M33" s="2440" t="s">
        <v>2885</v>
      </c>
      <c r="N33" s="2440" t="s">
        <v>299</v>
      </c>
      <c r="O33" s="2440" t="s">
        <v>2886</v>
      </c>
      <c r="P33" s="2440" t="s">
        <v>2887</v>
      </c>
      <c r="Q33" s="2440" t="s">
        <v>2888</v>
      </c>
    </row>
    <row r="34" spans="1:17" ht="14.25" customHeight="1">
      <c r="A34" s="2440" t="s">
        <v>294</v>
      </c>
      <c r="B34" s="2441" t="s">
        <v>154</v>
      </c>
      <c r="C34" s="3321">
        <v>23090</v>
      </c>
      <c r="D34" s="3321">
        <v>23390</v>
      </c>
      <c r="E34" s="3321">
        <v>23510</v>
      </c>
      <c r="F34" s="3321">
        <v>6700</v>
      </c>
      <c r="G34" s="3325">
        <v>16370</v>
      </c>
      <c r="M34" s="2440" t="s">
        <v>2889</v>
      </c>
      <c r="N34" s="2440" t="s">
        <v>300</v>
      </c>
      <c r="O34" s="2440" t="s">
        <v>2890</v>
      </c>
      <c r="P34" s="2440" t="s">
        <v>2891</v>
      </c>
      <c r="Q34" s="2440" t="s">
        <v>2892</v>
      </c>
    </row>
    <row r="35" spans="1:17" ht="14.25" customHeight="1">
      <c r="A35" s="2440" t="s">
        <v>294</v>
      </c>
      <c r="B35" s="2441" t="s">
        <v>161</v>
      </c>
      <c r="C35" s="3321">
        <v>27270</v>
      </c>
      <c r="D35" s="3321">
        <v>24270</v>
      </c>
      <c r="E35" s="3321">
        <v>24950</v>
      </c>
      <c r="F35" s="3321">
        <v>6600</v>
      </c>
      <c r="G35" s="3325">
        <v>16990</v>
      </c>
      <c r="M35" s="2440" t="s">
        <v>2893</v>
      </c>
      <c r="N35" s="2440" t="s">
        <v>2894</v>
      </c>
      <c r="O35" s="2440" t="s">
        <v>2895</v>
      </c>
      <c r="P35" s="2440" t="s">
        <v>2896</v>
      </c>
      <c r="Q35" s="2440" t="s">
        <v>2897</v>
      </c>
    </row>
    <row r="36" spans="1:17" ht="14.25" customHeight="1">
      <c r="A36" s="2440" t="s">
        <v>294</v>
      </c>
      <c r="B36" s="2441" t="s">
        <v>167</v>
      </c>
      <c r="C36" s="3321">
        <v>23490</v>
      </c>
      <c r="D36" s="3321">
        <v>23020</v>
      </c>
      <c r="E36" s="3321">
        <v>25230</v>
      </c>
      <c r="F36" s="3321">
        <v>6780</v>
      </c>
      <c r="G36" s="3325">
        <v>16120</v>
      </c>
      <c r="M36" s="2440" t="s">
        <v>2898</v>
      </c>
      <c r="N36" s="2440" t="s">
        <v>2899</v>
      </c>
      <c r="O36" s="2440" t="s">
        <v>2900</v>
      </c>
      <c r="P36" s="2440" t="s">
        <v>2901</v>
      </c>
      <c r="Q36" s="2440" t="s">
        <v>2902</v>
      </c>
    </row>
    <row r="37" spans="1:17" ht="14.25" customHeight="1">
      <c r="A37" s="2440" t="s">
        <v>294</v>
      </c>
      <c r="B37" s="2441" t="s">
        <v>174</v>
      </c>
      <c r="C37" s="3321">
        <v>24380</v>
      </c>
      <c r="D37" s="3321">
        <v>22240</v>
      </c>
      <c r="E37" s="3321">
        <v>25980</v>
      </c>
      <c r="F37" s="3321">
        <v>8160</v>
      </c>
      <c r="G37" s="3325">
        <v>15570</v>
      </c>
      <c r="M37" s="2440" t="s">
        <v>2903</v>
      </c>
      <c r="N37" s="2440" t="s">
        <v>2904</v>
      </c>
      <c r="O37" s="2440" t="s">
        <v>2905</v>
      </c>
      <c r="P37" s="2440" t="s">
        <v>2906</v>
      </c>
      <c r="Q37" s="2440" t="s">
        <v>2907</v>
      </c>
    </row>
    <row r="38" spans="1:17" ht="14.25" customHeight="1">
      <c r="A38" s="2440" t="s">
        <v>294</v>
      </c>
      <c r="B38" s="2441" t="s">
        <v>184</v>
      </c>
      <c r="C38" s="3321">
        <v>23120</v>
      </c>
      <c r="D38" s="3321">
        <v>24630</v>
      </c>
      <c r="E38" s="3321">
        <v>25030</v>
      </c>
      <c r="F38" s="3321">
        <v>7710</v>
      </c>
      <c r="G38" s="3325">
        <v>17240</v>
      </c>
      <c r="M38" s="2440" t="s">
        <v>2908</v>
      </c>
      <c r="N38" s="2440" t="s">
        <v>2909</v>
      </c>
      <c r="O38" s="2440" t="s">
        <v>2910</v>
      </c>
      <c r="P38" s="2440" t="s">
        <v>2911</v>
      </c>
      <c r="Q38" s="2440" t="s">
        <v>2912</v>
      </c>
    </row>
    <row r="39" spans="1:17" ht="14.25" customHeight="1">
      <c r="A39" s="2440" t="s">
        <v>294</v>
      </c>
      <c r="B39" s="2441" t="s">
        <v>193</v>
      </c>
      <c r="C39" s="3321">
        <v>22330</v>
      </c>
      <c r="D39" s="3321">
        <v>21140</v>
      </c>
      <c r="E39" s="3321">
        <v>23970</v>
      </c>
      <c r="F39" s="3321">
        <v>7940</v>
      </c>
      <c r="G39" s="3325">
        <v>14790</v>
      </c>
      <c r="M39" s="2440" t="s">
        <v>2913</v>
      </c>
      <c r="N39" s="2440" t="s">
        <v>2914</v>
      </c>
      <c r="O39" s="2440" t="s">
        <v>2915</v>
      </c>
      <c r="P39" s="2440" t="s">
        <v>2916</v>
      </c>
      <c r="Q39" s="2440" t="s">
        <v>2917</v>
      </c>
    </row>
    <row r="40" spans="1:17" ht="14.25" customHeight="1">
      <c r="A40" s="2440" t="s">
        <v>294</v>
      </c>
      <c r="B40" s="2441" t="s">
        <v>200</v>
      </c>
      <c r="C40" s="3321">
        <v>24740</v>
      </c>
      <c r="D40" s="3321">
        <v>24690</v>
      </c>
      <c r="E40" s="3321">
        <v>22610</v>
      </c>
      <c r="F40" s="3321"/>
      <c r="G40" s="3325">
        <v>17280</v>
      </c>
      <c r="M40" s="2440" t="s">
        <v>2918</v>
      </c>
      <c r="N40" s="2440" t="s">
        <v>2919</v>
      </c>
      <c r="O40" s="2440" t="s">
        <v>2920</v>
      </c>
      <c r="P40" s="2440" t="s">
        <v>2921</v>
      </c>
      <c r="Q40" s="2440" t="s">
        <v>2922</v>
      </c>
    </row>
    <row r="41" spans="1:17" ht="14.25" customHeight="1" thickBot="1">
      <c r="A41" s="2440" t="s">
        <v>294</v>
      </c>
      <c r="B41" s="2441" t="s">
        <v>207</v>
      </c>
      <c r="C41" s="3321">
        <v>21220</v>
      </c>
      <c r="D41" s="3321">
        <v>21120</v>
      </c>
      <c r="E41" s="3321">
        <v>22590</v>
      </c>
      <c r="F41" s="3321"/>
      <c r="G41" s="3325">
        <v>14780</v>
      </c>
      <c r="M41" s="2447" t="s">
        <v>2923</v>
      </c>
      <c r="N41" s="2440" t="s">
        <v>2924</v>
      </c>
      <c r="O41" s="2440" t="s">
        <v>2925</v>
      </c>
      <c r="P41" s="2440" t="s">
        <v>2926</v>
      </c>
      <c r="Q41" s="2440" t="s">
        <v>2927</v>
      </c>
    </row>
    <row r="42" spans="1:17" ht="14.25" customHeight="1">
      <c r="A42" s="2440" t="s">
        <v>294</v>
      </c>
      <c r="B42" s="2441" t="s">
        <v>213</v>
      </c>
      <c r="C42" s="3321">
        <v>24800</v>
      </c>
      <c r="D42" s="3321">
        <v>22280</v>
      </c>
      <c r="E42" s="3321">
        <v>24350</v>
      </c>
      <c r="F42" s="3321"/>
      <c r="G42" s="3325">
        <v>15590</v>
      </c>
      <c r="N42" s="2440" t="s">
        <v>2928</v>
      </c>
      <c r="O42" s="2440" t="s">
        <v>2929</v>
      </c>
      <c r="P42" s="2440" t="s">
        <v>2930</v>
      </c>
      <c r="Q42" s="2440" t="s">
        <v>2931</v>
      </c>
    </row>
    <row r="43" spans="1:17" ht="14.25" customHeight="1">
      <c r="A43" s="2440" t="s">
        <v>2932</v>
      </c>
      <c r="B43" s="2441" t="s">
        <v>221</v>
      </c>
      <c r="C43" s="3321">
        <v>21210</v>
      </c>
      <c r="D43" s="3321">
        <v>21160</v>
      </c>
      <c r="E43" s="3321">
        <v>22650</v>
      </c>
      <c r="F43" s="3321"/>
      <c r="G43" s="3325">
        <v>14800</v>
      </c>
      <c r="N43" s="2440" t="s">
        <v>2933</v>
      </c>
      <c r="O43" s="2440" t="s">
        <v>2934</v>
      </c>
      <c r="P43" s="2440" t="s">
        <v>2935</v>
      </c>
      <c r="Q43" s="2440" t="s">
        <v>2936</v>
      </c>
    </row>
    <row r="44" spans="1:17" ht="14.25" customHeight="1" thickBot="1">
      <c r="A44" s="2440" t="s">
        <v>294</v>
      </c>
      <c r="B44" s="2441" t="s">
        <v>229</v>
      </c>
      <c r="C44" s="3321">
        <v>22370</v>
      </c>
      <c r="D44" s="3321">
        <v>23140</v>
      </c>
      <c r="E44" s="3321">
        <v>25090</v>
      </c>
      <c r="F44" s="3321"/>
      <c r="G44" s="3325">
        <v>16190</v>
      </c>
      <c r="N44" s="2440" t="s">
        <v>2937</v>
      </c>
      <c r="O44" s="2440" t="s">
        <v>2938</v>
      </c>
      <c r="P44" s="2447" t="s">
        <v>2939</v>
      </c>
      <c r="Q44" s="2440" t="s">
        <v>2940</v>
      </c>
    </row>
    <row r="45" spans="1:17" ht="14.25" customHeight="1" thickBot="1">
      <c r="A45" s="2440" t="s">
        <v>294</v>
      </c>
      <c r="B45" s="2441" t="s">
        <v>234</v>
      </c>
      <c r="C45" s="3321">
        <v>21240</v>
      </c>
      <c r="D45" s="3321">
        <v>27050</v>
      </c>
      <c r="E45" s="3321">
        <v>28000</v>
      </c>
      <c r="F45" s="3321"/>
      <c r="G45" s="3325">
        <v>18940</v>
      </c>
      <c r="N45" s="2440" t="s">
        <v>2941</v>
      </c>
      <c r="O45" s="2447" t="s">
        <v>2942</v>
      </c>
      <c r="Q45" s="2440" t="s">
        <v>2943</v>
      </c>
    </row>
    <row r="46" spans="1:17" ht="14.25" customHeight="1">
      <c r="A46" s="2440" t="s">
        <v>294</v>
      </c>
      <c r="B46" s="2441" t="s">
        <v>243</v>
      </c>
      <c r="C46" s="3321">
        <v>23240</v>
      </c>
      <c r="D46" s="3321">
        <v>23000</v>
      </c>
      <c r="E46" s="3321">
        <v>24980</v>
      </c>
      <c r="F46" s="3321"/>
      <c r="G46" s="3325">
        <v>16100</v>
      </c>
      <c r="N46" s="2440" t="s">
        <v>2944</v>
      </c>
      <c r="Q46" s="2440" t="s">
        <v>2945</v>
      </c>
    </row>
    <row r="47" spans="1:17" ht="14.25" customHeight="1">
      <c r="A47" s="2440" t="s">
        <v>294</v>
      </c>
      <c r="B47" s="2441" t="s">
        <v>250</v>
      </c>
      <c r="C47" s="3321">
        <v>27150</v>
      </c>
      <c r="D47" s="3321">
        <v>23310</v>
      </c>
      <c r="E47" s="3321">
        <v>25150</v>
      </c>
      <c r="F47" s="3321"/>
      <c r="G47" s="3325">
        <v>16310</v>
      </c>
      <c r="N47" s="2440" t="s">
        <v>2946</v>
      </c>
      <c r="Q47" s="2440" t="s">
        <v>2947</v>
      </c>
    </row>
    <row r="48" spans="1:17" ht="14.25" customHeight="1">
      <c r="A48" s="2440" t="s">
        <v>294</v>
      </c>
      <c r="B48" s="2441" t="s">
        <v>258</v>
      </c>
      <c r="C48" s="3321">
        <v>23100</v>
      </c>
      <c r="D48" s="3321">
        <v>21110</v>
      </c>
      <c r="E48" s="3321">
        <v>23080</v>
      </c>
      <c r="F48" s="3321"/>
      <c r="G48" s="3325">
        <v>14780</v>
      </c>
      <c r="N48" s="2440" t="s">
        <v>2948</v>
      </c>
      <c r="Q48" s="2440" t="s">
        <v>2949</v>
      </c>
    </row>
    <row r="49" spans="1:17" ht="14.25" customHeight="1">
      <c r="A49" s="2440" t="s">
        <v>294</v>
      </c>
      <c r="B49" s="2441" t="s">
        <v>265</v>
      </c>
      <c r="C49" s="3321">
        <v>23400</v>
      </c>
      <c r="D49" s="3321">
        <v>22920</v>
      </c>
      <c r="E49" s="3321">
        <v>24900</v>
      </c>
      <c r="F49" s="3321"/>
      <c r="G49" s="3325">
        <v>16040</v>
      </c>
      <c r="N49" s="2440" t="s">
        <v>2950</v>
      </c>
      <c r="Q49" s="2440" t="s">
        <v>2951</v>
      </c>
    </row>
    <row r="50" spans="1:17" ht="14.25" customHeight="1">
      <c r="A50" s="2440" t="s">
        <v>294</v>
      </c>
      <c r="B50" s="2441" t="s">
        <v>2828</v>
      </c>
      <c r="C50" s="3321">
        <v>21200</v>
      </c>
      <c r="D50" s="3321">
        <v>26540</v>
      </c>
      <c r="E50" s="3321">
        <v>23200</v>
      </c>
      <c r="F50" s="3321"/>
      <c r="G50" s="3325">
        <v>18580</v>
      </c>
      <c r="N50" s="2440" t="s">
        <v>2952</v>
      </c>
      <c r="Q50" s="2441" t="s">
        <v>2953</v>
      </c>
    </row>
    <row r="51" spans="1:17" ht="14.25" customHeight="1" thickBot="1">
      <c r="A51" s="2440" t="s">
        <v>294</v>
      </c>
      <c r="B51" s="2441" t="s">
        <v>2830</v>
      </c>
      <c r="C51" s="3321">
        <v>23000</v>
      </c>
      <c r="D51" s="3321">
        <v>23460</v>
      </c>
      <c r="E51" s="3321">
        <v>25290</v>
      </c>
      <c r="F51" s="3321"/>
      <c r="G51" s="3325">
        <v>16420</v>
      </c>
      <c r="N51" s="2440" t="s">
        <v>2954</v>
      </c>
      <c r="Q51" s="2447" t="s">
        <v>2955</v>
      </c>
    </row>
    <row r="52" spans="1:17" ht="14.25" customHeight="1">
      <c r="A52" s="2440" t="s">
        <v>294</v>
      </c>
      <c r="B52" s="2441" t="s">
        <v>2834</v>
      </c>
      <c r="C52" s="3321">
        <v>26660</v>
      </c>
      <c r="D52" s="3321">
        <v>22350</v>
      </c>
      <c r="E52" s="3321">
        <v>22920</v>
      </c>
      <c r="F52" s="3321"/>
      <c r="G52" s="3325">
        <v>15640</v>
      </c>
      <c r="N52" s="2440" t="s">
        <v>2956</v>
      </c>
    </row>
    <row r="53" spans="1:17" ht="14.25" customHeight="1">
      <c r="A53" s="2440" t="s">
        <v>294</v>
      </c>
      <c r="B53" s="2441" t="s">
        <v>2839</v>
      </c>
      <c r="C53" s="3321">
        <v>23580</v>
      </c>
      <c r="D53" s="3321"/>
      <c r="E53" s="3321">
        <v>24280</v>
      </c>
      <c r="F53" s="3321"/>
      <c r="G53" s="3325"/>
      <c r="N53" s="2440" t="s">
        <v>2957</v>
      </c>
    </row>
    <row r="54" spans="1:17" ht="14.25" customHeight="1" thickBot="1">
      <c r="A54" s="2452" t="s">
        <v>294</v>
      </c>
      <c r="B54" s="2446" t="s">
        <v>2842</v>
      </c>
      <c r="C54" s="3322">
        <v>22460</v>
      </c>
      <c r="D54" s="3322"/>
      <c r="E54" s="3322"/>
      <c r="F54" s="3322"/>
      <c r="G54" s="3326"/>
      <c r="N54" s="2440" t="s">
        <v>2958</v>
      </c>
    </row>
    <row r="55" spans="1:17" ht="14.25" customHeight="1">
      <c r="A55" s="2445" t="s">
        <v>108</v>
      </c>
      <c r="B55" s="2436" t="s">
        <v>2959</v>
      </c>
      <c r="C55" s="3321">
        <v>21970</v>
      </c>
      <c r="D55" s="3321">
        <v>20370</v>
      </c>
      <c r="E55" s="3321">
        <v>20180</v>
      </c>
      <c r="F55" s="3321">
        <v>5730</v>
      </c>
      <c r="G55" s="3321">
        <v>13820</v>
      </c>
      <c r="N55" s="2440" t="s">
        <v>2960</v>
      </c>
    </row>
    <row r="56" spans="1:17" ht="14.25" customHeight="1">
      <c r="A56" s="2440" t="s">
        <v>108</v>
      </c>
      <c r="B56" s="2440" t="s">
        <v>128</v>
      </c>
      <c r="C56" s="3321">
        <v>20470</v>
      </c>
      <c r="D56" s="3321">
        <v>20700</v>
      </c>
      <c r="E56" s="3321">
        <v>20380</v>
      </c>
      <c r="F56" s="3321">
        <v>4760</v>
      </c>
      <c r="G56" s="3321">
        <v>14050</v>
      </c>
      <c r="N56" s="2440" t="s">
        <v>2961</v>
      </c>
    </row>
    <row r="57" spans="1:17" ht="14.25" customHeight="1">
      <c r="A57" s="2440" t="s">
        <v>108</v>
      </c>
      <c r="B57" s="2440" t="s">
        <v>137</v>
      </c>
      <c r="C57" s="3321">
        <v>20790</v>
      </c>
      <c r="D57" s="3321">
        <v>21370</v>
      </c>
      <c r="E57" s="3321">
        <v>20890</v>
      </c>
      <c r="F57" s="3321">
        <v>4910</v>
      </c>
      <c r="G57" s="3321">
        <v>14510</v>
      </c>
      <c r="N57" s="2440" t="s">
        <v>2962</v>
      </c>
    </row>
    <row r="58" spans="1:17" ht="14.25" customHeight="1">
      <c r="A58" s="2440" t="s">
        <v>108</v>
      </c>
      <c r="B58" s="2440" t="s">
        <v>146</v>
      </c>
      <c r="C58" s="3321">
        <v>21460</v>
      </c>
      <c r="D58" s="3321">
        <v>20920</v>
      </c>
      <c r="E58" s="3321">
        <v>23410</v>
      </c>
      <c r="F58" s="3321">
        <v>5100</v>
      </c>
      <c r="G58" s="3321">
        <v>14200</v>
      </c>
      <c r="N58" s="2440" t="s">
        <v>2963</v>
      </c>
    </row>
    <row r="59" spans="1:17" ht="14.25" customHeight="1">
      <c r="A59" s="2440" t="s">
        <v>108</v>
      </c>
      <c r="B59" s="2440" t="s">
        <v>155</v>
      </c>
      <c r="C59" s="3321">
        <v>21000</v>
      </c>
      <c r="D59" s="3321">
        <v>21550</v>
      </c>
      <c r="E59" s="3321">
        <v>21150</v>
      </c>
      <c r="F59" s="3321">
        <v>5250</v>
      </c>
      <c r="G59" s="3321">
        <v>14630</v>
      </c>
      <c r="N59" s="2440" t="s">
        <v>2964</v>
      </c>
    </row>
    <row r="60" spans="1:17" ht="14.25" customHeight="1">
      <c r="A60" s="2440" t="s">
        <v>108</v>
      </c>
      <c r="B60" s="2440" t="s">
        <v>162</v>
      </c>
      <c r="C60" s="3321">
        <v>21640</v>
      </c>
      <c r="D60" s="3321">
        <v>21260</v>
      </c>
      <c r="E60" s="3321">
        <v>24040</v>
      </c>
      <c r="F60" s="3321">
        <v>4470</v>
      </c>
      <c r="G60" s="3321">
        <v>14430</v>
      </c>
      <c r="N60" s="2440" t="s">
        <v>2965</v>
      </c>
    </row>
    <row r="61" spans="1:17" ht="14.25" customHeight="1">
      <c r="A61" s="2440" t="s">
        <v>108</v>
      </c>
      <c r="B61" s="2440" t="s">
        <v>168</v>
      </c>
      <c r="C61" s="3321">
        <v>21330</v>
      </c>
      <c r="D61" s="3321">
        <v>18640</v>
      </c>
      <c r="E61" s="3321">
        <v>21190</v>
      </c>
      <c r="F61" s="3321">
        <v>4180</v>
      </c>
      <c r="G61" s="3321">
        <v>12650</v>
      </c>
      <c r="N61" s="2440" t="s">
        <v>2966</v>
      </c>
    </row>
    <row r="62" spans="1:17" ht="14.25" customHeight="1">
      <c r="A62" s="2440" t="s">
        <v>108</v>
      </c>
      <c r="B62" s="2440" t="s">
        <v>175</v>
      </c>
      <c r="C62" s="3321">
        <v>18710</v>
      </c>
      <c r="D62" s="3321">
        <v>19400</v>
      </c>
      <c r="E62" s="3321">
        <v>23750</v>
      </c>
      <c r="F62" s="3321">
        <v>4860</v>
      </c>
      <c r="G62" s="3321">
        <v>13170</v>
      </c>
      <c r="N62" s="2440" t="s">
        <v>2967</v>
      </c>
    </row>
    <row r="63" spans="1:17" ht="14.25" customHeight="1">
      <c r="A63" s="2440" t="s">
        <v>108</v>
      </c>
      <c r="B63" s="2440" t="s">
        <v>185</v>
      </c>
      <c r="C63" s="3321">
        <v>19480</v>
      </c>
      <c r="D63" s="3321">
        <v>16830</v>
      </c>
      <c r="E63" s="3321">
        <v>21590</v>
      </c>
      <c r="F63" s="3321">
        <v>4560</v>
      </c>
      <c r="G63" s="3321">
        <v>11420</v>
      </c>
      <c r="N63" s="2440" t="s">
        <v>2968</v>
      </c>
    </row>
    <row r="64" spans="1:17" ht="14.25" customHeight="1" thickBot="1">
      <c r="A64" s="2440" t="s">
        <v>108</v>
      </c>
      <c r="B64" s="2440" t="s">
        <v>194</v>
      </c>
      <c r="C64" s="3321">
        <v>16920</v>
      </c>
      <c r="D64" s="3321">
        <v>19190</v>
      </c>
      <c r="E64" s="3321">
        <v>22200</v>
      </c>
      <c r="F64" s="3321">
        <v>4390</v>
      </c>
      <c r="G64" s="3321">
        <v>13030</v>
      </c>
      <c r="N64" s="2447" t="s">
        <v>2969</v>
      </c>
    </row>
    <row r="65" spans="1:7" s="2305" customFormat="1" ht="14.25" customHeight="1">
      <c r="A65" s="2440" t="s">
        <v>108</v>
      </c>
      <c r="B65" s="2440" t="s">
        <v>201</v>
      </c>
      <c r="C65" s="3321">
        <v>19290</v>
      </c>
      <c r="D65" s="3321">
        <v>17020</v>
      </c>
      <c r="E65" s="3321">
        <v>19880</v>
      </c>
      <c r="F65" s="3321">
        <v>4070</v>
      </c>
      <c r="G65" s="3321">
        <v>11550</v>
      </c>
    </row>
    <row r="66" spans="1:7" s="2305" customFormat="1" ht="14.25" customHeight="1">
      <c r="A66" s="2440" t="s">
        <v>108</v>
      </c>
      <c r="B66" s="2440" t="s">
        <v>208</v>
      </c>
      <c r="C66" s="3321">
        <v>17090</v>
      </c>
      <c r="D66" s="3321">
        <v>18340</v>
      </c>
      <c r="E66" s="3321">
        <v>21830</v>
      </c>
      <c r="F66" s="3321">
        <v>4690</v>
      </c>
      <c r="G66" s="3321">
        <v>12450</v>
      </c>
    </row>
    <row r="67" spans="1:7" s="2305" customFormat="1" ht="14.25" customHeight="1">
      <c r="A67" s="2440" t="s">
        <v>108</v>
      </c>
      <c r="B67" s="2440" t="s">
        <v>214</v>
      </c>
      <c r="C67" s="3321">
        <v>18420</v>
      </c>
      <c r="D67" s="3321">
        <v>16360</v>
      </c>
      <c r="E67" s="3321">
        <v>20020</v>
      </c>
      <c r="F67" s="3321">
        <v>5150</v>
      </c>
      <c r="G67" s="3321">
        <v>11110</v>
      </c>
    </row>
    <row r="68" spans="1:7" s="2305" customFormat="1" ht="14.25" customHeight="1">
      <c r="A68" s="2440" t="s">
        <v>108</v>
      </c>
      <c r="B68" s="2440" t="s">
        <v>222</v>
      </c>
      <c r="C68" s="3321">
        <v>16450</v>
      </c>
      <c r="D68" s="3321">
        <v>18430</v>
      </c>
      <c r="E68" s="3321">
        <v>21010</v>
      </c>
      <c r="F68" s="3321">
        <v>4720</v>
      </c>
      <c r="G68" s="3321">
        <v>12510</v>
      </c>
    </row>
    <row r="69" spans="1:7" s="2305" customFormat="1" ht="14.25" customHeight="1">
      <c r="A69" s="2440" t="s">
        <v>108</v>
      </c>
      <c r="B69" s="2440" t="s">
        <v>230</v>
      </c>
      <c r="C69" s="3321">
        <v>18510</v>
      </c>
      <c r="D69" s="3321">
        <v>16300</v>
      </c>
      <c r="E69" s="3321">
        <v>18830</v>
      </c>
      <c r="F69" s="3321">
        <v>5400</v>
      </c>
      <c r="G69" s="3321">
        <v>11070</v>
      </c>
    </row>
    <row r="70" spans="1:7" s="2305" customFormat="1" ht="14.25" customHeight="1">
      <c r="A70" s="2440" t="s">
        <v>108</v>
      </c>
      <c r="B70" s="2440" t="s">
        <v>235</v>
      </c>
      <c r="C70" s="3321">
        <v>16370</v>
      </c>
      <c r="D70" s="3321">
        <v>18620</v>
      </c>
      <c r="E70" s="3321">
        <v>21100</v>
      </c>
      <c r="F70" s="3321">
        <v>5700</v>
      </c>
      <c r="G70" s="3321">
        <v>12640</v>
      </c>
    </row>
    <row r="71" spans="1:7" s="2305" customFormat="1" ht="14.25" customHeight="1">
      <c r="A71" s="2440" t="s">
        <v>108</v>
      </c>
      <c r="B71" s="2440" t="s">
        <v>244</v>
      </c>
      <c r="C71" s="3321">
        <v>18700</v>
      </c>
      <c r="D71" s="3321">
        <v>16290</v>
      </c>
      <c r="E71" s="3321">
        <v>18760</v>
      </c>
      <c r="F71" s="3321">
        <v>4780</v>
      </c>
      <c r="G71" s="3321">
        <v>11050</v>
      </c>
    </row>
    <row r="72" spans="1:7" s="2305" customFormat="1" ht="14.25" customHeight="1">
      <c r="A72" s="2440" t="s">
        <v>108</v>
      </c>
      <c r="B72" s="2440" t="s">
        <v>251</v>
      </c>
      <c r="C72" s="3321">
        <v>16340</v>
      </c>
      <c r="D72" s="3321">
        <v>17520</v>
      </c>
      <c r="E72" s="3321">
        <v>21170</v>
      </c>
      <c r="F72" s="3321"/>
      <c r="G72" s="3321">
        <v>11900</v>
      </c>
    </row>
    <row r="73" spans="1:7" s="2305" customFormat="1" ht="14.25" customHeight="1">
      <c r="A73" s="2440" t="s">
        <v>108</v>
      </c>
      <c r="B73" s="2440" t="s">
        <v>259</v>
      </c>
      <c r="C73" s="3321">
        <v>17610</v>
      </c>
      <c r="D73" s="3321">
        <v>18520</v>
      </c>
      <c r="E73" s="3321">
        <v>18720</v>
      </c>
      <c r="F73" s="3321"/>
      <c r="G73" s="3321">
        <v>12570</v>
      </c>
    </row>
    <row r="74" spans="1:7" s="2305" customFormat="1" ht="14.25" customHeight="1">
      <c r="A74" s="2440" t="s">
        <v>108</v>
      </c>
      <c r="B74" s="2440" t="s">
        <v>266</v>
      </c>
      <c r="C74" s="3321">
        <v>18600</v>
      </c>
      <c r="D74" s="3321">
        <v>16480</v>
      </c>
      <c r="E74" s="3321">
        <v>20100</v>
      </c>
      <c r="F74" s="3321"/>
      <c r="G74" s="3321">
        <v>11190</v>
      </c>
    </row>
    <row r="75" spans="1:7" s="2305" customFormat="1" ht="14.25" customHeight="1">
      <c r="A75" s="2440" t="s">
        <v>108</v>
      </c>
      <c r="B75" s="2440" t="s">
        <v>270</v>
      </c>
      <c r="C75" s="3321">
        <v>16570</v>
      </c>
      <c r="D75" s="3321">
        <v>17530</v>
      </c>
      <c r="E75" s="3321">
        <v>21030</v>
      </c>
      <c r="F75" s="3321"/>
      <c r="G75" s="3321">
        <v>11900</v>
      </c>
    </row>
    <row r="76" spans="1:7" s="2305" customFormat="1" ht="14.25" customHeight="1">
      <c r="A76" s="2440" t="s">
        <v>108</v>
      </c>
      <c r="B76" s="2440" t="s">
        <v>276</v>
      </c>
      <c r="C76" s="3321">
        <v>17610</v>
      </c>
      <c r="D76" s="3321">
        <v>20800</v>
      </c>
      <c r="E76" s="3321">
        <v>18920</v>
      </c>
      <c r="F76" s="3321"/>
      <c r="G76" s="3321">
        <v>14120</v>
      </c>
    </row>
    <row r="77" spans="1:7" s="2305" customFormat="1" ht="14.25" customHeight="1">
      <c r="A77" s="2440" t="s">
        <v>108</v>
      </c>
      <c r="B77" s="2440" t="s">
        <v>279</v>
      </c>
      <c r="C77" s="3321">
        <v>20890</v>
      </c>
      <c r="D77" s="3321">
        <v>19740</v>
      </c>
      <c r="E77" s="3321">
        <v>20110</v>
      </c>
      <c r="F77" s="3321"/>
      <c r="G77" s="3321">
        <v>13400</v>
      </c>
    </row>
    <row r="78" spans="1:7" s="2305" customFormat="1" ht="14.25" customHeight="1">
      <c r="A78" s="2440" t="s">
        <v>108</v>
      </c>
      <c r="B78" s="2440" t="s">
        <v>2840</v>
      </c>
      <c r="C78" s="3321">
        <v>19820</v>
      </c>
      <c r="D78" s="3321">
        <v>19780</v>
      </c>
      <c r="E78" s="3321">
        <v>18560</v>
      </c>
      <c r="F78" s="3321"/>
      <c r="G78" s="3321">
        <v>13430</v>
      </c>
    </row>
    <row r="79" spans="1:7" s="2305" customFormat="1" ht="14.25" customHeight="1">
      <c r="A79" s="2440" t="s">
        <v>108</v>
      </c>
      <c r="B79" s="2440" t="s">
        <v>2843</v>
      </c>
      <c r="C79" s="3321">
        <v>21660</v>
      </c>
      <c r="D79" s="3321">
        <v>18000</v>
      </c>
      <c r="E79" s="3321">
        <v>22570</v>
      </c>
      <c r="F79" s="3321"/>
      <c r="G79" s="3321">
        <v>12220</v>
      </c>
    </row>
    <row r="80" spans="1:7" s="2305" customFormat="1" ht="14.25" customHeight="1">
      <c r="A80" s="2440" t="s">
        <v>108</v>
      </c>
      <c r="B80" s="2440" t="s">
        <v>2847</v>
      </c>
      <c r="C80" s="3321">
        <v>19850</v>
      </c>
      <c r="D80" s="3321"/>
      <c r="E80" s="3321">
        <v>21700</v>
      </c>
      <c r="F80" s="3321"/>
      <c r="G80" s="3321"/>
    </row>
    <row r="81" spans="1:7" s="2305" customFormat="1" ht="14.25" customHeight="1">
      <c r="A81" s="2440" t="s">
        <v>108</v>
      </c>
      <c r="B81" s="2440" t="s">
        <v>2852</v>
      </c>
      <c r="C81" s="3321">
        <v>18080</v>
      </c>
      <c r="D81" s="3321"/>
      <c r="E81" s="3321">
        <v>20900</v>
      </c>
      <c r="F81" s="3321"/>
      <c r="G81" s="3321"/>
    </row>
    <row r="82" spans="1:7" s="2305" customFormat="1" ht="14.25" customHeight="1">
      <c r="A82" s="2440" t="s">
        <v>108</v>
      </c>
      <c r="B82" s="2440" t="s">
        <v>2859</v>
      </c>
      <c r="C82" s="3321"/>
      <c r="D82" s="3321"/>
      <c r="E82" s="3321">
        <v>20840</v>
      </c>
      <c r="F82" s="3321"/>
      <c r="G82" s="3321"/>
    </row>
    <row r="83" spans="1:7" s="2305" customFormat="1" ht="14.25" customHeight="1">
      <c r="A83" s="2440" t="s">
        <v>108</v>
      </c>
      <c r="B83" s="2440" t="s">
        <v>2970</v>
      </c>
      <c r="C83" s="3321"/>
      <c r="D83" s="3321"/>
      <c r="E83" s="3321"/>
      <c r="F83" s="3321">
        <v>4770</v>
      </c>
      <c r="G83" s="3321"/>
    </row>
    <row r="84" spans="1:7" s="2305" customFormat="1" ht="14.25" customHeight="1">
      <c r="A84" s="2440" t="s">
        <v>108</v>
      </c>
      <c r="B84" s="2440" t="s">
        <v>2971</v>
      </c>
      <c r="C84" s="3321"/>
      <c r="D84" s="3321"/>
      <c r="E84" s="3321"/>
      <c r="F84" s="3321">
        <v>4600</v>
      </c>
      <c r="G84" s="3321"/>
    </row>
    <row r="85" spans="1:7" s="2305" customFormat="1" ht="14.25" customHeight="1">
      <c r="A85" s="2440" t="s">
        <v>108</v>
      </c>
      <c r="B85" s="2440" t="s">
        <v>2972</v>
      </c>
      <c r="C85" s="3321"/>
      <c r="D85" s="3321"/>
      <c r="E85" s="3321"/>
      <c r="F85" s="3321">
        <v>4680</v>
      </c>
      <c r="G85" s="3321"/>
    </row>
    <row r="86" spans="1:7" s="2305" customFormat="1" ht="14.25" customHeight="1" thickBot="1">
      <c r="A86" s="2448" t="s">
        <v>108</v>
      </c>
      <c r="B86" s="2450" t="s">
        <v>2973</v>
      </c>
      <c r="C86" s="3323">
        <v>16610</v>
      </c>
      <c r="D86" s="3323">
        <v>16540</v>
      </c>
      <c r="E86" s="3323">
        <v>18850</v>
      </c>
      <c r="F86" s="3323"/>
      <c r="G86" s="3323">
        <v>11220</v>
      </c>
    </row>
    <row r="87" spans="1:7" s="2305" customFormat="1" ht="14.25" customHeight="1">
      <c r="A87" s="2445" t="s">
        <v>301</v>
      </c>
      <c r="B87" s="2436" t="s">
        <v>2974</v>
      </c>
      <c r="C87" s="3320">
        <v>15240</v>
      </c>
      <c r="D87" s="3320">
        <v>15170</v>
      </c>
      <c r="E87" s="3320">
        <v>18260</v>
      </c>
      <c r="F87" s="3320">
        <v>3830</v>
      </c>
      <c r="G87" s="3324">
        <v>10020</v>
      </c>
    </row>
    <row r="88" spans="1:7" s="2305" customFormat="1" ht="14.25" customHeight="1">
      <c r="A88" s="2440" t="s">
        <v>301</v>
      </c>
      <c r="B88" s="2440" t="s">
        <v>129</v>
      </c>
      <c r="C88" s="3321">
        <v>17310</v>
      </c>
      <c r="D88" s="3321">
        <v>17220</v>
      </c>
      <c r="E88" s="3321">
        <v>18610</v>
      </c>
      <c r="F88" s="3321">
        <v>3990</v>
      </c>
      <c r="G88" s="3325">
        <v>11380</v>
      </c>
    </row>
    <row r="89" spans="1:7" s="2305" customFormat="1" ht="14.25" customHeight="1">
      <c r="A89" s="2440" t="s">
        <v>301</v>
      </c>
      <c r="B89" s="2440" t="s">
        <v>138</v>
      </c>
      <c r="C89" s="3321">
        <v>15600</v>
      </c>
      <c r="D89" s="3321">
        <v>15550</v>
      </c>
      <c r="E89" s="3321">
        <v>19200</v>
      </c>
      <c r="F89" s="3321">
        <v>4110</v>
      </c>
      <c r="G89" s="3325">
        <v>10270</v>
      </c>
    </row>
    <row r="90" spans="1:7" s="2305" customFormat="1" ht="14.25" customHeight="1">
      <c r="A90" s="2440" t="s">
        <v>301</v>
      </c>
      <c r="B90" s="2440" t="s">
        <v>147</v>
      </c>
      <c r="C90" s="3321">
        <v>17330</v>
      </c>
      <c r="D90" s="3321">
        <v>17240</v>
      </c>
      <c r="E90" s="3321">
        <v>18570</v>
      </c>
      <c r="F90" s="3321">
        <v>4070</v>
      </c>
      <c r="G90" s="3325">
        <v>11390</v>
      </c>
    </row>
    <row r="91" spans="1:7" s="2305" customFormat="1" ht="14.25" customHeight="1">
      <c r="A91" s="2440" t="s">
        <v>301</v>
      </c>
      <c r="B91" s="2440" t="s">
        <v>156</v>
      </c>
      <c r="C91" s="3321">
        <v>16330</v>
      </c>
      <c r="D91" s="3321">
        <v>16260</v>
      </c>
      <c r="E91" s="3321">
        <v>16800</v>
      </c>
      <c r="F91" s="3321">
        <v>3410</v>
      </c>
      <c r="G91" s="3325">
        <v>10740</v>
      </c>
    </row>
    <row r="92" spans="1:7" s="2305" customFormat="1" ht="14.25" customHeight="1">
      <c r="A92" s="2440" t="s">
        <v>301</v>
      </c>
      <c r="B92" s="2440" t="s">
        <v>163</v>
      </c>
      <c r="C92" s="3321">
        <v>15570</v>
      </c>
      <c r="D92" s="3321">
        <v>15500</v>
      </c>
      <c r="E92" s="3321">
        <v>17360</v>
      </c>
      <c r="F92" s="3321">
        <v>3510</v>
      </c>
      <c r="G92" s="3325">
        <v>10240</v>
      </c>
    </row>
    <row r="93" spans="1:7" s="2305" customFormat="1" ht="14.25" customHeight="1">
      <c r="A93" s="2440" t="s">
        <v>301</v>
      </c>
      <c r="B93" s="2440" t="s">
        <v>169</v>
      </c>
      <c r="C93" s="3321">
        <v>14000</v>
      </c>
      <c r="D93" s="3321">
        <v>13930</v>
      </c>
      <c r="E93" s="3321">
        <v>18200</v>
      </c>
      <c r="F93" s="3321">
        <v>3640</v>
      </c>
      <c r="G93" s="3325">
        <v>9210</v>
      </c>
    </row>
    <row r="94" spans="1:7" s="2305" customFormat="1" ht="14.25" customHeight="1">
      <c r="A94" s="2440" t="s">
        <v>301</v>
      </c>
      <c r="B94" s="2440" t="s">
        <v>176</v>
      </c>
      <c r="C94" s="3321">
        <v>14530</v>
      </c>
      <c r="D94" s="3321">
        <v>14470</v>
      </c>
      <c r="E94" s="3321">
        <v>18240</v>
      </c>
      <c r="F94" s="3321">
        <v>3180</v>
      </c>
      <c r="G94" s="3325">
        <v>9560</v>
      </c>
    </row>
    <row r="95" spans="1:7" s="2305" customFormat="1" ht="14.25" customHeight="1">
      <c r="A95" s="2440" t="s">
        <v>301</v>
      </c>
      <c r="B95" s="2440" t="s">
        <v>186</v>
      </c>
      <c r="C95" s="3321">
        <v>17330</v>
      </c>
      <c r="D95" s="3321">
        <v>17260</v>
      </c>
      <c r="E95" s="3321">
        <v>18420</v>
      </c>
      <c r="F95" s="3321">
        <v>3060</v>
      </c>
      <c r="G95" s="3325">
        <v>11410</v>
      </c>
    </row>
    <row r="96" spans="1:7" s="2305" customFormat="1" ht="14.25" customHeight="1">
      <c r="A96" s="2440" t="s">
        <v>301</v>
      </c>
      <c r="B96" s="2440" t="s">
        <v>195</v>
      </c>
      <c r="C96" s="3321">
        <v>15030</v>
      </c>
      <c r="D96" s="3321">
        <v>14970</v>
      </c>
      <c r="E96" s="3321">
        <v>17580</v>
      </c>
      <c r="F96" s="3321">
        <v>2970</v>
      </c>
      <c r="G96" s="3325">
        <v>9890</v>
      </c>
    </row>
    <row r="97" spans="1:7" s="2305" customFormat="1" ht="14.25" customHeight="1">
      <c r="A97" s="2440" t="s">
        <v>301</v>
      </c>
      <c r="B97" s="2440" t="s">
        <v>202</v>
      </c>
      <c r="C97" s="3321">
        <v>17400</v>
      </c>
      <c r="D97" s="3321">
        <v>17330</v>
      </c>
      <c r="E97" s="3321">
        <v>16430</v>
      </c>
      <c r="F97" s="3321">
        <v>2950</v>
      </c>
      <c r="G97" s="3325">
        <v>11450</v>
      </c>
    </row>
    <row r="98" spans="1:7" s="2305" customFormat="1" ht="14.25" customHeight="1">
      <c r="A98" s="2440" t="s">
        <v>301</v>
      </c>
      <c r="B98" s="2440" t="s">
        <v>209</v>
      </c>
      <c r="C98" s="3321">
        <v>15200</v>
      </c>
      <c r="D98" s="3321">
        <v>15120</v>
      </c>
      <c r="E98" s="3321">
        <v>17550</v>
      </c>
      <c r="F98" s="3321">
        <v>3080</v>
      </c>
      <c r="G98" s="3325">
        <v>9990</v>
      </c>
    </row>
    <row r="99" spans="1:7" s="2305" customFormat="1" ht="14.25" customHeight="1">
      <c r="A99" s="2440" t="s">
        <v>301</v>
      </c>
      <c r="B99" s="2440" t="s">
        <v>215</v>
      </c>
      <c r="C99" s="3321">
        <v>17520</v>
      </c>
      <c r="D99" s="3321">
        <v>17430</v>
      </c>
      <c r="E99" s="3321">
        <v>16350</v>
      </c>
      <c r="F99" s="3321">
        <v>3260</v>
      </c>
      <c r="G99" s="3325">
        <v>11510</v>
      </c>
    </row>
    <row r="100" spans="1:7" s="2305" customFormat="1" ht="14.25" customHeight="1">
      <c r="A100" s="2440" t="s">
        <v>301</v>
      </c>
      <c r="B100" s="2440" t="s">
        <v>223</v>
      </c>
      <c r="C100" s="3321">
        <v>15340</v>
      </c>
      <c r="D100" s="3321">
        <v>15260</v>
      </c>
      <c r="E100" s="3321">
        <v>15930</v>
      </c>
      <c r="F100" s="3321">
        <v>2740</v>
      </c>
      <c r="G100" s="3325">
        <v>10080</v>
      </c>
    </row>
    <row r="101" spans="1:7" s="2305" customFormat="1" ht="14.25" customHeight="1">
      <c r="A101" s="2440" t="s">
        <v>301</v>
      </c>
      <c r="B101" s="2440" t="s">
        <v>231</v>
      </c>
      <c r="C101" s="3321">
        <v>14620</v>
      </c>
      <c r="D101" s="3321">
        <v>14560</v>
      </c>
      <c r="E101" s="3321">
        <v>15570</v>
      </c>
      <c r="F101" s="3321">
        <v>3500</v>
      </c>
      <c r="G101" s="3325">
        <v>9630</v>
      </c>
    </row>
    <row r="102" spans="1:7" s="2305" customFormat="1" ht="14.25" customHeight="1">
      <c r="A102" s="2440" t="s">
        <v>301</v>
      </c>
      <c r="B102" s="2440" t="s">
        <v>236</v>
      </c>
      <c r="C102" s="3321">
        <v>13680</v>
      </c>
      <c r="D102" s="3321">
        <v>13610</v>
      </c>
      <c r="E102" s="3321">
        <v>15690</v>
      </c>
      <c r="F102" s="3321">
        <v>2870</v>
      </c>
      <c r="G102" s="3325">
        <v>8990</v>
      </c>
    </row>
    <row r="103" spans="1:7" s="2305" customFormat="1" ht="14.25" customHeight="1">
      <c r="A103" s="2440" t="s">
        <v>301</v>
      </c>
      <c r="B103" s="2440" t="s">
        <v>245</v>
      </c>
      <c r="C103" s="3321">
        <v>14620</v>
      </c>
      <c r="D103" s="3321">
        <v>14540</v>
      </c>
      <c r="E103" s="3321">
        <v>15240</v>
      </c>
      <c r="F103" s="3321">
        <v>2840</v>
      </c>
      <c r="G103" s="3325">
        <v>9610</v>
      </c>
    </row>
    <row r="104" spans="1:7" s="2305" customFormat="1" ht="14.25" customHeight="1">
      <c r="A104" s="2440" t="s">
        <v>301</v>
      </c>
      <c r="B104" s="2440" t="s">
        <v>252</v>
      </c>
      <c r="C104" s="3321">
        <v>13610</v>
      </c>
      <c r="D104" s="3321">
        <v>13540</v>
      </c>
      <c r="E104" s="3321">
        <v>15750</v>
      </c>
      <c r="F104" s="3321">
        <v>2770</v>
      </c>
      <c r="G104" s="3325">
        <v>8940</v>
      </c>
    </row>
    <row r="105" spans="1:7" s="2305" customFormat="1" ht="14.25" customHeight="1">
      <c r="A105" s="2440" t="s">
        <v>301</v>
      </c>
      <c r="B105" s="2440" t="s">
        <v>260</v>
      </c>
      <c r="C105" s="3321">
        <v>13310</v>
      </c>
      <c r="D105" s="3321">
        <v>13240</v>
      </c>
      <c r="E105" s="3321">
        <v>16280</v>
      </c>
      <c r="F105" s="3321">
        <v>3210</v>
      </c>
      <c r="G105" s="3325">
        <v>8750</v>
      </c>
    </row>
    <row r="106" spans="1:7" s="2305" customFormat="1" ht="14.25" customHeight="1">
      <c r="A106" s="2440" t="s">
        <v>301</v>
      </c>
      <c r="B106" s="2440" t="s">
        <v>267</v>
      </c>
      <c r="C106" s="3321">
        <v>13010</v>
      </c>
      <c r="D106" s="3321">
        <v>12930</v>
      </c>
      <c r="E106" s="3321">
        <v>14960</v>
      </c>
      <c r="F106" s="3321">
        <v>3530</v>
      </c>
      <c r="G106" s="3325">
        <v>8550</v>
      </c>
    </row>
    <row r="107" spans="1:7" s="2305" customFormat="1" ht="14.25" customHeight="1">
      <c r="A107" s="2440" t="s">
        <v>301</v>
      </c>
      <c r="B107" s="2440" t="s">
        <v>271</v>
      </c>
      <c r="C107" s="3321">
        <v>13070</v>
      </c>
      <c r="D107" s="3321">
        <v>13000</v>
      </c>
      <c r="E107" s="3321">
        <v>15910</v>
      </c>
      <c r="F107" s="3321">
        <v>3990</v>
      </c>
      <c r="G107" s="3325">
        <v>8580</v>
      </c>
    </row>
    <row r="108" spans="1:7" s="2305" customFormat="1" ht="14.25" customHeight="1">
      <c r="A108" s="2440" t="s">
        <v>301</v>
      </c>
      <c r="B108" s="2440" t="s">
        <v>277</v>
      </c>
      <c r="C108" s="3321">
        <v>12640</v>
      </c>
      <c r="D108" s="3321">
        <v>12580</v>
      </c>
      <c r="E108" s="3321">
        <v>15730</v>
      </c>
      <c r="F108" s="3321"/>
      <c r="G108" s="3325">
        <v>8310</v>
      </c>
    </row>
    <row r="109" spans="1:7" s="2305" customFormat="1" ht="14.25" customHeight="1">
      <c r="A109" s="2440" t="s">
        <v>301</v>
      </c>
      <c r="B109" s="2440" t="s">
        <v>280</v>
      </c>
      <c r="C109" s="3321">
        <v>13130</v>
      </c>
      <c r="D109" s="3321">
        <v>13070</v>
      </c>
      <c r="E109" s="3321">
        <v>15000</v>
      </c>
      <c r="F109" s="3321"/>
      <c r="G109" s="3325">
        <v>8630</v>
      </c>
    </row>
    <row r="110" spans="1:7" s="2305" customFormat="1" ht="14.25" customHeight="1">
      <c r="A110" s="2440" t="s">
        <v>301</v>
      </c>
      <c r="B110" s="2440" t="s">
        <v>282</v>
      </c>
      <c r="C110" s="3321">
        <v>13560</v>
      </c>
      <c r="D110" s="3321">
        <v>13490</v>
      </c>
      <c r="E110" s="3321">
        <v>16300</v>
      </c>
      <c r="F110" s="3321"/>
      <c r="G110" s="3325">
        <v>8920</v>
      </c>
    </row>
    <row r="111" spans="1:7" s="2305" customFormat="1" ht="14.25" customHeight="1">
      <c r="A111" s="2440" t="s">
        <v>301</v>
      </c>
      <c r="B111" s="2440" t="s">
        <v>285</v>
      </c>
      <c r="C111" s="3321">
        <v>12440</v>
      </c>
      <c r="D111" s="3321">
        <v>12380</v>
      </c>
      <c r="E111" s="3321">
        <v>17850</v>
      </c>
      <c r="F111" s="3321"/>
      <c r="G111" s="3325">
        <v>8180</v>
      </c>
    </row>
    <row r="112" spans="1:7" s="2305" customFormat="1" ht="14.25" customHeight="1">
      <c r="A112" s="2440" t="s">
        <v>301</v>
      </c>
      <c r="B112" s="2440" t="s">
        <v>289</v>
      </c>
      <c r="C112" s="3321">
        <v>13260</v>
      </c>
      <c r="D112" s="3321">
        <v>13180</v>
      </c>
      <c r="E112" s="3321">
        <v>19740</v>
      </c>
      <c r="F112" s="3321"/>
      <c r="G112" s="3325">
        <v>8710</v>
      </c>
    </row>
    <row r="113" spans="1:7" s="2305" customFormat="1" ht="14.25" customHeight="1">
      <c r="A113" s="2440" t="s">
        <v>301</v>
      </c>
      <c r="B113" s="2440" t="s">
        <v>2853</v>
      </c>
      <c r="C113" s="3321">
        <v>15520</v>
      </c>
      <c r="D113" s="3321">
        <v>15450</v>
      </c>
      <c r="E113" s="3321"/>
      <c r="F113" s="3321"/>
      <c r="G113" s="3325">
        <v>10210</v>
      </c>
    </row>
    <row r="114" spans="1:7" s="2305" customFormat="1" ht="14.25" customHeight="1">
      <c r="A114" s="2440" t="s">
        <v>301</v>
      </c>
      <c r="B114" s="2440" t="s">
        <v>2860</v>
      </c>
      <c r="C114" s="3321">
        <v>13110</v>
      </c>
      <c r="D114" s="3321">
        <v>13050</v>
      </c>
      <c r="E114" s="3321"/>
      <c r="F114" s="3321"/>
      <c r="G114" s="3325">
        <v>8620</v>
      </c>
    </row>
    <row r="115" spans="1:7" s="2305" customFormat="1" ht="14.25" customHeight="1">
      <c r="A115" s="2440" t="s">
        <v>301</v>
      </c>
      <c r="B115" s="2440" t="s">
        <v>2866</v>
      </c>
      <c r="C115" s="3321">
        <v>12460</v>
      </c>
      <c r="D115" s="3321">
        <v>12390</v>
      </c>
      <c r="E115" s="3321"/>
      <c r="F115" s="3321"/>
      <c r="G115" s="3325">
        <v>8190</v>
      </c>
    </row>
    <row r="116" spans="1:7" s="2305" customFormat="1" ht="14.25" customHeight="1">
      <c r="A116" s="2440" t="s">
        <v>301</v>
      </c>
      <c r="B116" s="2440" t="s">
        <v>2873</v>
      </c>
      <c r="C116" s="3321">
        <v>13580</v>
      </c>
      <c r="D116" s="3321">
        <v>13520</v>
      </c>
      <c r="E116" s="3321"/>
      <c r="F116" s="3321"/>
      <c r="G116" s="3325">
        <v>8930</v>
      </c>
    </row>
    <row r="117" spans="1:7" s="2305" customFormat="1" ht="14.25" customHeight="1">
      <c r="A117" s="2440" t="s">
        <v>301</v>
      </c>
      <c r="B117" s="2440" t="s">
        <v>2880</v>
      </c>
      <c r="C117" s="3321">
        <v>17120</v>
      </c>
      <c r="D117" s="3321">
        <v>17040</v>
      </c>
      <c r="E117" s="3321"/>
      <c r="F117" s="3321"/>
      <c r="G117" s="3325">
        <v>11260</v>
      </c>
    </row>
    <row r="118" spans="1:7" s="2305" customFormat="1" ht="14.25" customHeight="1">
      <c r="A118" s="2440" t="s">
        <v>301</v>
      </c>
      <c r="B118" s="2440" t="s">
        <v>2885</v>
      </c>
      <c r="C118" s="3321">
        <v>14860</v>
      </c>
      <c r="D118" s="3321">
        <v>14790</v>
      </c>
      <c r="E118" s="3321"/>
      <c r="F118" s="3321"/>
      <c r="G118" s="3325">
        <v>9780</v>
      </c>
    </row>
    <row r="119" spans="1:7" s="2305" customFormat="1" ht="14.25" customHeight="1">
      <c r="A119" s="2440" t="s">
        <v>301</v>
      </c>
      <c r="B119" s="2440" t="s">
        <v>2889</v>
      </c>
      <c r="C119" s="3321">
        <v>16470</v>
      </c>
      <c r="D119" s="3321">
        <v>16400</v>
      </c>
      <c r="E119" s="3321"/>
      <c r="F119" s="3321"/>
      <c r="G119" s="3325">
        <v>10840</v>
      </c>
    </row>
    <row r="120" spans="1:7" s="2305" customFormat="1" ht="14.25" customHeight="1">
      <c r="A120" s="2440" t="s">
        <v>301</v>
      </c>
      <c r="B120" s="2440" t="s">
        <v>2975</v>
      </c>
      <c r="C120" s="3321"/>
      <c r="D120" s="3321"/>
      <c r="E120" s="3321"/>
      <c r="F120" s="3321">
        <v>4160</v>
      </c>
      <c r="G120" s="3325"/>
    </row>
    <row r="121" spans="1:7" s="2305" customFormat="1" ht="14.25" customHeight="1">
      <c r="A121" s="2440" t="s">
        <v>301</v>
      </c>
      <c r="B121" s="2440" t="s">
        <v>2976</v>
      </c>
      <c r="C121" s="3321"/>
      <c r="D121" s="3321"/>
      <c r="E121" s="3321"/>
      <c r="F121" s="3321">
        <v>3880</v>
      </c>
      <c r="G121" s="3325"/>
    </row>
    <row r="122" spans="1:7" s="2305" customFormat="1" ht="14.25" customHeight="1">
      <c r="A122" s="2440" t="s">
        <v>301</v>
      </c>
      <c r="B122" s="2440" t="s">
        <v>2977</v>
      </c>
      <c r="C122" s="3321">
        <v>13750</v>
      </c>
      <c r="D122" s="3321">
        <v>13680</v>
      </c>
      <c r="E122" s="3321">
        <v>16460</v>
      </c>
      <c r="F122" s="3321">
        <v>2880</v>
      </c>
      <c r="G122" s="3325">
        <v>9040</v>
      </c>
    </row>
    <row r="123" spans="1:7" s="2305" customFormat="1" ht="14.25" customHeight="1">
      <c r="A123" s="2440" t="s">
        <v>301</v>
      </c>
      <c r="B123" s="2440" t="s">
        <v>2908</v>
      </c>
      <c r="C123" s="3321">
        <v>13590</v>
      </c>
      <c r="D123" s="3321">
        <v>13520</v>
      </c>
      <c r="E123" s="3321">
        <v>16290</v>
      </c>
      <c r="F123" s="3321">
        <v>2790</v>
      </c>
      <c r="G123" s="3325">
        <v>8930</v>
      </c>
    </row>
    <row r="124" spans="1:7" s="2305" customFormat="1" ht="14.25" customHeight="1">
      <c r="A124" s="2440" t="s">
        <v>301</v>
      </c>
      <c r="B124" s="2440" t="s">
        <v>2913</v>
      </c>
      <c r="C124" s="3321">
        <v>13400</v>
      </c>
      <c r="D124" s="3321">
        <v>13320</v>
      </c>
      <c r="E124" s="3321">
        <v>16100</v>
      </c>
      <c r="F124" s="3321">
        <v>2320</v>
      </c>
      <c r="G124" s="3325">
        <v>8800</v>
      </c>
    </row>
    <row r="125" spans="1:7" s="2305" customFormat="1" ht="14.25" customHeight="1">
      <c r="A125" s="2440" t="s">
        <v>301</v>
      </c>
      <c r="B125" s="2440" t="s">
        <v>2918</v>
      </c>
      <c r="C125" s="3321">
        <v>12860</v>
      </c>
      <c r="D125" s="3321">
        <v>12790</v>
      </c>
      <c r="E125" s="3321">
        <v>15370</v>
      </c>
      <c r="F125" s="3321">
        <v>2280</v>
      </c>
      <c r="G125" s="3325">
        <v>8450</v>
      </c>
    </row>
    <row r="126" spans="1:7" s="2305" customFormat="1" ht="14.25" customHeight="1" thickBot="1">
      <c r="A126" s="2452" t="s">
        <v>301</v>
      </c>
      <c r="B126" s="2447" t="s">
        <v>2923</v>
      </c>
      <c r="C126" s="3322">
        <v>12960</v>
      </c>
      <c r="D126" s="3322">
        <v>12890</v>
      </c>
      <c r="E126" s="3322">
        <v>15530</v>
      </c>
      <c r="F126" s="3322">
        <v>2910</v>
      </c>
      <c r="G126" s="3326">
        <v>8520</v>
      </c>
    </row>
    <row r="127" spans="1:7" s="2305" customFormat="1" ht="14.25" customHeight="1">
      <c r="A127" s="2445" t="s">
        <v>27</v>
      </c>
      <c r="B127" s="2436" t="s">
        <v>2978</v>
      </c>
      <c r="C127" s="3321">
        <v>12280</v>
      </c>
      <c r="D127" s="3321">
        <v>12250</v>
      </c>
      <c r="E127" s="3321">
        <v>15130</v>
      </c>
      <c r="F127" s="3321">
        <v>2710</v>
      </c>
      <c r="G127" s="3321">
        <v>7870</v>
      </c>
    </row>
    <row r="128" spans="1:7" s="2305" customFormat="1" ht="14.25" customHeight="1">
      <c r="A128" s="2440" t="s">
        <v>27</v>
      </c>
      <c r="B128" s="2440" t="s">
        <v>130</v>
      </c>
      <c r="C128" s="3321">
        <v>13180</v>
      </c>
      <c r="D128" s="3321">
        <v>13150</v>
      </c>
      <c r="E128" s="3321">
        <v>16190</v>
      </c>
      <c r="F128" s="3321">
        <v>2820</v>
      </c>
      <c r="G128" s="3321">
        <v>8460</v>
      </c>
    </row>
    <row r="129" spans="1:7" s="2305" customFormat="1" ht="14.25" customHeight="1">
      <c r="A129" s="2440" t="s">
        <v>27</v>
      </c>
      <c r="B129" s="2440" t="s">
        <v>139</v>
      </c>
      <c r="C129" s="3321">
        <v>10950</v>
      </c>
      <c r="D129" s="3321">
        <v>10920</v>
      </c>
      <c r="E129" s="3321">
        <v>13820</v>
      </c>
      <c r="F129" s="3321">
        <v>2500</v>
      </c>
      <c r="G129" s="3321">
        <v>7020</v>
      </c>
    </row>
    <row r="130" spans="1:7" s="2305" customFormat="1" ht="14.25" customHeight="1">
      <c r="A130" s="2440" t="s">
        <v>27</v>
      </c>
      <c r="B130" s="2440" t="s">
        <v>148</v>
      </c>
      <c r="C130" s="3321">
        <v>10910</v>
      </c>
      <c r="D130" s="3321">
        <v>10860</v>
      </c>
      <c r="E130" s="3321">
        <v>13730</v>
      </c>
      <c r="F130" s="3321">
        <v>2760</v>
      </c>
      <c r="G130" s="3321">
        <v>6990</v>
      </c>
    </row>
    <row r="131" spans="1:7" s="2305" customFormat="1" ht="14.25" customHeight="1">
      <c r="A131" s="2440" t="s">
        <v>27</v>
      </c>
      <c r="B131" s="2440" t="s">
        <v>157</v>
      </c>
      <c r="C131" s="3321">
        <v>12910</v>
      </c>
      <c r="D131" s="3321">
        <v>12870</v>
      </c>
      <c r="E131" s="3321">
        <v>15720</v>
      </c>
      <c r="F131" s="3321">
        <v>2750</v>
      </c>
      <c r="G131" s="3321">
        <v>8280</v>
      </c>
    </row>
    <row r="132" spans="1:7" s="2305" customFormat="1" ht="14.25" customHeight="1">
      <c r="A132" s="2440" t="s">
        <v>27</v>
      </c>
      <c r="B132" s="2440" t="s">
        <v>164</v>
      </c>
      <c r="C132" s="3321">
        <v>11910</v>
      </c>
      <c r="D132" s="3321">
        <v>11860</v>
      </c>
      <c r="E132" s="3321">
        <v>14730</v>
      </c>
      <c r="F132" s="3321">
        <v>2360</v>
      </c>
      <c r="G132" s="3321">
        <v>7630</v>
      </c>
    </row>
    <row r="133" spans="1:7" s="2305" customFormat="1" ht="14.25" customHeight="1">
      <c r="A133" s="2440" t="s">
        <v>27</v>
      </c>
      <c r="B133" s="2440" t="s">
        <v>170</v>
      </c>
      <c r="C133" s="3321">
        <v>12270</v>
      </c>
      <c r="D133" s="3321">
        <v>12210</v>
      </c>
      <c r="E133" s="3321">
        <v>15010</v>
      </c>
      <c r="F133" s="3321">
        <v>2580</v>
      </c>
      <c r="G133" s="3321">
        <v>7860</v>
      </c>
    </row>
    <row r="134" spans="1:7" s="2305" customFormat="1" ht="14.25" customHeight="1">
      <c r="A134" s="2440" t="s">
        <v>27</v>
      </c>
      <c r="B134" s="2440" t="s">
        <v>177</v>
      </c>
      <c r="C134" s="3321">
        <v>10800</v>
      </c>
      <c r="D134" s="3321">
        <v>10780</v>
      </c>
      <c r="E134" s="3321">
        <v>13640</v>
      </c>
      <c r="F134" s="3321">
        <v>2110</v>
      </c>
      <c r="G134" s="3321">
        <v>6930</v>
      </c>
    </row>
    <row r="135" spans="1:7" s="2305" customFormat="1" ht="14.25" customHeight="1">
      <c r="A135" s="2440" t="s">
        <v>27</v>
      </c>
      <c r="B135" s="2440" t="s">
        <v>187</v>
      </c>
      <c r="C135" s="3321">
        <v>10430</v>
      </c>
      <c r="D135" s="3321">
        <v>10390</v>
      </c>
      <c r="E135" s="3321">
        <v>13140</v>
      </c>
      <c r="F135" s="3321">
        <v>2240</v>
      </c>
      <c r="G135" s="3321">
        <v>6680</v>
      </c>
    </row>
    <row r="136" spans="1:7" s="2305" customFormat="1" ht="14.25" customHeight="1">
      <c r="A136" s="2440" t="s">
        <v>27</v>
      </c>
      <c r="B136" s="2440" t="s">
        <v>196</v>
      </c>
      <c r="C136" s="3321">
        <v>11930</v>
      </c>
      <c r="D136" s="3321">
        <v>11880</v>
      </c>
      <c r="E136" s="3321">
        <v>14770</v>
      </c>
      <c r="F136" s="3321">
        <v>1970</v>
      </c>
      <c r="G136" s="3321">
        <v>7640</v>
      </c>
    </row>
    <row r="137" spans="1:7" s="2305" customFormat="1" ht="14.25" customHeight="1">
      <c r="A137" s="2440" t="s">
        <v>27</v>
      </c>
      <c r="B137" s="2440" t="s">
        <v>203</v>
      </c>
      <c r="C137" s="3321">
        <v>10470</v>
      </c>
      <c r="D137" s="3321">
        <v>10430</v>
      </c>
      <c r="E137" s="3321">
        <v>13190</v>
      </c>
      <c r="F137" s="3321">
        <v>1990</v>
      </c>
      <c r="G137" s="3321">
        <v>6710</v>
      </c>
    </row>
    <row r="138" spans="1:7" s="2305" customFormat="1" ht="14.25" customHeight="1">
      <c r="A138" s="2440" t="s">
        <v>27</v>
      </c>
      <c r="B138" s="2440" t="s">
        <v>210</v>
      </c>
      <c r="C138" s="3321">
        <v>10410</v>
      </c>
      <c r="D138" s="3321">
        <v>10380</v>
      </c>
      <c r="E138" s="3321">
        <v>13130</v>
      </c>
      <c r="F138" s="3321">
        <v>2030</v>
      </c>
      <c r="G138" s="3321">
        <v>6680</v>
      </c>
    </row>
    <row r="139" spans="1:7" s="2305" customFormat="1" ht="14.25" customHeight="1">
      <c r="A139" s="2440" t="s">
        <v>27</v>
      </c>
      <c r="B139" s="2440" t="s">
        <v>216</v>
      </c>
      <c r="C139" s="3321">
        <v>9460</v>
      </c>
      <c r="D139" s="3321">
        <v>9410</v>
      </c>
      <c r="E139" s="3321">
        <v>12050</v>
      </c>
      <c r="F139" s="3321">
        <v>2140</v>
      </c>
      <c r="G139" s="3321">
        <v>6050</v>
      </c>
    </row>
    <row r="140" spans="1:7" s="2305" customFormat="1" ht="14.25" customHeight="1">
      <c r="A140" s="2440" t="s">
        <v>27</v>
      </c>
      <c r="B140" s="2440" t="s">
        <v>224</v>
      </c>
      <c r="C140" s="3321">
        <v>11030</v>
      </c>
      <c r="D140" s="3321">
        <v>10980</v>
      </c>
      <c r="E140" s="3321">
        <v>13880</v>
      </c>
      <c r="F140" s="3321">
        <v>2210</v>
      </c>
      <c r="G140" s="3321">
        <v>7060</v>
      </c>
    </row>
    <row r="141" spans="1:7" s="2305" customFormat="1" ht="14.25" customHeight="1">
      <c r="A141" s="2440" t="s">
        <v>27</v>
      </c>
      <c r="B141" s="2440" t="s">
        <v>232</v>
      </c>
      <c r="C141" s="3321">
        <v>11200</v>
      </c>
      <c r="D141" s="3321">
        <v>11150</v>
      </c>
      <c r="E141" s="3321">
        <v>14100</v>
      </c>
      <c r="F141" s="3321">
        <v>2470</v>
      </c>
      <c r="G141" s="3321">
        <v>7170</v>
      </c>
    </row>
    <row r="142" spans="1:7" s="2305" customFormat="1" ht="14.25" customHeight="1">
      <c r="A142" s="2440" t="s">
        <v>27</v>
      </c>
      <c r="B142" s="2440" t="s">
        <v>237</v>
      </c>
      <c r="C142" s="3321">
        <v>10780</v>
      </c>
      <c r="D142" s="3321">
        <v>10730</v>
      </c>
      <c r="E142" s="3321">
        <v>13540</v>
      </c>
      <c r="F142" s="3321">
        <v>2280</v>
      </c>
      <c r="G142" s="3321">
        <v>6900</v>
      </c>
    </row>
    <row r="143" spans="1:7" s="2305" customFormat="1" ht="14.25" customHeight="1">
      <c r="A143" s="2440" t="s">
        <v>27</v>
      </c>
      <c r="B143" s="2440" t="s">
        <v>246</v>
      </c>
      <c r="C143" s="3321">
        <v>11550</v>
      </c>
      <c r="D143" s="3321">
        <v>11490</v>
      </c>
      <c r="E143" s="3321">
        <v>14480</v>
      </c>
      <c r="F143" s="3321">
        <v>2070</v>
      </c>
      <c r="G143" s="3321">
        <v>7390</v>
      </c>
    </row>
    <row r="144" spans="1:7" s="2305" customFormat="1" ht="14.25" customHeight="1">
      <c r="A144" s="2440" t="s">
        <v>27</v>
      </c>
      <c r="B144" s="2440" t="s">
        <v>253</v>
      </c>
      <c r="C144" s="3321">
        <v>10720</v>
      </c>
      <c r="D144" s="3321">
        <v>10680</v>
      </c>
      <c r="E144" s="3321">
        <v>13480</v>
      </c>
      <c r="F144" s="3321">
        <v>2440</v>
      </c>
      <c r="G144" s="3321">
        <v>6870</v>
      </c>
    </row>
    <row r="145" spans="1:7" s="2305" customFormat="1" ht="14.25" customHeight="1">
      <c r="A145" s="2440" t="s">
        <v>27</v>
      </c>
      <c r="B145" s="2440" t="s">
        <v>261</v>
      </c>
      <c r="C145" s="3321">
        <v>10340</v>
      </c>
      <c r="D145" s="3321">
        <v>10290</v>
      </c>
      <c r="E145" s="3321">
        <v>12880</v>
      </c>
      <c r="F145" s="3321">
        <v>2650</v>
      </c>
      <c r="G145" s="3321">
        <v>6620</v>
      </c>
    </row>
    <row r="146" spans="1:7" s="2305" customFormat="1" ht="14.25" customHeight="1">
      <c r="A146" s="2440" t="s">
        <v>27</v>
      </c>
      <c r="B146" s="2440" t="s">
        <v>268</v>
      </c>
      <c r="C146" s="3321">
        <v>11890</v>
      </c>
      <c r="D146" s="3321">
        <v>11830</v>
      </c>
      <c r="E146" s="3321">
        <v>14670</v>
      </c>
      <c r="F146" s="3321"/>
      <c r="G146" s="3321">
        <v>7610</v>
      </c>
    </row>
    <row r="147" spans="1:7" s="2305" customFormat="1" ht="14.25" customHeight="1">
      <c r="A147" s="2440" t="s">
        <v>27</v>
      </c>
      <c r="B147" s="2440" t="s">
        <v>272</v>
      </c>
      <c r="C147" s="3321">
        <v>12650</v>
      </c>
      <c r="D147" s="3321">
        <v>12600</v>
      </c>
      <c r="E147" s="3321">
        <v>15440</v>
      </c>
      <c r="F147" s="3321"/>
      <c r="G147" s="3321">
        <v>8110</v>
      </c>
    </row>
    <row r="148" spans="1:7" s="2305" customFormat="1" ht="14.25" customHeight="1">
      <c r="A148" s="2440" t="s">
        <v>27</v>
      </c>
      <c r="B148" s="2440" t="s">
        <v>2979</v>
      </c>
      <c r="C148" s="3321">
        <v>10370</v>
      </c>
      <c r="D148" s="3321">
        <v>10310</v>
      </c>
      <c r="E148" s="3321">
        <v>12970</v>
      </c>
      <c r="F148" s="3321"/>
      <c r="G148" s="3321">
        <v>6630</v>
      </c>
    </row>
    <row r="149" spans="1:7" s="2305" customFormat="1" ht="14.25" customHeight="1">
      <c r="A149" s="2440" t="s">
        <v>27</v>
      </c>
      <c r="B149" s="2440" t="s">
        <v>2980</v>
      </c>
      <c r="C149" s="3321">
        <v>11600</v>
      </c>
      <c r="D149" s="3321">
        <v>11560</v>
      </c>
      <c r="E149" s="3321">
        <v>14540</v>
      </c>
      <c r="F149" s="3321">
        <v>2390</v>
      </c>
      <c r="G149" s="3321">
        <v>7430</v>
      </c>
    </row>
    <row r="150" spans="1:7" s="2305" customFormat="1" ht="14.25" customHeight="1">
      <c r="A150" s="2440" t="s">
        <v>27</v>
      </c>
      <c r="B150" s="2440" t="s">
        <v>290</v>
      </c>
      <c r="C150" s="3321">
        <v>9950</v>
      </c>
      <c r="D150" s="3321">
        <v>9890</v>
      </c>
      <c r="E150" s="3321">
        <v>12590</v>
      </c>
      <c r="F150" s="3321">
        <v>1970</v>
      </c>
      <c r="G150" s="3321">
        <v>6360</v>
      </c>
    </row>
    <row r="151" spans="1:7" s="2305" customFormat="1" ht="14.25" customHeight="1">
      <c r="A151" s="2440" t="s">
        <v>27</v>
      </c>
      <c r="B151" s="2440" t="s">
        <v>292</v>
      </c>
      <c r="C151" s="3321">
        <v>10700</v>
      </c>
      <c r="D151" s="3321">
        <v>10650</v>
      </c>
      <c r="E151" s="3321">
        <v>13420</v>
      </c>
      <c r="F151" s="3321">
        <v>2020</v>
      </c>
      <c r="G151" s="3321">
        <v>6850</v>
      </c>
    </row>
    <row r="152" spans="1:7" s="2305" customFormat="1" ht="14.25" customHeight="1">
      <c r="A152" s="2440" t="s">
        <v>27</v>
      </c>
      <c r="B152" s="2440" t="s">
        <v>295</v>
      </c>
      <c r="C152" s="3321">
        <v>10310</v>
      </c>
      <c r="D152" s="3321">
        <v>10260</v>
      </c>
      <c r="E152" s="3321">
        <v>12820</v>
      </c>
      <c r="F152" s="3321">
        <v>1980</v>
      </c>
      <c r="G152" s="3321">
        <v>6600</v>
      </c>
    </row>
    <row r="153" spans="1:7" s="2305" customFormat="1" ht="14.25" customHeight="1">
      <c r="A153" s="2440" t="s">
        <v>27</v>
      </c>
      <c r="B153" s="2440" t="s">
        <v>2854</v>
      </c>
      <c r="C153" s="3321">
        <v>10880</v>
      </c>
      <c r="D153" s="3321">
        <v>10820</v>
      </c>
      <c r="E153" s="3321">
        <v>13660</v>
      </c>
      <c r="F153" s="3321">
        <v>2260</v>
      </c>
      <c r="G153" s="3321">
        <v>6970</v>
      </c>
    </row>
    <row r="154" spans="1:7" s="2305" customFormat="1" ht="14.25" customHeight="1">
      <c r="A154" s="2440" t="s">
        <v>27</v>
      </c>
      <c r="B154" s="2440" t="s">
        <v>2981</v>
      </c>
      <c r="C154" s="3321">
        <v>11220</v>
      </c>
      <c r="D154" s="3321">
        <v>11160</v>
      </c>
      <c r="E154" s="3321">
        <v>14130</v>
      </c>
      <c r="F154" s="3321">
        <v>2230</v>
      </c>
      <c r="G154" s="3321">
        <v>7180</v>
      </c>
    </row>
    <row r="155" spans="1:7" s="2305" customFormat="1" ht="14.25" customHeight="1">
      <c r="A155" s="2440" t="s">
        <v>27</v>
      </c>
      <c r="B155" s="2440" t="s">
        <v>2867</v>
      </c>
      <c r="C155" s="3321">
        <v>10430</v>
      </c>
      <c r="D155" s="3321">
        <v>10380</v>
      </c>
      <c r="E155" s="3321">
        <v>13140</v>
      </c>
      <c r="F155" s="3321">
        <v>2080</v>
      </c>
      <c r="G155" s="3321">
        <v>6650</v>
      </c>
    </row>
    <row r="156" spans="1:7" s="2305" customFormat="1" ht="14.25" customHeight="1">
      <c r="A156" s="2440" t="s">
        <v>27</v>
      </c>
      <c r="B156" s="2440" t="s">
        <v>2982</v>
      </c>
      <c r="C156" s="3321">
        <v>10440</v>
      </c>
      <c r="D156" s="3321">
        <v>10400</v>
      </c>
      <c r="E156" s="3321">
        <v>13150</v>
      </c>
      <c r="F156" s="3321">
        <v>2490</v>
      </c>
      <c r="G156" s="3321">
        <v>6690</v>
      </c>
    </row>
    <row r="157" spans="1:7" s="2305" customFormat="1" ht="14.25" customHeight="1">
      <c r="A157" s="2440" t="s">
        <v>27</v>
      </c>
      <c r="B157" s="2440" t="s">
        <v>298</v>
      </c>
      <c r="C157" s="3321">
        <v>10970</v>
      </c>
      <c r="D157" s="3321">
        <v>10920</v>
      </c>
      <c r="E157" s="3321">
        <v>13840</v>
      </c>
      <c r="F157" s="3321">
        <v>2420</v>
      </c>
      <c r="G157" s="3321">
        <v>7020</v>
      </c>
    </row>
    <row r="158" spans="1:7" s="2305" customFormat="1" ht="14.25" customHeight="1">
      <c r="A158" s="2440" t="s">
        <v>27</v>
      </c>
      <c r="B158" s="2440" t="s">
        <v>299</v>
      </c>
      <c r="C158" s="3321">
        <v>9590</v>
      </c>
      <c r="D158" s="3321">
        <v>9540</v>
      </c>
      <c r="E158" s="3321">
        <v>12210</v>
      </c>
      <c r="F158" s="3321">
        <v>2100</v>
      </c>
      <c r="G158" s="3321">
        <v>6130</v>
      </c>
    </row>
    <row r="159" spans="1:7" s="2305" customFormat="1" ht="14.25" customHeight="1">
      <c r="A159" s="2440" t="s">
        <v>27</v>
      </c>
      <c r="B159" s="2440" t="s">
        <v>300</v>
      </c>
      <c r="C159" s="3321">
        <v>11190</v>
      </c>
      <c r="D159" s="3321">
        <v>11140</v>
      </c>
      <c r="E159" s="3321">
        <v>14090</v>
      </c>
      <c r="F159" s="3321">
        <v>2470</v>
      </c>
      <c r="G159" s="3321">
        <v>7170</v>
      </c>
    </row>
    <row r="160" spans="1:7" s="2305" customFormat="1" ht="14.25" customHeight="1">
      <c r="A160" s="2440" t="s">
        <v>27</v>
      </c>
      <c r="B160" s="2440" t="s">
        <v>2983</v>
      </c>
      <c r="C160" s="3321">
        <v>11180</v>
      </c>
      <c r="D160" s="3321">
        <v>11140</v>
      </c>
      <c r="E160" s="3321">
        <v>14050</v>
      </c>
      <c r="F160" s="3321">
        <v>2270</v>
      </c>
      <c r="G160" s="3321">
        <v>7170</v>
      </c>
    </row>
    <row r="161" spans="1:7" s="2305" customFormat="1" ht="14.25" customHeight="1">
      <c r="A161" s="2440" t="s">
        <v>27</v>
      </c>
      <c r="B161" s="2440" t="s">
        <v>2899</v>
      </c>
      <c r="C161" s="3321">
        <v>11160</v>
      </c>
      <c r="D161" s="3321">
        <v>11120</v>
      </c>
      <c r="E161" s="3321">
        <v>14020</v>
      </c>
      <c r="F161" s="3321">
        <v>2150</v>
      </c>
      <c r="G161" s="3321">
        <v>7160</v>
      </c>
    </row>
    <row r="162" spans="1:7" s="2305" customFormat="1" ht="14.25" customHeight="1">
      <c r="A162" s="2440" t="s">
        <v>27</v>
      </c>
      <c r="B162" s="2440" t="s">
        <v>2904</v>
      </c>
      <c r="C162" s="3321">
        <v>9620</v>
      </c>
      <c r="D162" s="3321">
        <v>9570</v>
      </c>
      <c r="E162" s="3321">
        <v>12320</v>
      </c>
      <c r="F162" s="3321">
        <v>2010</v>
      </c>
      <c r="G162" s="3321">
        <v>6160</v>
      </c>
    </row>
    <row r="163" spans="1:7" s="2305" customFormat="1" ht="14.25" customHeight="1">
      <c r="A163" s="2440" t="s">
        <v>27</v>
      </c>
      <c r="B163" s="2440" t="s">
        <v>2909</v>
      </c>
      <c r="C163" s="3321">
        <v>9320</v>
      </c>
      <c r="D163" s="3321">
        <v>9270</v>
      </c>
      <c r="E163" s="3321">
        <v>11790</v>
      </c>
      <c r="F163" s="3321">
        <v>1920</v>
      </c>
      <c r="G163" s="3321">
        <v>5960</v>
      </c>
    </row>
    <row r="164" spans="1:7" s="2305" customFormat="1" ht="14.25" customHeight="1">
      <c r="A164" s="2440" t="s">
        <v>27</v>
      </c>
      <c r="B164" s="2440" t="s">
        <v>2914</v>
      </c>
      <c r="C164" s="3321"/>
      <c r="D164" s="3321"/>
      <c r="E164" s="3321"/>
      <c r="F164" s="3321">
        <v>1980</v>
      </c>
      <c r="G164" s="3321"/>
    </row>
    <row r="165" spans="1:7" s="2305" customFormat="1" ht="14.25" customHeight="1">
      <c r="A165" s="2440" t="s">
        <v>27</v>
      </c>
      <c r="B165" s="2440" t="s">
        <v>2984</v>
      </c>
      <c r="C165" s="3321">
        <v>11060</v>
      </c>
      <c r="D165" s="3321">
        <v>11030</v>
      </c>
      <c r="E165" s="3321">
        <v>13850</v>
      </c>
      <c r="F165" s="3321">
        <v>2170</v>
      </c>
      <c r="G165" s="3321">
        <v>7090</v>
      </c>
    </row>
    <row r="166" spans="1:7" s="2305" customFormat="1" ht="14.25" customHeight="1">
      <c r="A166" s="2440" t="s">
        <v>27</v>
      </c>
      <c r="B166" s="2440" t="s">
        <v>2924</v>
      </c>
      <c r="C166" s="3321">
        <v>11050</v>
      </c>
      <c r="D166" s="3321">
        <v>11010</v>
      </c>
      <c r="E166" s="3321">
        <v>13920</v>
      </c>
      <c r="F166" s="3321">
        <v>2140</v>
      </c>
      <c r="G166" s="3321">
        <v>7080</v>
      </c>
    </row>
    <row r="167" spans="1:7" s="2305" customFormat="1" ht="14.25" customHeight="1">
      <c r="A167" s="2440" t="s">
        <v>27</v>
      </c>
      <c r="B167" s="2440" t="s">
        <v>2928</v>
      </c>
      <c r="C167" s="3321">
        <v>10930</v>
      </c>
      <c r="D167" s="3321">
        <v>10890</v>
      </c>
      <c r="E167" s="3321">
        <v>13790</v>
      </c>
      <c r="F167" s="3321">
        <v>2010</v>
      </c>
      <c r="G167" s="3321">
        <v>7000</v>
      </c>
    </row>
    <row r="168" spans="1:7" s="2305" customFormat="1" ht="14.25" customHeight="1">
      <c r="A168" s="2440" t="s">
        <v>27</v>
      </c>
      <c r="B168" s="2440" t="s">
        <v>2933</v>
      </c>
      <c r="C168" s="3321">
        <v>9420</v>
      </c>
      <c r="D168" s="3321">
        <v>9380</v>
      </c>
      <c r="E168" s="3321">
        <v>11970</v>
      </c>
      <c r="F168" s="3321"/>
      <c r="G168" s="3321">
        <v>6040</v>
      </c>
    </row>
    <row r="169" spans="1:7" s="2305" customFormat="1" ht="14.25" customHeight="1">
      <c r="A169" s="2440" t="s">
        <v>27</v>
      </c>
      <c r="B169" s="2440" t="s">
        <v>2985</v>
      </c>
      <c r="C169" s="3321"/>
      <c r="D169" s="3321"/>
      <c r="E169" s="3321"/>
      <c r="F169" s="3321">
        <v>2880</v>
      </c>
      <c r="G169" s="3321"/>
    </row>
    <row r="170" spans="1:7" s="2305" customFormat="1" ht="14.25" customHeight="1">
      <c r="A170" s="2440" t="s">
        <v>27</v>
      </c>
      <c r="B170" s="2440" t="s">
        <v>2941</v>
      </c>
      <c r="C170" s="3321"/>
      <c r="D170" s="3321"/>
      <c r="E170" s="3321"/>
      <c r="F170" s="3321">
        <v>2880</v>
      </c>
      <c r="G170" s="3321"/>
    </row>
    <row r="171" spans="1:7" s="2305" customFormat="1" ht="14.25" customHeight="1">
      <c r="A171" s="2440" t="s">
        <v>27</v>
      </c>
      <c r="B171" s="2440" t="s">
        <v>2944</v>
      </c>
      <c r="C171" s="3321"/>
      <c r="D171" s="3321"/>
      <c r="E171" s="3321"/>
      <c r="F171" s="3321">
        <v>2880</v>
      </c>
      <c r="G171" s="3321"/>
    </row>
    <row r="172" spans="1:7" s="2305" customFormat="1" ht="14.25" customHeight="1">
      <c r="A172" s="2440" t="s">
        <v>27</v>
      </c>
      <c r="B172" s="2440" t="s">
        <v>2946</v>
      </c>
      <c r="C172" s="3321"/>
      <c r="D172" s="3321"/>
      <c r="E172" s="3321"/>
      <c r="F172" s="3321">
        <v>2880</v>
      </c>
      <c r="G172" s="3321"/>
    </row>
    <row r="173" spans="1:7" s="2305" customFormat="1" ht="14.25" customHeight="1">
      <c r="A173" s="2440" t="s">
        <v>27</v>
      </c>
      <c r="B173" s="2440" t="s">
        <v>2948</v>
      </c>
      <c r="C173" s="3321"/>
      <c r="D173" s="3321"/>
      <c r="E173" s="3321"/>
      <c r="F173" s="3321">
        <v>2150</v>
      </c>
      <c r="G173" s="3321"/>
    </row>
    <row r="174" spans="1:7" s="2305" customFormat="1" ht="14.25" customHeight="1">
      <c r="A174" s="2440" t="s">
        <v>27</v>
      </c>
      <c r="B174" s="2440" t="s">
        <v>2950</v>
      </c>
      <c r="C174" s="3321"/>
      <c r="D174" s="3321"/>
      <c r="E174" s="3321"/>
      <c r="F174" s="3321">
        <v>2030</v>
      </c>
      <c r="G174" s="3321"/>
    </row>
    <row r="175" spans="1:7" s="2305" customFormat="1" ht="14.25" customHeight="1">
      <c r="A175" s="2440" t="s">
        <v>27</v>
      </c>
      <c r="B175" s="2440" t="s">
        <v>2952</v>
      </c>
      <c r="C175" s="3321"/>
      <c r="D175" s="3321"/>
      <c r="E175" s="3321"/>
      <c r="F175" s="3321">
        <v>2780</v>
      </c>
      <c r="G175" s="3321"/>
    </row>
    <row r="176" spans="1:7" s="2305" customFormat="1" ht="14.25" customHeight="1">
      <c r="A176" s="2440" t="s">
        <v>27</v>
      </c>
      <c r="B176" s="2440" t="s">
        <v>2954</v>
      </c>
      <c r="C176" s="3321"/>
      <c r="D176" s="3321"/>
      <c r="E176" s="3321"/>
      <c r="F176" s="3321">
        <v>2780</v>
      </c>
      <c r="G176" s="3321"/>
    </row>
    <row r="177" spans="1:7" s="2305" customFormat="1" ht="14.25" customHeight="1">
      <c r="A177" s="2440" t="s">
        <v>27</v>
      </c>
      <c r="B177" s="2440" t="s">
        <v>2986</v>
      </c>
      <c r="C177" s="3321"/>
      <c r="D177" s="3321"/>
      <c r="E177" s="3321"/>
      <c r="F177" s="3321">
        <v>2780</v>
      </c>
      <c r="G177" s="3321"/>
    </row>
    <row r="178" spans="1:7" s="2305" customFormat="1" ht="14.25" customHeight="1">
      <c r="A178" s="2440" t="s">
        <v>27</v>
      </c>
      <c r="B178" s="2440" t="s">
        <v>2987</v>
      </c>
      <c r="C178" s="3321"/>
      <c r="D178" s="3321"/>
      <c r="E178" s="3321"/>
      <c r="F178" s="3321">
        <v>2060</v>
      </c>
      <c r="G178" s="3321"/>
    </row>
    <row r="179" spans="1:7" s="2305" customFormat="1" ht="14.25" customHeight="1">
      <c r="A179" s="2440" t="s">
        <v>27</v>
      </c>
      <c r="B179" s="2440" t="s">
        <v>2988</v>
      </c>
      <c r="C179" s="3321"/>
      <c r="D179" s="3321"/>
      <c r="E179" s="3321"/>
      <c r="F179" s="3321">
        <v>2120</v>
      </c>
      <c r="G179" s="3321"/>
    </row>
    <row r="180" spans="1:7" s="2305" customFormat="1" ht="14.25" customHeight="1">
      <c r="A180" s="2440" t="s">
        <v>27</v>
      </c>
      <c r="B180" s="2440" t="s">
        <v>2960</v>
      </c>
      <c r="C180" s="3321"/>
      <c r="D180" s="3321"/>
      <c r="E180" s="3321"/>
      <c r="F180" s="3321">
        <v>2340</v>
      </c>
      <c r="G180" s="3321"/>
    </row>
    <row r="181" spans="1:7" s="2305" customFormat="1" ht="14.25" customHeight="1">
      <c r="A181" s="2440" t="s">
        <v>27</v>
      </c>
      <c r="B181" s="2440" t="s">
        <v>2961</v>
      </c>
      <c r="C181" s="3321"/>
      <c r="D181" s="3321"/>
      <c r="E181" s="3321"/>
      <c r="F181" s="3321">
        <v>2340</v>
      </c>
      <c r="G181" s="3321"/>
    </row>
    <row r="182" spans="1:7" s="2305" customFormat="1" ht="14.25" customHeight="1">
      <c r="A182" s="2440" t="s">
        <v>27</v>
      </c>
      <c r="B182" s="2440" t="s">
        <v>2962</v>
      </c>
      <c r="C182" s="3321"/>
      <c r="D182" s="3321"/>
      <c r="E182" s="3321"/>
      <c r="F182" s="3321">
        <v>2340</v>
      </c>
      <c r="G182" s="3321"/>
    </row>
    <row r="183" spans="1:7" s="2305" customFormat="1" ht="14.25" customHeight="1">
      <c r="A183" s="2440" t="s">
        <v>27</v>
      </c>
      <c r="B183" s="2440" t="s">
        <v>2963</v>
      </c>
      <c r="C183" s="3321"/>
      <c r="D183" s="3321"/>
      <c r="E183" s="3321"/>
      <c r="F183" s="3321">
        <v>2340</v>
      </c>
      <c r="G183" s="3321"/>
    </row>
    <row r="184" spans="1:7" s="2305" customFormat="1" ht="14.25" customHeight="1">
      <c r="A184" s="2440" t="s">
        <v>27</v>
      </c>
      <c r="B184" s="2440" t="s">
        <v>2964</v>
      </c>
      <c r="C184" s="3321"/>
      <c r="D184" s="3321"/>
      <c r="E184" s="3321"/>
      <c r="F184" s="3321">
        <v>2340</v>
      </c>
      <c r="G184" s="3321"/>
    </row>
    <row r="185" spans="1:7" s="2305" customFormat="1" ht="14.25" customHeight="1">
      <c r="A185" s="2440" t="s">
        <v>27</v>
      </c>
      <c r="B185" s="2440" t="s">
        <v>2965</v>
      </c>
      <c r="C185" s="3321"/>
      <c r="D185" s="3321"/>
      <c r="E185" s="3321"/>
      <c r="F185" s="3321">
        <v>2530</v>
      </c>
      <c r="G185" s="3321"/>
    </row>
    <row r="186" spans="1:7" s="2305" customFormat="1" ht="14.25" customHeight="1">
      <c r="A186" s="2440" t="s">
        <v>27</v>
      </c>
      <c r="B186" s="2440" t="s">
        <v>2966</v>
      </c>
      <c r="C186" s="3321"/>
      <c r="D186" s="3321"/>
      <c r="E186" s="3321"/>
      <c r="F186" s="3321">
        <v>2550</v>
      </c>
      <c r="G186" s="3321"/>
    </row>
    <row r="187" spans="1:7" s="2305" customFormat="1" ht="14.25" customHeight="1">
      <c r="A187" s="2440" t="s">
        <v>27</v>
      </c>
      <c r="B187" s="2440" t="s">
        <v>2967</v>
      </c>
      <c r="C187" s="3321"/>
      <c r="D187" s="3321"/>
      <c r="E187" s="3321"/>
      <c r="F187" s="3321">
        <v>2070</v>
      </c>
      <c r="G187" s="3321"/>
    </row>
    <row r="188" spans="1:7" s="2305" customFormat="1" ht="14.25" customHeight="1">
      <c r="A188" s="2440" t="s">
        <v>27</v>
      </c>
      <c r="B188" s="2440" t="s">
        <v>2968</v>
      </c>
      <c r="C188" s="3321"/>
      <c r="D188" s="3321"/>
      <c r="E188" s="3321"/>
      <c r="F188" s="3321">
        <v>2340</v>
      </c>
      <c r="G188" s="3321"/>
    </row>
    <row r="189" spans="1:7" s="2305" customFormat="1" ht="14.25" customHeight="1" thickBot="1">
      <c r="A189" s="2448" t="s">
        <v>27</v>
      </c>
      <c r="B189" s="2451" t="s">
        <v>2969</v>
      </c>
      <c r="C189" s="3323"/>
      <c r="D189" s="3323"/>
      <c r="E189" s="3323"/>
      <c r="F189" s="3323">
        <v>2050</v>
      </c>
      <c r="G189" s="3323"/>
    </row>
    <row r="190" spans="1:7" s="2305" customFormat="1" ht="14.25" customHeight="1">
      <c r="A190" s="2445" t="s">
        <v>302</v>
      </c>
      <c r="B190" s="2436" t="s">
        <v>2989</v>
      </c>
      <c r="C190" s="3320">
        <v>8830</v>
      </c>
      <c r="D190" s="3320">
        <v>8790</v>
      </c>
      <c r="E190" s="3320">
        <v>11630</v>
      </c>
      <c r="F190" s="3320">
        <v>1790</v>
      </c>
      <c r="G190" s="3324">
        <v>5550</v>
      </c>
    </row>
    <row r="191" spans="1:7" s="2305" customFormat="1" ht="14.25" customHeight="1">
      <c r="A191" s="2440" t="s">
        <v>302</v>
      </c>
      <c r="B191" s="2440" t="s">
        <v>131</v>
      </c>
      <c r="C191" s="3321">
        <v>9780</v>
      </c>
      <c r="D191" s="3321">
        <v>9710</v>
      </c>
      <c r="E191" s="3321">
        <v>12550</v>
      </c>
      <c r="F191" s="3321">
        <v>1980</v>
      </c>
      <c r="G191" s="3325">
        <v>6130</v>
      </c>
    </row>
    <row r="192" spans="1:7" s="2305" customFormat="1" ht="14.25" customHeight="1">
      <c r="A192" s="2440" t="s">
        <v>302</v>
      </c>
      <c r="B192" s="2440" t="s">
        <v>140</v>
      </c>
      <c r="C192" s="3321">
        <v>8180</v>
      </c>
      <c r="D192" s="3321">
        <v>8140</v>
      </c>
      <c r="E192" s="3321">
        <v>10870</v>
      </c>
      <c r="F192" s="3321">
        <v>1690</v>
      </c>
      <c r="G192" s="3325">
        <v>5140</v>
      </c>
    </row>
    <row r="193" spans="1:7" s="2305" customFormat="1" ht="14.25" customHeight="1">
      <c r="A193" s="2440" t="s">
        <v>302</v>
      </c>
      <c r="B193" s="2440" t="s">
        <v>149</v>
      </c>
      <c r="C193" s="3321">
        <v>8440</v>
      </c>
      <c r="D193" s="3321">
        <v>8390</v>
      </c>
      <c r="E193" s="3321">
        <v>11210</v>
      </c>
      <c r="F193" s="3321">
        <v>1600</v>
      </c>
      <c r="G193" s="3325">
        <v>5300</v>
      </c>
    </row>
    <row r="194" spans="1:7" s="2305" customFormat="1" ht="14.25" customHeight="1">
      <c r="A194" s="2440" t="s">
        <v>302</v>
      </c>
      <c r="B194" s="2440" t="s">
        <v>158</v>
      </c>
      <c r="C194" s="3321">
        <v>8780</v>
      </c>
      <c r="D194" s="3321">
        <v>8730</v>
      </c>
      <c r="E194" s="3321">
        <v>11550</v>
      </c>
      <c r="F194" s="3321">
        <v>1660</v>
      </c>
      <c r="G194" s="3325">
        <v>5520</v>
      </c>
    </row>
    <row r="195" spans="1:7" s="2305" customFormat="1" ht="14.25" customHeight="1">
      <c r="A195" s="2440" t="s">
        <v>302</v>
      </c>
      <c r="B195" s="2440" t="s">
        <v>165</v>
      </c>
      <c r="C195" s="3321">
        <v>8720</v>
      </c>
      <c r="D195" s="3321">
        <v>8670</v>
      </c>
      <c r="E195" s="3321">
        <v>11450</v>
      </c>
      <c r="F195" s="3321">
        <v>1720</v>
      </c>
      <c r="G195" s="3325">
        <v>5480</v>
      </c>
    </row>
    <row r="196" spans="1:7" s="2305" customFormat="1" ht="14.25" customHeight="1">
      <c r="A196" s="2440" t="s">
        <v>302</v>
      </c>
      <c r="B196" s="2440" t="s">
        <v>171</v>
      </c>
      <c r="C196" s="3321">
        <v>8460</v>
      </c>
      <c r="D196" s="3321">
        <v>8410</v>
      </c>
      <c r="E196" s="3321">
        <v>11230</v>
      </c>
      <c r="F196" s="3321">
        <v>1730</v>
      </c>
      <c r="G196" s="3325">
        <v>5310</v>
      </c>
    </row>
    <row r="197" spans="1:7" s="2305" customFormat="1" ht="14.25" customHeight="1">
      <c r="A197" s="2440" t="s">
        <v>302</v>
      </c>
      <c r="B197" s="2440" t="s">
        <v>178</v>
      </c>
      <c r="C197" s="3321">
        <v>8790</v>
      </c>
      <c r="D197" s="3321">
        <v>8730</v>
      </c>
      <c r="E197" s="3321">
        <v>11560</v>
      </c>
      <c r="F197" s="3321">
        <v>1750</v>
      </c>
      <c r="G197" s="3325">
        <v>5520</v>
      </c>
    </row>
    <row r="198" spans="1:7" s="2305" customFormat="1" ht="14.25" customHeight="1">
      <c r="A198" s="2440" t="s">
        <v>302</v>
      </c>
      <c r="B198" s="2440" t="s">
        <v>188</v>
      </c>
      <c r="C198" s="3321">
        <v>8720</v>
      </c>
      <c r="D198" s="3321">
        <v>8680</v>
      </c>
      <c r="E198" s="3321">
        <v>11470</v>
      </c>
      <c r="F198" s="3321"/>
      <c r="G198" s="3325">
        <v>5480</v>
      </c>
    </row>
    <row r="199" spans="1:7" s="2305" customFormat="1" ht="14.25" customHeight="1">
      <c r="A199" s="2440" t="s">
        <v>302</v>
      </c>
      <c r="B199" s="2440" t="s">
        <v>2990</v>
      </c>
      <c r="C199" s="3321">
        <v>8690</v>
      </c>
      <c r="D199" s="3321">
        <v>8630</v>
      </c>
      <c r="E199" s="3321">
        <v>11350</v>
      </c>
      <c r="F199" s="3321">
        <v>1600</v>
      </c>
      <c r="G199" s="3325">
        <v>5450</v>
      </c>
    </row>
    <row r="200" spans="1:7" s="2305" customFormat="1" ht="14.25" customHeight="1">
      <c r="A200" s="2440" t="s">
        <v>302</v>
      </c>
      <c r="B200" s="2440" t="s">
        <v>2801</v>
      </c>
      <c r="C200" s="3321"/>
      <c r="D200" s="3321"/>
      <c r="E200" s="3321"/>
      <c r="F200" s="3321">
        <v>1510</v>
      </c>
      <c r="G200" s="3325"/>
    </row>
    <row r="201" spans="1:7" s="2305" customFormat="1" ht="14.25" customHeight="1">
      <c r="A201" s="2440" t="s">
        <v>302</v>
      </c>
      <c r="B201" s="2440" t="s">
        <v>2991</v>
      </c>
      <c r="C201" s="3321">
        <v>8440</v>
      </c>
      <c r="D201" s="3321">
        <v>8390</v>
      </c>
      <c r="E201" s="3321">
        <v>10930</v>
      </c>
      <c r="F201" s="3321">
        <v>1500</v>
      </c>
      <c r="G201" s="3325">
        <v>5300</v>
      </c>
    </row>
    <row r="202" spans="1:7" s="2305" customFormat="1" ht="14.25" customHeight="1">
      <c r="A202" s="2440" t="s">
        <v>302</v>
      </c>
      <c r="B202" s="2440" t="s">
        <v>238</v>
      </c>
      <c r="C202" s="3321">
        <v>8530</v>
      </c>
      <c r="D202" s="3321">
        <v>8490</v>
      </c>
      <c r="E202" s="3321">
        <v>11160</v>
      </c>
      <c r="F202" s="3321">
        <v>1580</v>
      </c>
      <c r="G202" s="3325">
        <v>5360</v>
      </c>
    </row>
    <row r="203" spans="1:7" s="2305" customFormat="1" ht="14.25" customHeight="1">
      <c r="A203" s="2440" t="s">
        <v>302</v>
      </c>
      <c r="B203" s="2440" t="s">
        <v>2992</v>
      </c>
      <c r="C203" s="3321">
        <v>8130</v>
      </c>
      <c r="D203" s="3321">
        <v>8070</v>
      </c>
      <c r="E203" s="3321">
        <v>10820</v>
      </c>
      <c r="F203" s="3321">
        <v>1690</v>
      </c>
      <c r="G203" s="3325">
        <v>5100</v>
      </c>
    </row>
    <row r="204" spans="1:7" s="2305" customFormat="1" ht="14.25" customHeight="1">
      <c r="A204" s="2440" t="s">
        <v>302</v>
      </c>
      <c r="B204" s="2440" t="s">
        <v>2812</v>
      </c>
      <c r="C204" s="3321">
        <v>8350</v>
      </c>
      <c r="D204" s="3321">
        <v>8290</v>
      </c>
      <c r="E204" s="3321">
        <v>11080</v>
      </c>
      <c r="F204" s="3321">
        <v>1450</v>
      </c>
      <c r="G204" s="3325">
        <v>5240</v>
      </c>
    </row>
    <row r="205" spans="1:7" s="2305" customFormat="1" ht="14.25" customHeight="1">
      <c r="A205" s="2440" t="s">
        <v>302</v>
      </c>
      <c r="B205" s="2440" t="s">
        <v>2814</v>
      </c>
      <c r="C205" s="3321">
        <v>7190</v>
      </c>
      <c r="D205" s="3321">
        <v>7130</v>
      </c>
      <c r="E205" s="3321">
        <v>9490</v>
      </c>
      <c r="F205" s="3321">
        <v>1470</v>
      </c>
      <c r="G205" s="3325">
        <v>4510</v>
      </c>
    </row>
    <row r="206" spans="1:7" s="2305" customFormat="1" ht="14.25" customHeight="1">
      <c r="A206" s="2440" t="s">
        <v>302</v>
      </c>
      <c r="B206" s="2440" t="s">
        <v>2817</v>
      </c>
      <c r="C206" s="3321">
        <v>7000</v>
      </c>
      <c r="D206" s="3321">
        <v>6950</v>
      </c>
      <c r="E206" s="3321">
        <v>9170</v>
      </c>
      <c r="F206" s="3321">
        <v>1400</v>
      </c>
      <c r="G206" s="3325">
        <v>4380</v>
      </c>
    </row>
    <row r="207" spans="1:7" s="2305" customFormat="1" ht="14.25" customHeight="1">
      <c r="A207" s="2440" t="s">
        <v>302</v>
      </c>
      <c r="B207" s="2440" t="s">
        <v>2819</v>
      </c>
      <c r="C207" s="3321">
        <v>6950</v>
      </c>
      <c r="D207" s="3321">
        <v>6900</v>
      </c>
      <c r="E207" s="3321">
        <v>9110</v>
      </c>
      <c r="F207" s="3321">
        <v>1790</v>
      </c>
      <c r="G207" s="3325">
        <v>4360</v>
      </c>
    </row>
    <row r="208" spans="1:7" s="2305" customFormat="1" ht="14.25" customHeight="1">
      <c r="A208" s="2440" t="s">
        <v>302</v>
      </c>
      <c r="B208" s="2440" t="s">
        <v>2993</v>
      </c>
      <c r="C208" s="3321">
        <v>9470</v>
      </c>
      <c r="D208" s="3321">
        <v>9410</v>
      </c>
      <c r="E208" s="3321">
        <v>12330</v>
      </c>
      <c r="F208" s="3321">
        <v>1770</v>
      </c>
      <c r="G208" s="3325">
        <v>5940</v>
      </c>
    </row>
    <row r="209" spans="1:7" s="2305" customFormat="1" ht="14.25" customHeight="1">
      <c r="A209" s="2440" t="s">
        <v>302</v>
      </c>
      <c r="B209" s="2440" t="s">
        <v>262</v>
      </c>
      <c r="C209" s="3321">
        <v>8740</v>
      </c>
      <c r="D209" s="3321">
        <v>8700</v>
      </c>
      <c r="E209" s="3321">
        <v>11500</v>
      </c>
      <c r="F209" s="3321">
        <v>1730</v>
      </c>
      <c r="G209" s="3325">
        <v>5490</v>
      </c>
    </row>
    <row r="210" spans="1:7" s="2305" customFormat="1" ht="14.25" customHeight="1">
      <c r="A210" s="2440" t="s">
        <v>302</v>
      </c>
      <c r="B210" s="2440" t="s">
        <v>2829</v>
      </c>
      <c r="C210" s="3321">
        <v>8710</v>
      </c>
      <c r="D210" s="3321">
        <v>8660</v>
      </c>
      <c r="E210" s="3321">
        <v>11440</v>
      </c>
      <c r="F210" s="3321">
        <v>1740</v>
      </c>
      <c r="G210" s="3325">
        <v>5470</v>
      </c>
    </row>
    <row r="211" spans="1:7" s="2305" customFormat="1" ht="14.25" customHeight="1">
      <c r="A211" s="2440" t="s">
        <v>302</v>
      </c>
      <c r="B211" s="2440" t="s">
        <v>2994</v>
      </c>
      <c r="C211" s="3321">
        <v>9480</v>
      </c>
      <c r="D211" s="3321">
        <v>9430</v>
      </c>
      <c r="E211" s="3321">
        <v>12360</v>
      </c>
      <c r="F211" s="3321">
        <v>1820</v>
      </c>
      <c r="G211" s="3325">
        <v>5950</v>
      </c>
    </row>
    <row r="212" spans="1:7" s="2305" customFormat="1" ht="14.25" customHeight="1">
      <c r="A212" s="2440" t="s">
        <v>302</v>
      </c>
      <c r="B212" s="2440" t="s">
        <v>283</v>
      </c>
      <c r="C212" s="3321">
        <v>9070</v>
      </c>
      <c r="D212" s="3321">
        <v>9020</v>
      </c>
      <c r="E212" s="3321">
        <v>11720</v>
      </c>
      <c r="F212" s="3321">
        <v>1850</v>
      </c>
      <c r="G212" s="3325">
        <v>5700</v>
      </c>
    </row>
    <row r="213" spans="1:7" s="2305" customFormat="1" ht="14.25" customHeight="1">
      <c r="A213" s="2440" t="s">
        <v>302</v>
      </c>
      <c r="B213" s="2440" t="s">
        <v>286</v>
      </c>
      <c r="C213" s="3321">
        <v>9030</v>
      </c>
      <c r="D213" s="3321">
        <v>8980</v>
      </c>
      <c r="E213" s="3321">
        <v>11670</v>
      </c>
      <c r="F213" s="3321">
        <v>1690</v>
      </c>
      <c r="G213" s="3325">
        <v>5670</v>
      </c>
    </row>
    <row r="214" spans="1:7" s="2305" customFormat="1" ht="14.25" customHeight="1">
      <c r="A214" s="2440" t="s">
        <v>302</v>
      </c>
      <c r="B214" s="2440" t="s">
        <v>2995</v>
      </c>
      <c r="C214" s="3321">
        <v>8090</v>
      </c>
      <c r="D214" s="3321">
        <v>8030</v>
      </c>
      <c r="E214" s="3321">
        <v>10780</v>
      </c>
      <c r="F214" s="3321">
        <v>1570</v>
      </c>
      <c r="G214" s="3325">
        <v>5070</v>
      </c>
    </row>
    <row r="215" spans="1:7" s="2305" customFormat="1" ht="14.25" customHeight="1">
      <c r="A215" s="2440" t="s">
        <v>302</v>
      </c>
      <c r="B215" s="2440" t="s">
        <v>2996</v>
      </c>
      <c r="C215" s="3321">
        <v>7950</v>
      </c>
      <c r="D215" s="3321">
        <v>7900</v>
      </c>
      <c r="E215" s="3321">
        <v>10560</v>
      </c>
      <c r="F215" s="3321">
        <v>1630</v>
      </c>
      <c r="G215" s="3325">
        <v>4990</v>
      </c>
    </row>
    <row r="216" spans="1:7" s="2305" customFormat="1" ht="14.25" customHeight="1">
      <c r="A216" s="2440" t="s">
        <v>302</v>
      </c>
      <c r="B216" s="2440" t="s">
        <v>2997</v>
      </c>
      <c r="C216" s="3321">
        <v>8490</v>
      </c>
      <c r="D216" s="3321">
        <v>8440</v>
      </c>
      <c r="E216" s="3321">
        <v>11260</v>
      </c>
      <c r="F216" s="3321">
        <v>1690</v>
      </c>
      <c r="G216" s="3325">
        <v>5330</v>
      </c>
    </row>
    <row r="217" spans="1:7" s="2305" customFormat="1" ht="14.25" customHeight="1">
      <c r="A217" s="2440" t="s">
        <v>302</v>
      </c>
      <c r="B217" s="2440" t="s">
        <v>2862</v>
      </c>
      <c r="C217" s="3321">
        <v>8200</v>
      </c>
      <c r="D217" s="3321">
        <v>8150</v>
      </c>
      <c r="E217" s="3321">
        <v>10910</v>
      </c>
      <c r="F217" s="3321">
        <v>1670</v>
      </c>
      <c r="G217" s="3325">
        <v>5150</v>
      </c>
    </row>
    <row r="218" spans="1:7" s="2305" customFormat="1" ht="14.25" customHeight="1">
      <c r="A218" s="2440" t="s">
        <v>302</v>
      </c>
      <c r="B218" s="2440" t="s">
        <v>2998</v>
      </c>
      <c r="C218" s="3321"/>
      <c r="D218" s="3321"/>
      <c r="E218" s="3321"/>
      <c r="F218" s="3321">
        <v>2040</v>
      </c>
      <c r="G218" s="3325"/>
    </row>
    <row r="219" spans="1:7" s="2305" customFormat="1" ht="14.25" customHeight="1">
      <c r="A219" s="2440" t="s">
        <v>302</v>
      </c>
      <c r="B219" s="2440" t="s">
        <v>2999</v>
      </c>
      <c r="C219" s="3321"/>
      <c r="D219" s="3321"/>
      <c r="E219" s="3321"/>
      <c r="F219" s="3321">
        <v>2040</v>
      </c>
      <c r="G219" s="3325"/>
    </row>
    <row r="220" spans="1:7" s="2305" customFormat="1" ht="14.25" customHeight="1">
      <c r="A220" s="2440" t="s">
        <v>302</v>
      </c>
      <c r="B220" s="2440" t="s">
        <v>3000</v>
      </c>
      <c r="C220" s="3321"/>
      <c r="D220" s="3321"/>
      <c r="E220" s="3321"/>
      <c r="F220" s="3321">
        <v>2040</v>
      </c>
      <c r="G220" s="3325"/>
    </row>
    <row r="221" spans="1:7" s="2305" customFormat="1" ht="14.25" customHeight="1">
      <c r="A221" s="2440" t="s">
        <v>302</v>
      </c>
      <c r="B221" s="2440" t="s">
        <v>3001</v>
      </c>
      <c r="C221" s="3321"/>
      <c r="D221" s="3321"/>
      <c r="E221" s="3321"/>
      <c r="F221" s="3321">
        <v>2040</v>
      </c>
      <c r="G221" s="3325"/>
    </row>
    <row r="222" spans="1:7" s="2305" customFormat="1" ht="14.25" customHeight="1">
      <c r="A222" s="2440" t="s">
        <v>302</v>
      </c>
      <c r="B222" s="2440" t="s">
        <v>3002</v>
      </c>
      <c r="C222" s="3321"/>
      <c r="D222" s="3321"/>
      <c r="E222" s="3321"/>
      <c r="F222" s="3321">
        <v>2040</v>
      </c>
      <c r="G222" s="3325"/>
    </row>
    <row r="223" spans="1:7" s="2305" customFormat="1" ht="14.25" customHeight="1">
      <c r="A223" s="2440" t="s">
        <v>302</v>
      </c>
      <c r="B223" s="2440" t="s">
        <v>3003</v>
      </c>
      <c r="C223" s="3321"/>
      <c r="D223" s="3321"/>
      <c r="E223" s="3321"/>
      <c r="F223" s="3321">
        <v>1930</v>
      </c>
      <c r="G223" s="3325"/>
    </row>
    <row r="224" spans="1:7" s="2305" customFormat="1" ht="14.25" customHeight="1">
      <c r="A224" s="2440" t="s">
        <v>302</v>
      </c>
      <c r="B224" s="2440" t="s">
        <v>3004</v>
      </c>
      <c r="C224" s="3321"/>
      <c r="D224" s="3321"/>
      <c r="E224" s="3321"/>
      <c r="F224" s="3321">
        <v>1930</v>
      </c>
      <c r="G224" s="3325"/>
    </row>
    <row r="225" spans="1:7" s="2305" customFormat="1" ht="14.25" customHeight="1">
      <c r="A225" s="2440" t="s">
        <v>302</v>
      </c>
      <c r="B225" s="2440" t="s">
        <v>3005</v>
      </c>
      <c r="C225" s="3321"/>
      <c r="D225" s="3321"/>
      <c r="E225" s="3321"/>
      <c r="F225" s="3321">
        <v>1930</v>
      </c>
      <c r="G225" s="3325"/>
    </row>
    <row r="226" spans="1:7" s="2305" customFormat="1" ht="14.25" customHeight="1">
      <c r="A226" s="2440" t="s">
        <v>302</v>
      </c>
      <c r="B226" s="2440" t="s">
        <v>3006</v>
      </c>
      <c r="C226" s="3321"/>
      <c r="D226" s="3321"/>
      <c r="E226" s="3321"/>
      <c r="F226" s="3321">
        <v>1700</v>
      </c>
      <c r="G226" s="3325"/>
    </row>
    <row r="227" spans="1:7" s="2305" customFormat="1" ht="14.25" customHeight="1">
      <c r="A227" s="2440" t="s">
        <v>302</v>
      </c>
      <c r="B227" s="2440" t="s">
        <v>3007</v>
      </c>
      <c r="C227" s="3321"/>
      <c r="D227" s="3321"/>
      <c r="E227" s="3321"/>
      <c r="F227" s="3321">
        <v>1520</v>
      </c>
      <c r="G227" s="3325"/>
    </row>
    <row r="228" spans="1:7" s="2305" customFormat="1" ht="14.25" customHeight="1">
      <c r="A228" s="2440" t="s">
        <v>302</v>
      </c>
      <c r="B228" s="2440" t="s">
        <v>3008</v>
      </c>
      <c r="C228" s="3321"/>
      <c r="D228" s="3321"/>
      <c r="E228" s="3321"/>
      <c r="F228" s="3321">
        <v>1520</v>
      </c>
      <c r="G228" s="3325"/>
    </row>
    <row r="229" spans="1:7" s="2305" customFormat="1" ht="14.25" customHeight="1">
      <c r="A229" s="2440" t="s">
        <v>302</v>
      </c>
      <c r="B229" s="2440" t="s">
        <v>2925</v>
      </c>
      <c r="C229" s="3321"/>
      <c r="D229" s="3321"/>
      <c r="E229" s="3321"/>
      <c r="F229" s="3321">
        <v>1520</v>
      </c>
      <c r="G229" s="3325"/>
    </row>
    <row r="230" spans="1:7" s="2305" customFormat="1" ht="14.25" customHeight="1">
      <c r="A230" s="2440" t="s">
        <v>302</v>
      </c>
      <c r="B230" s="2440" t="s">
        <v>3009</v>
      </c>
      <c r="C230" s="3321"/>
      <c r="D230" s="3321"/>
      <c r="E230" s="3321"/>
      <c r="F230" s="3321">
        <v>1820</v>
      </c>
      <c r="G230" s="3325"/>
    </row>
    <row r="231" spans="1:7" s="2305" customFormat="1" ht="14.25" customHeight="1">
      <c r="A231" s="2440" t="s">
        <v>302</v>
      </c>
      <c r="B231" s="2440" t="s">
        <v>3010</v>
      </c>
      <c r="C231" s="3321"/>
      <c r="D231" s="3321"/>
      <c r="E231" s="3321"/>
      <c r="F231" s="3321">
        <v>1760</v>
      </c>
      <c r="G231" s="3325"/>
    </row>
    <row r="232" spans="1:7" s="2305" customFormat="1" ht="14.25" customHeight="1">
      <c r="A232" s="2440" t="s">
        <v>302</v>
      </c>
      <c r="B232" s="2440" t="s">
        <v>3011</v>
      </c>
      <c r="C232" s="3321"/>
      <c r="D232" s="3321"/>
      <c r="E232" s="3321"/>
      <c r="F232" s="3321">
        <v>1840</v>
      </c>
      <c r="G232" s="3325"/>
    </row>
    <row r="233" spans="1:7" s="2305" customFormat="1" ht="14.25" customHeight="1" thickBot="1">
      <c r="A233" s="2452" t="s">
        <v>302</v>
      </c>
      <c r="B233" s="2447" t="s">
        <v>2942</v>
      </c>
      <c r="C233" s="3322"/>
      <c r="D233" s="3322"/>
      <c r="E233" s="3322"/>
      <c r="F233" s="3322">
        <v>1770</v>
      </c>
      <c r="G233" s="3326"/>
    </row>
    <row r="234" spans="1:7" s="2305" customFormat="1" ht="14.25" customHeight="1">
      <c r="A234" s="2445" t="s">
        <v>303</v>
      </c>
      <c r="B234" s="2436" t="s">
        <v>3012</v>
      </c>
      <c r="C234" s="3321">
        <v>6980</v>
      </c>
      <c r="D234" s="3321">
        <v>6970</v>
      </c>
      <c r="E234" s="3321">
        <v>8720</v>
      </c>
      <c r="F234" s="3321">
        <v>1350</v>
      </c>
      <c r="G234" s="3321">
        <v>4280</v>
      </c>
    </row>
    <row r="235" spans="1:7" s="2305" customFormat="1" ht="14.25" customHeight="1">
      <c r="A235" s="2440" t="s">
        <v>303</v>
      </c>
      <c r="B235" s="2440" t="s">
        <v>132</v>
      </c>
      <c r="C235" s="3321">
        <v>7620</v>
      </c>
      <c r="D235" s="3321">
        <v>7580</v>
      </c>
      <c r="E235" s="3321">
        <v>9360</v>
      </c>
      <c r="F235" s="3321">
        <v>1490</v>
      </c>
      <c r="G235" s="3321">
        <v>4650</v>
      </c>
    </row>
    <row r="236" spans="1:7" s="2305" customFormat="1" ht="14.25" customHeight="1">
      <c r="A236" s="2440" t="s">
        <v>303</v>
      </c>
      <c r="B236" s="2440" t="s">
        <v>141</v>
      </c>
      <c r="C236" s="3321">
        <v>6650</v>
      </c>
      <c r="D236" s="3321">
        <v>6630</v>
      </c>
      <c r="E236" s="3321">
        <v>8330</v>
      </c>
      <c r="F236" s="3321">
        <v>1250</v>
      </c>
      <c r="G236" s="3321">
        <v>4070</v>
      </c>
    </row>
    <row r="237" spans="1:7" s="2305" customFormat="1" ht="14.25" customHeight="1">
      <c r="A237" s="2440" t="s">
        <v>303</v>
      </c>
      <c r="B237" s="2440" t="s">
        <v>150</v>
      </c>
      <c r="C237" s="3321">
        <v>5850</v>
      </c>
      <c r="D237" s="3321">
        <v>5820</v>
      </c>
      <c r="E237" s="3321">
        <v>7260</v>
      </c>
      <c r="F237" s="3321">
        <v>1140</v>
      </c>
      <c r="G237" s="3321">
        <v>3570</v>
      </c>
    </row>
    <row r="238" spans="1:7" s="2305" customFormat="1" ht="14.25" customHeight="1">
      <c r="A238" s="2440" t="s">
        <v>303</v>
      </c>
      <c r="B238" s="2440" t="s">
        <v>2783</v>
      </c>
      <c r="C238" s="3321">
        <v>6920</v>
      </c>
      <c r="D238" s="3321">
        <v>6890</v>
      </c>
      <c r="E238" s="3321">
        <v>8640</v>
      </c>
      <c r="F238" s="3321">
        <v>1310</v>
      </c>
      <c r="G238" s="3321">
        <v>4230</v>
      </c>
    </row>
    <row r="239" spans="1:7" s="2305" customFormat="1" ht="14.25" customHeight="1">
      <c r="A239" s="2440" t="s">
        <v>303</v>
      </c>
      <c r="B239" s="2440" t="s">
        <v>3013</v>
      </c>
      <c r="C239" s="3321">
        <v>6780</v>
      </c>
      <c r="D239" s="3321">
        <v>6750</v>
      </c>
      <c r="E239" s="3321">
        <v>8440</v>
      </c>
      <c r="F239" s="3321">
        <v>1160</v>
      </c>
      <c r="G239" s="3321">
        <v>4140</v>
      </c>
    </row>
    <row r="240" spans="1:7" s="2305" customFormat="1" ht="14.25" customHeight="1">
      <c r="A240" s="2440" t="s">
        <v>303</v>
      </c>
      <c r="B240" s="2440" t="s">
        <v>3014</v>
      </c>
      <c r="C240" s="3321">
        <v>5420</v>
      </c>
      <c r="D240" s="3321">
        <v>5380</v>
      </c>
      <c r="E240" s="3321">
        <v>6640</v>
      </c>
      <c r="F240" s="3321">
        <v>1020</v>
      </c>
      <c r="G240" s="3321">
        <v>3300</v>
      </c>
    </row>
    <row r="241" spans="1:7" s="2305" customFormat="1" ht="14.25" customHeight="1">
      <c r="A241" s="2440" t="s">
        <v>303</v>
      </c>
      <c r="B241" s="2440" t="s">
        <v>3015</v>
      </c>
      <c r="C241" s="3321">
        <v>6660</v>
      </c>
      <c r="D241" s="3321">
        <v>6640</v>
      </c>
      <c r="E241" s="3321">
        <v>8340</v>
      </c>
      <c r="F241" s="3321">
        <v>1130</v>
      </c>
      <c r="G241" s="3321">
        <v>4080</v>
      </c>
    </row>
    <row r="242" spans="1:7" s="2305" customFormat="1" ht="14.25" customHeight="1">
      <c r="A242" s="2440" t="s">
        <v>303</v>
      </c>
      <c r="B242" s="2440" t="s">
        <v>179</v>
      </c>
      <c r="C242" s="3321">
        <v>6580</v>
      </c>
      <c r="D242" s="3321">
        <v>6550</v>
      </c>
      <c r="E242" s="3321">
        <v>8090</v>
      </c>
      <c r="F242" s="3321">
        <v>1240</v>
      </c>
      <c r="G242" s="3321">
        <v>4020</v>
      </c>
    </row>
    <row r="243" spans="1:7" s="2305" customFormat="1" ht="14.25" customHeight="1">
      <c r="A243" s="2440" t="s">
        <v>303</v>
      </c>
      <c r="B243" s="2440" t="s">
        <v>189</v>
      </c>
      <c r="C243" s="3321">
        <v>6000</v>
      </c>
      <c r="D243" s="3321">
        <v>5970</v>
      </c>
      <c r="E243" s="3321">
        <v>7370</v>
      </c>
      <c r="F243" s="3321">
        <v>1070</v>
      </c>
      <c r="G243" s="3321">
        <v>3670</v>
      </c>
    </row>
    <row r="244" spans="1:7" s="2305" customFormat="1" ht="14.25" customHeight="1">
      <c r="A244" s="2440" t="s">
        <v>303</v>
      </c>
      <c r="B244" s="2440" t="s">
        <v>3016</v>
      </c>
      <c r="C244" s="3321">
        <v>5840</v>
      </c>
      <c r="D244" s="3321">
        <v>5810</v>
      </c>
      <c r="E244" s="3321">
        <v>7240</v>
      </c>
      <c r="F244" s="3321">
        <v>1100</v>
      </c>
      <c r="G244" s="3321">
        <v>3560</v>
      </c>
    </row>
    <row r="245" spans="1:7" s="2305" customFormat="1" ht="14.25" customHeight="1">
      <c r="A245" s="2440" t="s">
        <v>303</v>
      </c>
      <c r="B245" s="2440" t="s">
        <v>204</v>
      </c>
      <c r="C245" s="3321">
        <v>6040</v>
      </c>
      <c r="D245" s="3321">
        <v>6000</v>
      </c>
      <c r="E245" s="3321">
        <v>7420</v>
      </c>
      <c r="F245" s="3321">
        <v>1140</v>
      </c>
      <c r="G245" s="3321">
        <v>3690</v>
      </c>
    </row>
    <row r="246" spans="1:7" s="2305" customFormat="1" ht="14.25" customHeight="1">
      <c r="A246" s="2440" t="s">
        <v>303</v>
      </c>
      <c r="B246" s="2440" t="s">
        <v>211</v>
      </c>
      <c r="C246" s="3321">
        <v>5890</v>
      </c>
      <c r="D246" s="3321">
        <v>5860</v>
      </c>
      <c r="E246" s="3321">
        <v>7300</v>
      </c>
      <c r="F246" s="3321">
        <v>1110</v>
      </c>
      <c r="G246" s="3321">
        <v>3590</v>
      </c>
    </row>
    <row r="247" spans="1:7" s="2305" customFormat="1" ht="14.25" customHeight="1">
      <c r="A247" s="2440" t="s">
        <v>303</v>
      </c>
      <c r="B247" s="2440" t="s">
        <v>3017</v>
      </c>
      <c r="C247" s="3321">
        <v>6480</v>
      </c>
      <c r="D247" s="3321">
        <v>6450</v>
      </c>
      <c r="E247" s="3321">
        <v>8010</v>
      </c>
      <c r="F247" s="3321">
        <v>1170</v>
      </c>
      <c r="G247" s="3321">
        <v>3960</v>
      </c>
    </row>
    <row r="248" spans="1:7" s="2305" customFormat="1" ht="14.25" customHeight="1">
      <c r="A248" s="2440" t="s">
        <v>303</v>
      </c>
      <c r="B248" s="2440" t="s">
        <v>225</v>
      </c>
      <c r="C248" s="3321">
        <v>6860</v>
      </c>
      <c r="D248" s="3321">
        <v>6840</v>
      </c>
      <c r="E248" s="3321">
        <v>8520</v>
      </c>
      <c r="F248" s="3321">
        <v>1240</v>
      </c>
      <c r="G248" s="3321">
        <v>4200</v>
      </c>
    </row>
    <row r="249" spans="1:7" s="2305" customFormat="1" ht="14.25" customHeight="1">
      <c r="A249" s="2440" t="s">
        <v>303</v>
      </c>
      <c r="B249" s="2440" t="s">
        <v>3018</v>
      </c>
      <c r="C249" s="3321">
        <v>7180</v>
      </c>
      <c r="D249" s="3321">
        <v>7140</v>
      </c>
      <c r="E249" s="3321">
        <v>8900</v>
      </c>
      <c r="F249" s="3321">
        <v>1350</v>
      </c>
      <c r="G249" s="3321">
        <v>4380</v>
      </c>
    </row>
    <row r="250" spans="1:7" s="2305" customFormat="1" ht="14.25" customHeight="1">
      <c r="A250" s="2440" t="s">
        <v>303</v>
      </c>
      <c r="B250" s="2440" t="s">
        <v>239</v>
      </c>
      <c r="C250" s="3321">
        <v>6880</v>
      </c>
      <c r="D250" s="3321">
        <v>6860</v>
      </c>
      <c r="E250" s="3321">
        <v>8550</v>
      </c>
      <c r="F250" s="3321">
        <v>1220</v>
      </c>
      <c r="G250" s="3321">
        <v>4210</v>
      </c>
    </row>
    <row r="251" spans="1:7" s="2305" customFormat="1" ht="14.25" customHeight="1">
      <c r="A251" s="2440" t="s">
        <v>303</v>
      </c>
      <c r="B251" s="2440" t="s">
        <v>247</v>
      </c>
      <c r="C251" s="3321"/>
      <c r="D251" s="3321"/>
      <c r="E251" s="3321"/>
      <c r="F251" s="3321">
        <v>1100</v>
      </c>
      <c r="G251" s="3321"/>
    </row>
    <row r="252" spans="1:7" s="2305" customFormat="1" ht="14.25" customHeight="1">
      <c r="A252" s="2440" t="s">
        <v>303</v>
      </c>
      <c r="B252" s="2440" t="s">
        <v>3019</v>
      </c>
      <c r="C252" s="3321">
        <v>7240</v>
      </c>
      <c r="D252" s="3321">
        <v>7200</v>
      </c>
      <c r="E252" s="3321">
        <v>9040</v>
      </c>
      <c r="F252" s="3321">
        <v>1380</v>
      </c>
      <c r="G252" s="3321">
        <v>4420</v>
      </c>
    </row>
    <row r="253" spans="1:7" s="2305" customFormat="1" ht="14.25" customHeight="1">
      <c r="A253" s="2440" t="s">
        <v>303</v>
      </c>
      <c r="B253" s="2440" t="s">
        <v>281</v>
      </c>
      <c r="C253" s="3321">
        <v>6670</v>
      </c>
      <c r="D253" s="3321">
        <v>6650</v>
      </c>
      <c r="E253" s="3321">
        <v>8350</v>
      </c>
      <c r="F253" s="3321">
        <v>1260</v>
      </c>
      <c r="G253" s="3321">
        <v>4080</v>
      </c>
    </row>
    <row r="254" spans="1:7" s="2305" customFormat="1" ht="14.25" customHeight="1">
      <c r="A254" s="2440" t="s">
        <v>303</v>
      </c>
      <c r="B254" s="2440" t="s">
        <v>284</v>
      </c>
      <c r="C254" s="3321">
        <v>7630</v>
      </c>
      <c r="D254" s="3321">
        <v>7590</v>
      </c>
      <c r="E254" s="3321">
        <v>9380</v>
      </c>
      <c r="F254" s="3321">
        <v>1320</v>
      </c>
      <c r="G254" s="3321">
        <v>4660</v>
      </c>
    </row>
    <row r="255" spans="1:7" s="2305" customFormat="1" ht="14.25" customHeight="1">
      <c r="A255" s="2440" t="s">
        <v>303</v>
      </c>
      <c r="B255" s="2440" t="s">
        <v>287</v>
      </c>
      <c r="C255" s="3321">
        <v>6940</v>
      </c>
      <c r="D255" s="3321">
        <v>6890</v>
      </c>
      <c r="E255" s="3321">
        <v>8650</v>
      </c>
      <c r="F255" s="3321">
        <v>1210</v>
      </c>
      <c r="G255" s="3321">
        <v>4230</v>
      </c>
    </row>
    <row r="256" spans="1:7" s="2305" customFormat="1" ht="14.25" customHeight="1">
      <c r="A256" s="2440" t="s">
        <v>303</v>
      </c>
      <c r="B256" s="2440" t="s">
        <v>3020</v>
      </c>
      <c r="C256" s="3321">
        <v>7520</v>
      </c>
      <c r="D256" s="3321">
        <v>7490</v>
      </c>
      <c r="E256" s="3321">
        <v>9240</v>
      </c>
      <c r="F256" s="3321">
        <v>1270</v>
      </c>
      <c r="G256" s="3321">
        <v>4590</v>
      </c>
    </row>
    <row r="257" spans="1:7" s="2305" customFormat="1" ht="14.25" customHeight="1">
      <c r="A257" s="2440" t="s">
        <v>303</v>
      </c>
      <c r="B257" s="2440" t="s">
        <v>273</v>
      </c>
      <c r="C257" s="3321">
        <v>6280</v>
      </c>
      <c r="D257" s="3321">
        <v>6230</v>
      </c>
      <c r="E257" s="3321">
        <v>7740</v>
      </c>
      <c r="F257" s="3321">
        <v>1080</v>
      </c>
      <c r="G257" s="3321">
        <v>3830</v>
      </c>
    </row>
    <row r="258" spans="1:7" s="2305" customFormat="1" ht="14.25" customHeight="1">
      <c r="A258" s="2440" t="s">
        <v>303</v>
      </c>
      <c r="B258" s="2440" t="s">
        <v>2845</v>
      </c>
      <c r="C258" s="3321">
        <v>6190</v>
      </c>
      <c r="D258" s="3321">
        <v>6160</v>
      </c>
      <c r="E258" s="3321">
        <v>7680</v>
      </c>
      <c r="F258" s="3321">
        <v>1170</v>
      </c>
      <c r="G258" s="3321">
        <v>3780</v>
      </c>
    </row>
    <row r="259" spans="1:7" s="2305" customFormat="1" ht="14.25" customHeight="1">
      <c r="A259" s="2440" t="s">
        <v>303</v>
      </c>
      <c r="B259" s="2440" t="s">
        <v>3021</v>
      </c>
      <c r="C259" s="3321">
        <v>7610</v>
      </c>
      <c r="D259" s="3321">
        <v>7570</v>
      </c>
      <c r="E259" s="3321">
        <v>9350</v>
      </c>
      <c r="F259" s="3321">
        <v>1350</v>
      </c>
      <c r="G259" s="3321">
        <v>4650</v>
      </c>
    </row>
    <row r="260" spans="1:7" s="2305" customFormat="1" ht="14.25" customHeight="1">
      <c r="A260" s="2440" t="s">
        <v>303</v>
      </c>
      <c r="B260" s="2440" t="s">
        <v>3022</v>
      </c>
      <c r="C260" s="3321">
        <v>6920</v>
      </c>
      <c r="D260" s="3321">
        <v>6880</v>
      </c>
      <c r="E260" s="3321">
        <v>8380</v>
      </c>
      <c r="F260" s="3321">
        <v>1160</v>
      </c>
      <c r="G260" s="3321">
        <v>4220</v>
      </c>
    </row>
    <row r="261" spans="1:7" s="2305" customFormat="1" ht="14.25" customHeight="1">
      <c r="A261" s="2440" t="s">
        <v>303</v>
      </c>
      <c r="B261" s="2440" t="s">
        <v>3023</v>
      </c>
      <c r="C261" s="3321">
        <v>6850</v>
      </c>
      <c r="D261" s="3321">
        <v>6810</v>
      </c>
      <c r="E261" s="3321">
        <v>8290</v>
      </c>
      <c r="F261" s="3321">
        <v>1130</v>
      </c>
      <c r="G261" s="3321">
        <v>4180</v>
      </c>
    </row>
    <row r="262" spans="1:7" s="2305" customFormat="1" ht="14.25" customHeight="1">
      <c r="A262" s="2440" t="s">
        <v>303</v>
      </c>
      <c r="B262" s="2440" t="s">
        <v>3024</v>
      </c>
      <c r="C262" s="3321">
        <v>5860</v>
      </c>
      <c r="D262" s="3321">
        <v>5820</v>
      </c>
      <c r="E262" s="3321">
        <v>7640</v>
      </c>
      <c r="F262" s="3321">
        <v>1070</v>
      </c>
      <c r="G262" s="3321">
        <v>3570</v>
      </c>
    </row>
    <row r="263" spans="1:7" s="2305" customFormat="1" ht="14.25" customHeight="1">
      <c r="A263" s="2440" t="s">
        <v>303</v>
      </c>
      <c r="B263" s="2440" t="s">
        <v>3025</v>
      </c>
      <c r="C263" s="3321">
        <v>5870</v>
      </c>
      <c r="D263" s="3321">
        <v>5840</v>
      </c>
      <c r="E263" s="3321">
        <v>7270</v>
      </c>
      <c r="F263" s="3321">
        <v>1190</v>
      </c>
      <c r="G263" s="3321">
        <v>3580</v>
      </c>
    </row>
    <row r="264" spans="1:7" s="2305" customFormat="1" ht="14.25" customHeight="1">
      <c r="A264" s="2440" t="s">
        <v>303</v>
      </c>
      <c r="B264" s="2440" t="s">
        <v>297</v>
      </c>
      <c r="C264" s="3321">
        <v>6190</v>
      </c>
      <c r="D264" s="3321">
        <v>6150</v>
      </c>
      <c r="E264" s="3321">
        <v>7660</v>
      </c>
      <c r="F264" s="3321">
        <v>1160</v>
      </c>
      <c r="G264" s="3321">
        <v>3770</v>
      </c>
    </row>
    <row r="265" spans="1:7" s="2305" customFormat="1" ht="14.25" customHeight="1">
      <c r="A265" s="2440" t="s">
        <v>303</v>
      </c>
      <c r="B265" s="2440" t="s">
        <v>3026</v>
      </c>
      <c r="C265" s="3321"/>
      <c r="D265" s="3321"/>
      <c r="E265" s="3321"/>
      <c r="F265" s="3321">
        <v>1500</v>
      </c>
      <c r="G265" s="3321"/>
    </row>
    <row r="266" spans="1:7" s="2305" customFormat="1" ht="14.25" customHeight="1">
      <c r="A266" s="2440" t="s">
        <v>303</v>
      </c>
      <c r="B266" s="2440" t="s">
        <v>3027</v>
      </c>
      <c r="C266" s="3321"/>
      <c r="D266" s="3321"/>
      <c r="E266" s="3321"/>
      <c r="F266" s="3321">
        <v>1500</v>
      </c>
      <c r="G266" s="3321"/>
    </row>
    <row r="267" spans="1:7" s="2305" customFormat="1" ht="14.25" customHeight="1">
      <c r="A267" s="2440" t="s">
        <v>303</v>
      </c>
      <c r="B267" s="2440" t="s">
        <v>3028</v>
      </c>
      <c r="C267" s="3321"/>
      <c r="D267" s="3321"/>
      <c r="E267" s="3321"/>
      <c r="F267" s="3321">
        <v>1500</v>
      </c>
      <c r="G267" s="3321"/>
    </row>
    <row r="268" spans="1:7" s="2305" customFormat="1" ht="14.25" customHeight="1">
      <c r="A268" s="2440" t="s">
        <v>303</v>
      </c>
      <c r="B268" s="2440" t="s">
        <v>3029</v>
      </c>
      <c r="C268" s="3321"/>
      <c r="D268" s="3321"/>
      <c r="E268" s="3321"/>
      <c r="F268" s="3321">
        <v>1290</v>
      </c>
      <c r="G268" s="3321"/>
    </row>
    <row r="269" spans="1:7" s="2305" customFormat="1" ht="14.25" customHeight="1">
      <c r="A269" s="2440" t="s">
        <v>303</v>
      </c>
      <c r="B269" s="2440" t="s">
        <v>3030</v>
      </c>
      <c r="C269" s="3321"/>
      <c r="D269" s="3321"/>
      <c r="E269" s="3321"/>
      <c r="F269" s="3321">
        <v>1150</v>
      </c>
      <c r="G269" s="3321"/>
    </row>
    <row r="270" spans="1:7" s="2305" customFormat="1" ht="14.25" customHeight="1">
      <c r="A270" s="2440" t="s">
        <v>303</v>
      </c>
      <c r="B270" s="2440" t="s">
        <v>3031</v>
      </c>
      <c r="C270" s="3321"/>
      <c r="D270" s="3321"/>
      <c r="E270" s="3321"/>
      <c r="F270" s="3321">
        <v>1380</v>
      </c>
      <c r="G270" s="3321"/>
    </row>
    <row r="271" spans="1:7" s="2305" customFormat="1" ht="14.25" customHeight="1">
      <c r="A271" s="2440" t="s">
        <v>303</v>
      </c>
      <c r="B271" s="2440" t="s">
        <v>3032</v>
      </c>
      <c r="C271" s="3321"/>
      <c r="D271" s="3321"/>
      <c r="E271" s="3321"/>
      <c r="F271" s="3321">
        <v>1460</v>
      </c>
      <c r="G271" s="3321"/>
    </row>
    <row r="272" spans="1:7" s="2305" customFormat="1" ht="14.25" customHeight="1">
      <c r="A272" s="2440" t="s">
        <v>303</v>
      </c>
      <c r="B272" s="2440" t="s">
        <v>3033</v>
      </c>
      <c r="C272" s="3321"/>
      <c r="D272" s="3321"/>
      <c r="E272" s="3321"/>
      <c r="F272" s="3321">
        <v>1460</v>
      </c>
      <c r="G272" s="3321"/>
    </row>
    <row r="273" spans="1:7" s="2305" customFormat="1" ht="14.25" customHeight="1">
      <c r="A273" s="2440" t="s">
        <v>303</v>
      </c>
      <c r="B273" s="2440" t="s">
        <v>2926</v>
      </c>
      <c r="C273" s="3321"/>
      <c r="D273" s="3321"/>
      <c r="E273" s="3321"/>
      <c r="F273" s="3321">
        <v>1490</v>
      </c>
      <c r="G273" s="3321"/>
    </row>
    <row r="274" spans="1:7" s="2305" customFormat="1" ht="14.25" customHeight="1">
      <c r="A274" s="2440" t="s">
        <v>303</v>
      </c>
      <c r="B274" s="2440" t="s">
        <v>3034</v>
      </c>
      <c r="C274" s="3321"/>
      <c r="D274" s="3321"/>
      <c r="E274" s="3321"/>
      <c r="F274" s="3321">
        <v>1490</v>
      </c>
      <c r="G274" s="3321"/>
    </row>
    <row r="275" spans="1:7" s="2305" customFormat="1" ht="14.25" customHeight="1">
      <c r="A275" s="2440" t="s">
        <v>303</v>
      </c>
      <c r="B275" s="2440" t="s">
        <v>3035</v>
      </c>
      <c r="C275" s="3321"/>
      <c r="D275" s="3321"/>
      <c r="E275" s="3321"/>
      <c r="F275" s="3321">
        <v>1220</v>
      </c>
      <c r="G275" s="3321"/>
    </row>
    <row r="276" spans="1:7" s="2305" customFormat="1" ht="14.25" customHeight="1" thickBot="1">
      <c r="A276" s="2448" t="s">
        <v>303</v>
      </c>
      <c r="B276" s="2450" t="s">
        <v>3036</v>
      </c>
      <c r="C276" s="3323"/>
      <c r="D276" s="3323"/>
      <c r="E276" s="3323"/>
      <c r="F276" s="3323">
        <v>1380</v>
      </c>
      <c r="G276" s="3323"/>
    </row>
    <row r="277" spans="1:7" s="2305" customFormat="1" ht="14.25" customHeight="1">
      <c r="A277" s="2445" t="s">
        <v>304</v>
      </c>
      <c r="B277" s="2436" t="s">
        <v>3037</v>
      </c>
      <c r="C277" s="3320">
        <v>5790</v>
      </c>
      <c r="D277" s="3320">
        <v>5740</v>
      </c>
      <c r="E277" s="3320">
        <v>6730</v>
      </c>
      <c r="F277" s="3320">
        <v>1110</v>
      </c>
      <c r="G277" s="3324">
        <v>3460</v>
      </c>
    </row>
    <row r="278" spans="1:7" s="2305" customFormat="1" ht="14.25" customHeight="1">
      <c r="A278" s="2440" t="s">
        <v>304</v>
      </c>
      <c r="B278" s="2440" t="s">
        <v>133</v>
      </c>
      <c r="C278" s="3321">
        <v>5740</v>
      </c>
      <c r="D278" s="3321">
        <v>5670</v>
      </c>
      <c r="E278" s="3321">
        <v>6680</v>
      </c>
      <c r="F278" s="3321">
        <v>1070</v>
      </c>
      <c r="G278" s="3325">
        <v>3420</v>
      </c>
    </row>
    <row r="279" spans="1:7" s="2305" customFormat="1" ht="14.25" customHeight="1">
      <c r="A279" s="2440" t="s">
        <v>304</v>
      </c>
      <c r="B279" s="2440" t="s">
        <v>3038</v>
      </c>
      <c r="C279" s="3321">
        <v>4760</v>
      </c>
      <c r="D279" s="3321">
        <v>4720</v>
      </c>
      <c r="E279" s="3321">
        <v>5540</v>
      </c>
      <c r="F279" s="3321">
        <v>810</v>
      </c>
      <c r="G279" s="3325">
        <v>2850</v>
      </c>
    </row>
    <row r="280" spans="1:7" s="2305" customFormat="1" ht="14.25" customHeight="1">
      <c r="A280" s="2440" t="s">
        <v>304</v>
      </c>
      <c r="B280" s="2440" t="s">
        <v>3039</v>
      </c>
      <c r="C280" s="3321">
        <v>4010</v>
      </c>
      <c r="D280" s="3321">
        <v>3950</v>
      </c>
      <c r="E280" s="3321">
        <v>4710</v>
      </c>
      <c r="F280" s="3321">
        <v>800</v>
      </c>
      <c r="G280" s="3325">
        <v>2390</v>
      </c>
    </row>
    <row r="281" spans="1:7" s="2305" customFormat="1" ht="14.25" customHeight="1">
      <c r="A281" s="2440" t="s">
        <v>304</v>
      </c>
      <c r="B281" s="2440" t="s">
        <v>3040</v>
      </c>
      <c r="C281" s="3321">
        <v>4480</v>
      </c>
      <c r="D281" s="3321">
        <v>4420</v>
      </c>
      <c r="E281" s="3321">
        <v>5230</v>
      </c>
      <c r="F281" s="3321">
        <v>870</v>
      </c>
      <c r="G281" s="3325">
        <v>2660</v>
      </c>
    </row>
    <row r="282" spans="1:7" s="2305" customFormat="1" ht="14.25" customHeight="1">
      <c r="A282" s="2440" t="s">
        <v>304</v>
      </c>
      <c r="B282" s="2440" t="s">
        <v>3041</v>
      </c>
      <c r="C282" s="3321">
        <v>5360</v>
      </c>
      <c r="D282" s="3321">
        <v>5300</v>
      </c>
      <c r="E282" s="3321">
        <v>6190</v>
      </c>
      <c r="F282" s="3321">
        <v>950</v>
      </c>
      <c r="G282" s="3325">
        <v>3190</v>
      </c>
    </row>
    <row r="283" spans="1:7" s="2305" customFormat="1" ht="14.25" customHeight="1">
      <c r="A283" s="2440" t="s">
        <v>304</v>
      </c>
      <c r="B283" s="2440" t="s">
        <v>172</v>
      </c>
      <c r="C283" s="3321">
        <v>4950</v>
      </c>
      <c r="D283" s="3321">
        <v>4900</v>
      </c>
      <c r="E283" s="3321">
        <v>5720</v>
      </c>
      <c r="F283" s="3321">
        <v>920</v>
      </c>
      <c r="G283" s="3325">
        <v>2950</v>
      </c>
    </row>
    <row r="284" spans="1:7" s="2305" customFormat="1" ht="14.25" customHeight="1">
      <c r="A284" s="2440" t="s">
        <v>304</v>
      </c>
      <c r="B284" s="2440" t="s">
        <v>180</v>
      </c>
      <c r="C284" s="3321">
        <v>5610</v>
      </c>
      <c r="D284" s="3321">
        <v>5560</v>
      </c>
      <c r="E284" s="3321">
        <v>6520</v>
      </c>
      <c r="F284" s="3321">
        <v>1030</v>
      </c>
      <c r="G284" s="3325">
        <v>3360</v>
      </c>
    </row>
    <row r="285" spans="1:7" s="2305" customFormat="1" ht="14.25" customHeight="1">
      <c r="A285" s="2440" t="s">
        <v>304</v>
      </c>
      <c r="B285" s="2440" t="s">
        <v>190</v>
      </c>
      <c r="C285" s="3321">
        <v>5340</v>
      </c>
      <c r="D285" s="3321">
        <v>5290</v>
      </c>
      <c r="E285" s="3321">
        <v>6170</v>
      </c>
      <c r="F285" s="3321">
        <v>1080</v>
      </c>
      <c r="G285" s="3325">
        <v>3180</v>
      </c>
    </row>
    <row r="286" spans="1:7" s="2305" customFormat="1" ht="14.25" customHeight="1">
      <c r="A286" s="2440" t="s">
        <v>304</v>
      </c>
      <c r="B286" s="2440" t="s">
        <v>197</v>
      </c>
      <c r="C286" s="3321">
        <v>4890</v>
      </c>
      <c r="D286" s="3321">
        <v>4840</v>
      </c>
      <c r="E286" s="3321">
        <v>5640</v>
      </c>
      <c r="F286" s="3321">
        <v>960</v>
      </c>
      <c r="G286" s="3325">
        <v>2910</v>
      </c>
    </row>
    <row r="287" spans="1:7" s="2305" customFormat="1" ht="14.25" customHeight="1">
      <c r="A287" s="2440" t="s">
        <v>304</v>
      </c>
      <c r="B287" s="2440" t="s">
        <v>3042</v>
      </c>
      <c r="C287" s="3321">
        <v>4960</v>
      </c>
      <c r="D287" s="3321">
        <v>4920</v>
      </c>
      <c r="E287" s="3321">
        <v>5730</v>
      </c>
      <c r="F287" s="3321">
        <v>930</v>
      </c>
      <c r="G287" s="3325">
        <v>2960</v>
      </c>
    </row>
    <row r="288" spans="1:7" s="2305" customFormat="1" ht="14.25" customHeight="1">
      <c r="A288" s="2440" t="s">
        <v>304</v>
      </c>
      <c r="B288" s="2440" t="s">
        <v>217</v>
      </c>
      <c r="C288" s="3321">
        <v>4350</v>
      </c>
      <c r="D288" s="3321">
        <v>4300</v>
      </c>
      <c r="E288" s="3321">
        <v>4900</v>
      </c>
      <c r="F288" s="3321">
        <v>820</v>
      </c>
      <c r="G288" s="3325">
        <v>2590</v>
      </c>
    </row>
    <row r="289" spans="1:7" s="2305" customFormat="1" ht="14.25" customHeight="1">
      <c r="A289" s="2440" t="s">
        <v>304</v>
      </c>
      <c r="B289" s="2440" t="s">
        <v>3043</v>
      </c>
      <c r="C289" s="3321">
        <v>5230</v>
      </c>
      <c r="D289" s="3321">
        <v>5170</v>
      </c>
      <c r="E289" s="3321">
        <v>6060</v>
      </c>
      <c r="F289" s="3321">
        <v>900</v>
      </c>
      <c r="G289" s="3325">
        <v>3120</v>
      </c>
    </row>
    <row r="290" spans="1:7" s="2305" customFormat="1" ht="14.25" customHeight="1">
      <c r="A290" s="2440" t="s">
        <v>304</v>
      </c>
      <c r="B290" s="2440" t="s">
        <v>240</v>
      </c>
      <c r="C290" s="3321">
        <v>5550</v>
      </c>
      <c r="D290" s="3321">
        <v>5500</v>
      </c>
      <c r="E290" s="3321">
        <v>6440</v>
      </c>
      <c r="F290" s="3321">
        <v>960</v>
      </c>
      <c r="G290" s="3325">
        <v>3320</v>
      </c>
    </row>
    <row r="291" spans="1:7" s="2305" customFormat="1" ht="14.25" customHeight="1">
      <c r="A291" s="2440" t="s">
        <v>304</v>
      </c>
      <c r="B291" s="2440" t="s">
        <v>248</v>
      </c>
      <c r="C291" s="3321">
        <v>5440</v>
      </c>
      <c r="D291" s="3321">
        <v>5400</v>
      </c>
      <c r="E291" s="3321">
        <v>6320</v>
      </c>
      <c r="F291" s="3321">
        <v>930</v>
      </c>
      <c r="G291" s="3325">
        <v>3250</v>
      </c>
    </row>
    <row r="292" spans="1:7" s="2305" customFormat="1" ht="14.25" customHeight="1">
      <c r="A292" s="2440" t="s">
        <v>304</v>
      </c>
      <c r="B292" s="2440" t="s">
        <v>254</v>
      </c>
      <c r="C292" s="3321">
        <v>5400</v>
      </c>
      <c r="D292" s="3321">
        <v>5360</v>
      </c>
      <c r="E292" s="3321">
        <v>6270</v>
      </c>
      <c r="F292" s="3321">
        <v>1040</v>
      </c>
      <c r="G292" s="3325">
        <v>3230</v>
      </c>
    </row>
    <row r="293" spans="1:7" s="2305" customFormat="1" ht="14.25" customHeight="1">
      <c r="A293" s="2440" t="s">
        <v>304</v>
      </c>
      <c r="B293" s="2440" t="s">
        <v>2818</v>
      </c>
      <c r="C293" s="3321">
        <v>5320</v>
      </c>
      <c r="D293" s="3321">
        <v>5270</v>
      </c>
      <c r="E293" s="3321">
        <v>6160</v>
      </c>
      <c r="F293" s="3321">
        <v>990</v>
      </c>
      <c r="G293" s="3325">
        <v>3170</v>
      </c>
    </row>
    <row r="294" spans="1:7" s="2305" customFormat="1" ht="14.25" customHeight="1">
      <c r="A294" s="2440" t="s">
        <v>304</v>
      </c>
      <c r="B294" s="2440" t="s">
        <v>3044</v>
      </c>
      <c r="C294" s="3321">
        <v>5260</v>
      </c>
      <c r="D294" s="3321">
        <v>5210</v>
      </c>
      <c r="E294" s="3321">
        <v>6100</v>
      </c>
      <c r="F294" s="3321">
        <v>950</v>
      </c>
      <c r="G294" s="3325">
        <v>3150</v>
      </c>
    </row>
    <row r="295" spans="1:7" s="2305" customFormat="1" ht="14.25" customHeight="1">
      <c r="A295" s="2440" t="s">
        <v>304</v>
      </c>
      <c r="B295" s="2440" t="s">
        <v>288</v>
      </c>
      <c r="C295" s="3321">
        <v>5610</v>
      </c>
      <c r="D295" s="3321">
        <v>5570</v>
      </c>
      <c r="E295" s="3321">
        <v>6530</v>
      </c>
      <c r="F295" s="3321">
        <v>960</v>
      </c>
      <c r="G295" s="3325">
        <v>3360</v>
      </c>
    </row>
    <row r="296" spans="1:7" s="2305" customFormat="1" ht="14.25" customHeight="1">
      <c r="A296" s="2440" t="s">
        <v>304</v>
      </c>
      <c r="B296" s="2440" t="s">
        <v>291</v>
      </c>
      <c r="C296" s="3321">
        <v>5540</v>
      </c>
      <c r="D296" s="3321">
        <v>5490</v>
      </c>
      <c r="E296" s="3321">
        <v>6430</v>
      </c>
      <c r="F296" s="3321">
        <v>980</v>
      </c>
      <c r="G296" s="3325">
        <v>3310</v>
      </c>
    </row>
    <row r="297" spans="1:7" s="2305" customFormat="1" ht="14.25" customHeight="1">
      <c r="A297" s="2440" t="s">
        <v>304</v>
      </c>
      <c r="B297" s="2440" t="s">
        <v>293</v>
      </c>
      <c r="C297" s="3321">
        <v>5480</v>
      </c>
      <c r="D297" s="3321">
        <v>5420</v>
      </c>
      <c r="E297" s="3321">
        <v>6370</v>
      </c>
      <c r="F297" s="3321">
        <v>990</v>
      </c>
      <c r="G297" s="3325">
        <v>3270</v>
      </c>
    </row>
    <row r="298" spans="1:7" s="2305" customFormat="1" ht="14.25" customHeight="1">
      <c r="A298" s="2440" t="s">
        <v>304</v>
      </c>
      <c r="B298" s="2440" t="s">
        <v>296</v>
      </c>
      <c r="C298" s="3321">
        <v>5090</v>
      </c>
      <c r="D298" s="3321">
        <v>5050</v>
      </c>
      <c r="E298" s="3321">
        <v>5910</v>
      </c>
      <c r="F298" s="3321">
        <v>900</v>
      </c>
      <c r="G298" s="3325">
        <v>3040</v>
      </c>
    </row>
    <row r="299" spans="1:7" s="2305" customFormat="1" ht="14.25" customHeight="1">
      <c r="A299" s="2440" t="s">
        <v>304</v>
      </c>
      <c r="B299" s="2449" t="s">
        <v>2837</v>
      </c>
      <c r="C299" s="3321">
        <v>5430</v>
      </c>
      <c r="D299" s="3321">
        <v>5380</v>
      </c>
      <c r="E299" s="3321">
        <v>6280</v>
      </c>
      <c r="F299" s="3321">
        <v>1000</v>
      </c>
      <c r="G299" s="3325">
        <v>3240</v>
      </c>
    </row>
    <row r="300" spans="1:7" s="2305" customFormat="1" ht="14.25" customHeight="1">
      <c r="A300" s="2440" t="s">
        <v>304</v>
      </c>
      <c r="B300" s="2449" t="s">
        <v>269</v>
      </c>
      <c r="C300" s="3321">
        <v>4740</v>
      </c>
      <c r="D300" s="3321">
        <v>4680</v>
      </c>
      <c r="E300" s="3321">
        <v>5450</v>
      </c>
      <c r="F300" s="3321">
        <v>900</v>
      </c>
      <c r="G300" s="3325">
        <v>2830</v>
      </c>
    </row>
    <row r="301" spans="1:7" s="2305" customFormat="1" ht="14.25" customHeight="1">
      <c r="A301" s="2440" t="s">
        <v>304</v>
      </c>
      <c r="B301" s="2449" t="s">
        <v>274</v>
      </c>
      <c r="C301" s="3321">
        <v>4870</v>
      </c>
      <c r="D301" s="3321">
        <v>4810</v>
      </c>
      <c r="E301" s="3321">
        <v>5560</v>
      </c>
      <c r="F301" s="3321">
        <v>990</v>
      </c>
      <c r="G301" s="3325">
        <v>2910</v>
      </c>
    </row>
    <row r="302" spans="1:7" s="2305" customFormat="1" ht="14.25" customHeight="1">
      <c r="A302" s="2440" t="s">
        <v>304</v>
      </c>
      <c r="B302" s="2440" t="s">
        <v>3045</v>
      </c>
      <c r="C302" s="3321">
        <v>5520</v>
      </c>
      <c r="D302" s="3321">
        <v>5470</v>
      </c>
      <c r="E302" s="3321">
        <v>6410</v>
      </c>
      <c r="F302" s="3321">
        <v>950</v>
      </c>
      <c r="G302" s="3325">
        <v>3300</v>
      </c>
    </row>
    <row r="303" spans="1:7" s="2305" customFormat="1" ht="14.25" customHeight="1">
      <c r="A303" s="2440" t="s">
        <v>304</v>
      </c>
      <c r="B303" s="2440" t="s">
        <v>2857</v>
      </c>
      <c r="C303" s="3321">
        <v>5630</v>
      </c>
      <c r="D303" s="3321">
        <v>5590</v>
      </c>
      <c r="E303" s="3321">
        <v>6550</v>
      </c>
      <c r="F303" s="3321">
        <v>1010</v>
      </c>
      <c r="G303" s="3325">
        <v>3370</v>
      </c>
    </row>
    <row r="304" spans="1:7" s="2305" customFormat="1" ht="14.25" customHeight="1">
      <c r="A304" s="2440" t="s">
        <v>304</v>
      </c>
      <c r="B304" s="2440" t="s">
        <v>2864</v>
      </c>
      <c r="C304" s="3321">
        <v>5680</v>
      </c>
      <c r="D304" s="3321">
        <v>5620</v>
      </c>
      <c r="E304" s="3321">
        <v>6620</v>
      </c>
      <c r="F304" s="3321">
        <v>1050</v>
      </c>
      <c r="G304" s="3325">
        <v>3390</v>
      </c>
    </row>
    <row r="305" spans="1:7" s="2305" customFormat="1" ht="14.25" customHeight="1">
      <c r="A305" s="2440" t="s">
        <v>304</v>
      </c>
      <c r="B305" s="2440" t="s">
        <v>2870</v>
      </c>
      <c r="C305" s="3321">
        <v>5590</v>
      </c>
      <c r="D305" s="3321">
        <v>5530</v>
      </c>
      <c r="E305" s="3321">
        <v>6460</v>
      </c>
      <c r="F305" s="3321">
        <v>900</v>
      </c>
      <c r="G305" s="3325">
        <v>3340</v>
      </c>
    </row>
    <row r="306" spans="1:7" s="2305" customFormat="1" ht="14.25" customHeight="1">
      <c r="A306" s="2440" t="s">
        <v>304</v>
      </c>
      <c r="B306" s="2440" t="s">
        <v>3046</v>
      </c>
      <c r="C306" s="3321">
        <v>5560</v>
      </c>
      <c r="D306" s="3321">
        <v>5510</v>
      </c>
      <c r="E306" s="3321">
        <v>6440</v>
      </c>
      <c r="F306" s="3321">
        <v>900</v>
      </c>
      <c r="G306" s="3325">
        <v>3320</v>
      </c>
    </row>
    <row r="307" spans="1:7" s="2305" customFormat="1" ht="14.25" customHeight="1">
      <c r="A307" s="2440" t="s">
        <v>304</v>
      </c>
      <c r="B307" s="2440" t="s">
        <v>2882</v>
      </c>
      <c r="C307" s="3321">
        <v>5650</v>
      </c>
      <c r="D307" s="3321">
        <v>5600</v>
      </c>
      <c r="E307" s="3321">
        <v>6590</v>
      </c>
      <c r="F307" s="3321">
        <v>930</v>
      </c>
      <c r="G307" s="3325">
        <v>3380</v>
      </c>
    </row>
    <row r="308" spans="1:7" s="2305" customFormat="1" ht="14.25" customHeight="1">
      <c r="A308" s="2440" t="s">
        <v>304</v>
      </c>
      <c r="B308" s="2440" t="s">
        <v>3047</v>
      </c>
      <c r="C308" s="3321">
        <v>5620</v>
      </c>
      <c r="D308" s="3321">
        <v>5580</v>
      </c>
      <c r="E308" s="3321">
        <v>6540</v>
      </c>
      <c r="F308" s="3321">
        <v>910</v>
      </c>
      <c r="G308" s="3325">
        <v>3370</v>
      </c>
    </row>
    <row r="309" spans="1:7" s="2305" customFormat="1" ht="14.25" customHeight="1">
      <c r="A309" s="2440" t="s">
        <v>304</v>
      </c>
      <c r="B309" s="2440" t="s">
        <v>3048</v>
      </c>
      <c r="C309" s="3321">
        <v>5060</v>
      </c>
      <c r="D309" s="3321">
        <v>5020</v>
      </c>
      <c r="E309" s="3321">
        <v>6370</v>
      </c>
      <c r="F309" s="3321">
        <v>800</v>
      </c>
      <c r="G309" s="3325">
        <v>3020</v>
      </c>
    </row>
    <row r="310" spans="1:7" s="2305" customFormat="1" ht="14.25" customHeight="1">
      <c r="A310" s="2440" t="s">
        <v>304</v>
      </c>
      <c r="B310" s="2440" t="s">
        <v>2897</v>
      </c>
      <c r="C310" s="3321">
        <v>5150</v>
      </c>
      <c r="D310" s="3321">
        <v>5110</v>
      </c>
      <c r="E310" s="3321">
        <v>6500</v>
      </c>
      <c r="F310" s="3321">
        <v>880</v>
      </c>
      <c r="G310" s="3325">
        <v>3080</v>
      </c>
    </row>
    <row r="311" spans="1:7" s="2305" customFormat="1" ht="14.25" customHeight="1">
      <c r="A311" s="2440" t="s">
        <v>304</v>
      </c>
      <c r="B311" s="2440" t="s">
        <v>3049</v>
      </c>
      <c r="C311" s="3321">
        <v>4750</v>
      </c>
      <c r="D311" s="3321">
        <v>4710</v>
      </c>
      <c r="E311" s="3321">
        <v>5510</v>
      </c>
      <c r="F311" s="3321">
        <v>880</v>
      </c>
      <c r="G311" s="3325">
        <v>2840</v>
      </c>
    </row>
    <row r="312" spans="1:7" s="2305" customFormat="1" ht="14.25" customHeight="1">
      <c r="A312" s="2440" t="s">
        <v>304</v>
      </c>
      <c r="B312" s="2440" t="s">
        <v>2907</v>
      </c>
      <c r="C312" s="3321">
        <v>4690</v>
      </c>
      <c r="D312" s="3321">
        <v>4640</v>
      </c>
      <c r="E312" s="3321">
        <v>5420</v>
      </c>
      <c r="F312" s="3321">
        <v>800</v>
      </c>
      <c r="G312" s="3325">
        <v>2800</v>
      </c>
    </row>
    <row r="313" spans="1:7" s="2305" customFormat="1" ht="14.25" customHeight="1">
      <c r="A313" s="2440" t="s">
        <v>304</v>
      </c>
      <c r="B313" s="2440" t="s">
        <v>2912</v>
      </c>
      <c r="C313" s="3321">
        <v>4810</v>
      </c>
      <c r="D313" s="3321">
        <v>4760</v>
      </c>
      <c r="E313" s="3321">
        <v>5550</v>
      </c>
      <c r="F313" s="3321">
        <v>920</v>
      </c>
      <c r="G313" s="3325">
        <v>2870</v>
      </c>
    </row>
    <row r="314" spans="1:7" s="2305" customFormat="1" ht="14.25" customHeight="1">
      <c r="A314" s="2440" t="s">
        <v>304</v>
      </c>
      <c r="B314" s="2440" t="s">
        <v>3050</v>
      </c>
      <c r="C314" s="3321"/>
      <c r="D314" s="3321"/>
      <c r="E314" s="3321"/>
      <c r="F314" s="3321">
        <v>1020</v>
      </c>
      <c r="G314" s="3325"/>
    </row>
    <row r="315" spans="1:7" s="2305" customFormat="1" ht="14.25" customHeight="1">
      <c r="A315" s="2440" t="s">
        <v>304</v>
      </c>
      <c r="B315" s="2440" t="s">
        <v>3051</v>
      </c>
      <c r="C315" s="3321"/>
      <c r="D315" s="3321"/>
      <c r="E315" s="3321"/>
      <c r="F315" s="3321">
        <v>1050</v>
      </c>
      <c r="G315" s="3325"/>
    </row>
    <row r="316" spans="1:7" s="2305" customFormat="1" ht="14.25" customHeight="1">
      <c r="A316" s="2440" t="s">
        <v>304</v>
      </c>
      <c r="B316" s="2440" t="s">
        <v>2927</v>
      </c>
      <c r="C316" s="3321"/>
      <c r="D316" s="3321"/>
      <c r="E316" s="3321"/>
      <c r="F316" s="3321">
        <v>900</v>
      </c>
      <c r="G316" s="3325"/>
    </row>
    <row r="317" spans="1:7" s="2305" customFormat="1" ht="14.25" customHeight="1">
      <c r="A317" s="2440" t="s">
        <v>304</v>
      </c>
      <c r="B317" s="2440" t="s">
        <v>3052</v>
      </c>
      <c r="C317" s="3321"/>
      <c r="D317" s="3321"/>
      <c r="E317" s="3321"/>
      <c r="F317" s="3321">
        <v>920</v>
      </c>
      <c r="G317" s="3325"/>
    </row>
    <row r="318" spans="1:7" s="2305" customFormat="1" ht="14.25" customHeight="1">
      <c r="A318" s="2440" t="s">
        <v>304</v>
      </c>
      <c r="B318" s="2440" t="s">
        <v>3053</v>
      </c>
      <c r="C318" s="3321"/>
      <c r="D318" s="3321"/>
      <c r="E318" s="3321"/>
      <c r="F318" s="3321">
        <v>1080</v>
      </c>
      <c r="G318" s="3325"/>
    </row>
    <row r="319" spans="1:7" s="2305" customFormat="1" ht="14.25" customHeight="1">
      <c r="A319" s="2440" t="s">
        <v>304</v>
      </c>
      <c r="B319" s="2440" t="s">
        <v>2940</v>
      </c>
      <c r="C319" s="3321"/>
      <c r="D319" s="3321"/>
      <c r="E319" s="3321"/>
      <c r="F319" s="3321">
        <v>1020</v>
      </c>
      <c r="G319" s="3325"/>
    </row>
    <row r="320" spans="1:7" s="2305" customFormat="1" ht="14.25" customHeight="1">
      <c r="A320" s="2440" t="s">
        <v>304</v>
      </c>
      <c r="B320" s="2440" t="s">
        <v>2943</v>
      </c>
      <c r="C320" s="3321"/>
      <c r="D320" s="3321"/>
      <c r="E320" s="3321"/>
      <c r="F320" s="3321">
        <v>1050</v>
      </c>
      <c r="G320" s="3325"/>
    </row>
    <row r="321" spans="1:7" s="2305" customFormat="1" ht="14.25" customHeight="1">
      <c r="A321" s="2440" t="s">
        <v>304</v>
      </c>
      <c r="B321" s="2440" t="s">
        <v>2945</v>
      </c>
      <c r="C321" s="3321"/>
      <c r="D321" s="3321"/>
      <c r="E321" s="3321"/>
      <c r="F321" s="3321">
        <v>960</v>
      </c>
      <c r="G321" s="3325"/>
    </row>
    <row r="322" spans="1:7" s="2305" customFormat="1" ht="14.25" customHeight="1">
      <c r="A322" s="2440" t="s">
        <v>304</v>
      </c>
      <c r="B322" s="2440" t="s">
        <v>2947</v>
      </c>
      <c r="C322" s="3321"/>
      <c r="D322" s="3321"/>
      <c r="E322" s="3321"/>
      <c r="F322" s="3321">
        <v>960</v>
      </c>
      <c r="G322" s="3325"/>
    </row>
    <row r="323" spans="1:7" s="2305" customFormat="1" ht="14.25" customHeight="1">
      <c r="A323" s="2440" t="s">
        <v>304</v>
      </c>
      <c r="B323" s="2440" t="s">
        <v>2949</v>
      </c>
      <c r="C323" s="3321"/>
      <c r="D323" s="3321"/>
      <c r="E323" s="3321"/>
      <c r="F323" s="3321">
        <v>880</v>
      </c>
      <c r="G323" s="3325"/>
    </row>
    <row r="324" spans="1:7" s="2305" customFormat="1" ht="14.25" customHeight="1">
      <c r="A324" s="2440" t="s">
        <v>304</v>
      </c>
      <c r="B324" s="2440" t="s">
        <v>2951</v>
      </c>
      <c r="C324" s="3321"/>
      <c r="D324" s="3321"/>
      <c r="E324" s="3321"/>
      <c r="F324" s="3321">
        <v>930</v>
      </c>
      <c r="G324" s="3325"/>
    </row>
    <row r="325" spans="1:7" s="2305" customFormat="1" ht="14.25" customHeight="1">
      <c r="A325" s="2440" t="s">
        <v>304</v>
      </c>
      <c r="B325" s="2441" t="s">
        <v>2953</v>
      </c>
      <c r="C325" s="3321"/>
      <c r="D325" s="3321"/>
      <c r="E325" s="3321"/>
      <c r="F325" s="3321">
        <v>900</v>
      </c>
      <c r="G325" s="3325"/>
    </row>
    <row r="326" spans="1:7" s="2305" customFormat="1" ht="14.25" customHeight="1" thickBot="1">
      <c r="A326" s="2452" t="s">
        <v>304</v>
      </c>
      <c r="B326" s="2447" t="s">
        <v>2955</v>
      </c>
      <c r="C326" s="3322"/>
      <c r="D326" s="3322"/>
      <c r="E326" s="3322"/>
      <c r="F326" s="3322">
        <v>790</v>
      </c>
      <c r="G326" s="3326"/>
    </row>
    <row r="327" spans="1:7" s="2305" customFormat="1" ht="14.25" customHeight="1">
      <c r="A327" s="2445" t="s">
        <v>305</v>
      </c>
      <c r="B327" s="2436" t="s">
        <v>3054</v>
      </c>
      <c r="C327" s="3321">
        <v>3750</v>
      </c>
      <c r="D327" s="3321">
        <v>3710</v>
      </c>
      <c r="E327" s="3321">
        <v>4080</v>
      </c>
      <c r="F327" s="3321">
        <v>860</v>
      </c>
      <c r="G327" s="3321">
        <v>2210</v>
      </c>
    </row>
    <row r="328" spans="1:7" s="2305" customFormat="1" ht="14.25" customHeight="1">
      <c r="A328" s="2440" t="s">
        <v>305</v>
      </c>
      <c r="B328" s="2440" t="s">
        <v>134</v>
      </c>
      <c r="C328" s="3321">
        <v>3330</v>
      </c>
      <c r="D328" s="3321">
        <v>3290</v>
      </c>
      <c r="E328" s="3321">
        <v>3610</v>
      </c>
      <c r="F328" s="3321">
        <v>850</v>
      </c>
      <c r="G328" s="3321">
        <v>1960</v>
      </c>
    </row>
    <row r="329" spans="1:7" s="2305" customFormat="1" ht="14.25" customHeight="1">
      <c r="A329" s="2440" t="s">
        <v>305</v>
      </c>
      <c r="B329" s="2440" t="s">
        <v>3055</v>
      </c>
      <c r="C329" s="3321">
        <v>2730</v>
      </c>
      <c r="D329" s="3321">
        <v>2690</v>
      </c>
      <c r="E329" s="3321">
        <v>3100</v>
      </c>
      <c r="F329" s="3321">
        <v>660</v>
      </c>
      <c r="G329" s="3321">
        <v>1610</v>
      </c>
    </row>
    <row r="330" spans="1:7" s="2305" customFormat="1" ht="14.25" customHeight="1">
      <c r="A330" s="2440" t="s">
        <v>305</v>
      </c>
      <c r="B330" s="2440" t="s">
        <v>3056</v>
      </c>
      <c r="C330" s="3321">
        <v>3270</v>
      </c>
      <c r="D330" s="3321">
        <v>3240</v>
      </c>
      <c r="E330" s="3321">
        <v>3560</v>
      </c>
      <c r="F330" s="3321">
        <v>680</v>
      </c>
      <c r="G330" s="3321">
        <v>1940</v>
      </c>
    </row>
    <row r="331" spans="1:7" s="2305" customFormat="1" ht="14.25" customHeight="1">
      <c r="A331" s="2440" t="s">
        <v>305</v>
      </c>
      <c r="B331" s="2440" t="s">
        <v>159</v>
      </c>
      <c r="C331" s="3321">
        <v>3770</v>
      </c>
      <c r="D331" s="3321">
        <v>3740</v>
      </c>
      <c r="E331" s="3321">
        <v>4110</v>
      </c>
      <c r="F331" s="3321">
        <v>730</v>
      </c>
      <c r="G331" s="3321">
        <v>2230</v>
      </c>
    </row>
    <row r="332" spans="1:7" s="2305" customFormat="1" ht="14.25" customHeight="1">
      <c r="A332" s="2440" t="s">
        <v>305</v>
      </c>
      <c r="B332" s="2440" t="s">
        <v>2789</v>
      </c>
      <c r="C332" s="3321">
        <v>3520</v>
      </c>
      <c r="D332" s="3321">
        <v>3480</v>
      </c>
      <c r="E332" s="3321">
        <v>3830</v>
      </c>
      <c r="F332" s="3321">
        <v>720</v>
      </c>
      <c r="G332" s="3321">
        <v>2090</v>
      </c>
    </row>
    <row r="333" spans="1:7" s="2305" customFormat="1" ht="14.25" customHeight="1">
      <c r="A333" s="2440" t="s">
        <v>305</v>
      </c>
      <c r="B333" s="2440" t="s">
        <v>3057</v>
      </c>
      <c r="C333" s="3321">
        <v>3840</v>
      </c>
      <c r="D333" s="3321">
        <v>3800</v>
      </c>
      <c r="E333" s="3321">
        <v>4200</v>
      </c>
      <c r="F333" s="3321">
        <v>760</v>
      </c>
      <c r="G333" s="3321">
        <v>2270</v>
      </c>
    </row>
    <row r="334" spans="1:7" s="2305" customFormat="1" ht="14.25" customHeight="1">
      <c r="A334" s="2440" t="s">
        <v>305</v>
      </c>
      <c r="B334" s="2440" t="s">
        <v>181</v>
      </c>
      <c r="C334" s="3321">
        <v>3960</v>
      </c>
      <c r="D334" s="3321">
        <v>3910</v>
      </c>
      <c r="E334" s="3321">
        <v>4340</v>
      </c>
      <c r="F334" s="3321">
        <v>780</v>
      </c>
      <c r="G334" s="3321">
        <v>2340</v>
      </c>
    </row>
    <row r="335" spans="1:7" s="2305" customFormat="1" ht="14.25" customHeight="1">
      <c r="A335" s="2440" t="s">
        <v>305</v>
      </c>
      <c r="B335" s="2440" t="s">
        <v>191</v>
      </c>
      <c r="C335" s="3321">
        <v>3710</v>
      </c>
      <c r="D335" s="3321">
        <v>3670</v>
      </c>
      <c r="E335" s="3321">
        <v>4030</v>
      </c>
      <c r="F335" s="3321">
        <v>750</v>
      </c>
      <c r="G335" s="3321">
        <v>2200</v>
      </c>
    </row>
    <row r="336" spans="1:7" s="2305" customFormat="1" ht="14.25" customHeight="1">
      <c r="A336" s="2440" t="s">
        <v>305</v>
      </c>
      <c r="B336" s="2440" t="s">
        <v>2799</v>
      </c>
      <c r="C336" s="3321">
        <v>3570</v>
      </c>
      <c r="D336" s="3321">
        <v>3530</v>
      </c>
      <c r="E336" s="3321">
        <v>3880</v>
      </c>
      <c r="F336" s="3321">
        <v>770</v>
      </c>
      <c r="G336" s="3321">
        <v>2110</v>
      </c>
    </row>
    <row r="337" spans="1:10" s="2305" customFormat="1" ht="14.25" customHeight="1">
      <c r="A337" s="2440" t="s">
        <v>305</v>
      </c>
      <c r="B337" s="2440" t="s">
        <v>3058</v>
      </c>
      <c r="C337" s="3321">
        <v>3780</v>
      </c>
      <c r="D337" s="3321">
        <v>3750</v>
      </c>
      <c r="E337" s="3321">
        <v>4130</v>
      </c>
      <c r="F337" s="3321">
        <v>750</v>
      </c>
      <c r="G337" s="3321">
        <v>2240</v>
      </c>
    </row>
    <row r="338" spans="1:10" s="2305" customFormat="1" ht="14.25" customHeight="1">
      <c r="A338" s="2440" t="s">
        <v>305</v>
      </c>
      <c r="B338" s="2440" t="s">
        <v>218</v>
      </c>
      <c r="C338" s="3321">
        <v>3600</v>
      </c>
      <c r="D338" s="3321">
        <v>3570</v>
      </c>
      <c r="E338" s="3321">
        <v>3920</v>
      </c>
      <c r="F338" s="3321">
        <v>790</v>
      </c>
      <c r="G338" s="3321">
        <v>2140</v>
      </c>
    </row>
    <row r="339" spans="1:10" s="2305" customFormat="1" ht="14.25" customHeight="1">
      <c r="A339" s="2440" t="s">
        <v>305</v>
      </c>
      <c r="B339" s="2440" t="s">
        <v>226</v>
      </c>
      <c r="C339" s="3321">
        <v>3540</v>
      </c>
      <c r="D339" s="3321">
        <v>3500</v>
      </c>
      <c r="E339" s="3321">
        <v>3850</v>
      </c>
      <c r="F339" s="3321">
        <v>780</v>
      </c>
      <c r="G339" s="3321">
        <v>2100</v>
      </c>
    </row>
    <row r="340" spans="1:10" s="2305" customFormat="1" ht="14.25" customHeight="1">
      <c r="A340" s="2440" t="s">
        <v>305</v>
      </c>
      <c r="B340" s="2440" t="s">
        <v>3059</v>
      </c>
      <c r="C340" s="3321">
        <v>3850</v>
      </c>
      <c r="D340" s="3321">
        <v>3810</v>
      </c>
      <c r="E340" s="3321">
        <v>4210</v>
      </c>
      <c r="F340" s="3321">
        <v>750</v>
      </c>
      <c r="G340" s="3321">
        <v>2280</v>
      </c>
    </row>
    <row r="341" spans="1:10" s="2305" customFormat="1" ht="14.25" customHeight="1">
      <c r="A341" s="2440" t="s">
        <v>305</v>
      </c>
      <c r="B341" s="2440" t="s">
        <v>205</v>
      </c>
      <c r="C341" s="3321">
        <v>3780</v>
      </c>
      <c r="D341" s="3321">
        <v>3750</v>
      </c>
      <c r="E341" s="3321">
        <v>4140</v>
      </c>
      <c r="F341" s="3321">
        <v>720</v>
      </c>
      <c r="G341" s="3321">
        <v>2240</v>
      </c>
    </row>
    <row r="342" spans="1:10" s="2305" customFormat="1" ht="14.25" customHeight="1">
      <c r="A342" s="2440" t="s">
        <v>305</v>
      </c>
      <c r="B342" s="2440" t="s">
        <v>3060</v>
      </c>
      <c r="C342" s="3321">
        <v>3670</v>
      </c>
      <c r="D342" s="3321">
        <v>3620</v>
      </c>
      <c r="E342" s="3321">
        <v>3990</v>
      </c>
      <c r="F342" s="3321">
        <v>760</v>
      </c>
      <c r="G342" s="3321">
        <v>2170</v>
      </c>
    </row>
    <row r="343" spans="1:10" s="2305" customFormat="1" ht="14.25" customHeight="1">
      <c r="A343" s="2440" t="s">
        <v>305</v>
      </c>
      <c r="B343" s="2440" t="s">
        <v>255</v>
      </c>
      <c r="C343" s="3321">
        <v>3760</v>
      </c>
      <c r="D343" s="3321">
        <v>3720</v>
      </c>
      <c r="E343" s="3321">
        <v>4090</v>
      </c>
      <c r="F343" s="3321">
        <v>780</v>
      </c>
      <c r="G343" s="3321">
        <v>2220</v>
      </c>
    </row>
    <row r="344" spans="1:10" s="2305" customFormat="1" ht="14.25" customHeight="1">
      <c r="A344" s="2440" t="s">
        <v>305</v>
      </c>
      <c r="B344" s="2440" t="s">
        <v>263</v>
      </c>
      <c r="C344" s="3321">
        <v>3680</v>
      </c>
      <c r="D344" s="3321">
        <v>3640</v>
      </c>
      <c r="E344" s="3321">
        <v>4010</v>
      </c>
      <c r="F344" s="3321">
        <v>750</v>
      </c>
      <c r="G344" s="3321">
        <v>2180</v>
      </c>
    </row>
    <row r="345" spans="1:10">
      <c r="A345" s="2440" t="s">
        <v>305</v>
      </c>
      <c r="B345" s="2440" t="s">
        <v>2824</v>
      </c>
      <c r="C345" s="3321">
        <v>3190</v>
      </c>
      <c r="D345" s="3321">
        <v>3140</v>
      </c>
      <c r="E345" s="3321">
        <v>3450</v>
      </c>
      <c r="F345" s="3321">
        <v>720</v>
      </c>
      <c r="G345" s="3321">
        <v>1880</v>
      </c>
      <c r="J345" s="2305"/>
    </row>
    <row r="346" spans="1:10">
      <c r="A346" s="2440" t="s">
        <v>305</v>
      </c>
      <c r="B346" s="2440" t="s">
        <v>3061</v>
      </c>
      <c r="C346" s="3321">
        <v>3630</v>
      </c>
      <c r="D346" s="3321">
        <v>3590</v>
      </c>
      <c r="E346" s="3321">
        <v>3940</v>
      </c>
      <c r="F346" s="3321">
        <v>730</v>
      </c>
      <c r="G346" s="3321">
        <v>2150</v>
      </c>
      <c r="J346" s="2305"/>
    </row>
    <row r="347" spans="1:10">
      <c r="A347" s="2440" t="s">
        <v>305</v>
      </c>
      <c r="B347" s="2440" t="s">
        <v>241</v>
      </c>
      <c r="C347" s="3321">
        <v>3860</v>
      </c>
      <c r="D347" s="3321">
        <v>3820</v>
      </c>
      <c r="E347" s="3321">
        <v>4220</v>
      </c>
      <c r="F347" s="3321">
        <v>750</v>
      </c>
      <c r="G347" s="3321">
        <v>2280</v>
      </c>
      <c r="J347" s="2305"/>
    </row>
    <row r="348" spans="1:10">
      <c r="A348" s="2440" t="s">
        <v>305</v>
      </c>
      <c r="B348" s="2440" t="s">
        <v>2833</v>
      </c>
      <c r="C348" s="3321">
        <v>4000</v>
      </c>
      <c r="D348" s="3321">
        <v>3950</v>
      </c>
      <c r="E348" s="3321">
        <v>4430</v>
      </c>
      <c r="F348" s="3321">
        <v>760</v>
      </c>
      <c r="G348" s="3321">
        <v>2360</v>
      </c>
      <c r="J348" s="2305"/>
    </row>
    <row r="349" spans="1:10">
      <c r="A349" s="2440" t="s">
        <v>305</v>
      </c>
      <c r="B349" s="2440" t="s">
        <v>2838</v>
      </c>
      <c r="C349" s="3321">
        <v>3820</v>
      </c>
      <c r="D349" s="3321">
        <v>3780</v>
      </c>
      <c r="E349" s="3321">
        <v>4170</v>
      </c>
      <c r="F349" s="3321">
        <v>710</v>
      </c>
      <c r="G349" s="3321">
        <v>2260</v>
      </c>
      <c r="J349" s="2305"/>
    </row>
    <row r="350" spans="1:10">
      <c r="A350" s="2440" t="s">
        <v>305</v>
      </c>
      <c r="B350" s="2440" t="s">
        <v>3062</v>
      </c>
      <c r="C350" s="3321">
        <v>3760</v>
      </c>
      <c r="D350" s="3321">
        <v>3730</v>
      </c>
      <c r="E350" s="3321">
        <v>4100</v>
      </c>
      <c r="F350" s="3321">
        <v>800</v>
      </c>
      <c r="G350" s="3321">
        <v>2230</v>
      </c>
      <c r="J350" s="2305"/>
    </row>
    <row r="351" spans="1:10">
      <c r="A351" s="2440" t="s">
        <v>305</v>
      </c>
      <c r="B351" s="2440" t="s">
        <v>2846</v>
      </c>
      <c r="C351" s="3321">
        <v>3610</v>
      </c>
      <c r="D351" s="3321">
        <v>3580</v>
      </c>
      <c r="E351" s="3321">
        <v>3930</v>
      </c>
      <c r="F351" s="3321">
        <v>700</v>
      </c>
      <c r="G351" s="3321">
        <v>2140</v>
      </c>
      <c r="J351" s="2305"/>
    </row>
    <row r="352" spans="1:10">
      <c r="A352" s="2440" t="s">
        <v>305</v>
      </c>
      <c r="B352" s="2440" t="s">
        <v>2851</v>
      </c>
      <c r="C352" s="3321">
        <v>3670</v>
      </c>
      <c r="D352" s="3321">
        <v>3630</v>
      </c>
      <c r="E352" s="3321">
        <v>4000</v>
      </c>
      <c r="F352" s="3321">
        <v>750</v>
      </c>
      <c r="G352" s="3321">
        <v>2180</v>
      </c>
    </row>
    <row r="353" spans="1:7" s="2306" customFormat="1">
      <c r="A353" s="2440" t="s">
        <v>305</v>
      </c>
      <c r="B353" s="2440" t="s">
        <v>3063</v>
      </c>
      <c r="C353" s="3321">
        <v>3190</v>
      </c>
      <c r="D353" s="3321">
        <v>3150</v>
      </c>
      <c r="E353" s="3321">
        <v>3640</v>
      </c>
      <c r="F353" s="3321">
        <v>630</v>
      </c>
      <c r="G353" s="3321">
        <v>1890</v>
      </c>
    </row>
    <row r="354" spans="1:7" s="2306" customFormat="1">
      <c r="A354" s="2440" t="s">
        <v>305</v>
      </c>
      <c r="B354" s="2440" t="s">
        <v>278</v>
      </c>
      <c r="C354" s="3321">
        <v>3450</v>
      </c>
      <c r="D354" s="3321">
        <v>3420</v>
      </c>
      <c r="E354" s="3321">
        <v>3960</v>
      </c>
      <c r="F354" s="3321">
        <v>660</v>
      </c>
      <c r="G354" s="3321">
        <v>2050</v>
      </c>
    </row>
    <row r="355" spans="1:7" s="2306" customFormat="1">
      <c r="A355" s="2440" t="s">
        <v>305</v>
      </c>
      <c r="B355" s="2440" t="s">
        <v>2871</v>
      </c>
      <c r="C355" s="3321">
        <v>3650</v>
      </c>
      <c r="D355" s="3321">
        <v>3610</v>
      </c>
      <c r="E355" s="3321">
        <v>4200</v>
      </c>
      <c r="F355" s="3321">
        <v>640</v>
      </c>
      <c r="G355" s="3321">
        <v>2160</v>
      </c>
    </row>
    <row r="356" spans="1:7" s="2306" customFormat="1">
      <c r="A356" s="2440" t="s">
        <v>305</v>
      </c>
      <c r="B356" s="2440" t="s">
        <v>2878</v>
      </c>
      <c r="C356" s="3321">
        <v>3260</v>
      </c>
      <c r="D356" s="3321">
        <v>3230</v>
      </c>
      <c r="E356" s="3321">
        <v>3740</v>
      </c>
      <c r="F356" s="3321">
        <v>600</v>
      </c>
      <c r="G356" s="3321">
        <v>1930</v>
      </c>
    </row>
    <row r="357" spans="1:7" s="2306" customFormat="1" ht="12" thickBot="1">
      <c r="A357" s="2448" t="s">
        <v>305</v>
      </c>
      <c r="B357" s="2451" t="s">
        <v>3064</v>
      </c>
      <c r="C357" s="3323">
        <v>3690</v>
      </c>
      <c r="D357" s="3323">
        <v>3650</v>
      </c>
      <c r="E357" s="3323">
        <v>4020</v>
      </c>
      <c r="F357" s="3323">
        <v>700</v>
      </c>
      <c r="G357" s="3323">
        <v>2190</v>
      </c>
    </row>
    <row r="358" spans="1:7" s="2306" customFormat="1">
      <c r="A358" s="2445" t="s">
        <v>3065</v>
      </c>
      <c r="B358" s="2436" t="s">
        <v>3066</v>
      </c>
      <c r="C358" s="3320">
        <v>2080</v>
      </c>
      <c r="D358" s="3320">
        <v>2040</v>
      </c>
      <c r="E358" s="3320">
        <v>2010</v>
      </c>
      <c r="F358" s="3320">
        <v>530</v>
      </c>
      <c r="G358" s="3324">
        <v>1230</v>
      </c>
    </row>
    <row r="359" spans="1:7" s="2306" customFormat="1">
      <c r="A359" s="2440" t="s">
        <v>3065</v>
      </c>
      <c r="B359" s="2440" t="s">
        <v>3067</v>
      </c>
      <c r="C359" s="3321">
        <v>1850</v>
      </c>
      <c r="D359" s="3321">
        <v>1820</v>
      </c>
      <c r="E359" s="3321">
        <v>1780</v>
      </c>
      <c r="F359" s="3321">
        <v>520</v>
      </c>
      <c r="G359" s="3325">
        <v>1100</v>
      </c>
    </row>
    <row r="360" spans="1:7" s="2306" customFormat="1">
      <c r="A360" s="2440" t="s">
        <v>3065</v>
      </c>
      <c r="B360" s="2440" t="s">
        <v>3068</v>
      </c>
      <c r="C360" s="3321">
        <v>2020</v>
      </c>
      <c r="D360" s="3321">
        <v>1990</v>
      </c>
      <c r="E360" s="3321">
        <v>1950</v>
      </c>
      <c r="F360" s="3321">
        <v>500</v>
      </c>
      <c r="G360" s="3325">
        <v>1200</v>
      </c>
    </row>
    <row r="361" spans="1:7" s="2306" customFormat="1">
      <c r="A361" s="2440" t="s">
        <v>3065</v>
      </c>
      <c r="B361" s="2440" t="s">
        <v>151</v>
      </c>
      <c r="C361" s="3321">
        <v>2260</v>
      </c>
      <c r="D361" s="3321">
        <v>2220</v>
      </c>
      <c r="E361" s="3321">
        <v>2180</v>
      </c>
      <c r="F361" s="3321">
        <v>580</v>
      </c>
      <c r="G361" s="3325">
        <v>1340</v>
      </c>
    </row>
    <row r="362" spans="1:7" s="2306" customFormat="1">
      <c r="A362" s="2440" t="s">
        <v>3065</v>
      </c>
      <c r="B362" s="2440" t="s">
        <v>3069</v>
      </c>
      <c r="C362" s="3321">
        <v>2650</v>
      </c>
      <c r="D362" s="3321">
        <v>2610</v>
      </c>
      <c r="E362" s="3321">
        <v>2570</v>
      </c>
      <c r="F362" s="3321">
        <v>630</v>
      </c>
      <c r="G362" s="3325">
        <v>1570</v>
      </c>
    </row>
    <row r="363" spans="1:7" s="2306" customFormat="1">
      <c r="A363" s="2440" t="s">
        <v>3065</v>
      </c>
      <c r="B363" s="2440" t="s">
        <v>2790</v>
      </c>
      <c r="C363" s="3321">
        <v>2390</v>
      </c>
      <c r="D363" s="3321">
        <v>2360</v>
      </c>
      <c r="E363" s="3321">
        <v>2320</v>
      </c>
      <c r="F363" s="3321">
        <v>600</v>
      </c>
      <c r="G363" s="3325">
        <v>1420</v>
      </c>
    </row>
    <row r="364" spans="1:7" s="2306" customFormat="1">
      <c r="A364" s="2440" t="s">
        <v>3065</v>
      </c>
      <c r="B364" s="2440" t="s">
        <v>3070</v>
      </c>
      <c r="C364" s="3321">
        <v>2050</v>
      </c>
      <c r="D364" s="3321">
        <v>2030</v>
      </c>
      <c r="E364" s="3321">
        <v>1990</v>
      </c>
      <c r="F364" s="3321">
        <v>550</v>
      </c>
      <c r="G364" s="3325">
        <v>1220</v>
      </c>
    </row>
    <row r="365" spans="1:7" s="2306" customFormat="1">
      <c r="A365" s="2440" t="s">
        <v>3065</v>
      </c>
      <c r="B365" s="2440" t="s">
        <v>198</v>
      </c>
      <c r="C365" s="3321">
        <v>2140</v>
      </c>
      <c r="D365" s="3321">
        <v>2100</v>
      </c>
      <c r="E365" s="3321">
        <v>2060</v>
      </c>
      <c r="F365" s="3321">
        <v>540</v>
      </c>
      <c r="G365" s="3325">
        <v>1270</v>
      </c>
    </row>
    <row r="366" spans="1:7" s="2306" customFormat="1">
      <c r="A366" s="2440" t="s">
        <v>3065</v>
      </c>
      <c r="B366" s="2440" t="s">
        <v>2797</v>
      </c>
      <c r="C366" s="3321">
        <v>2410</v>
      </c>
      <c r="D366" s="3321">
        <v>2370</v>
      </c>
      <c r="E366" s="3321">
        <v>2330</v>
      </c>
      <c r="F366" s="3321">
        <v>570</v>
      </c>
      <c r="G366" s="3325">
        <v>1440</v>
      </c>
    </row>
    <row r="367" spans="1:7" s="2306" customFormat="1">
      <c r="A367" s="2440" t="s">
        <v>3065</v>
      </c>
      <c r="B367" s="2440" t="s">
        <v>3071</v>
      </c>
      <c r="C367" s="3321">
        <v>2300</v>
      </c>
      <c r="D367" s="3321">
        <v>2260</v>
      </c>
      <c r="E367" s="3321">
        <v>2220</v>
      </c>
      <c r="F367" s="3321">
        <v>560</v>
      </c>
      <c r="G367" s="3325">
        <v>1370</v>
      </c>
    </row>
    <row r="368" spans="1:7" s="2306" customFormat="1">
      <c r="A368" s="2440" t="s">
        <v>3065</v>
      </c>
      <c r="B368" s="2440" t="s">
        <v>3072</v>
      </c>
      <c r="C368" s="3321">
        <v>2430</v>
      </c>
      <c r="D368" s="3321">
        <v>2390</v>
      </c>
      <c r="E368" s="3321">
        <v>2350</v>
      </c>
      <c r="F368" s="3321">
        <v>570</v>
      </c>
      <c r="G368" s="3325">
        <v>1450</v>
      </c>
    </row>
    <row r="369" spans="1:7" s="2306" customFormat="1">
      <c r="A369" s="2440" t="s">
        <v>3065</v>
      </c>
      <c r="B369" s="2440" t="s">
        <v>212</v>
      </c>
      <c r="C369" s="3321">
        <v>2320</v>
      </c>
      <c r="D369" s="3321">
        <v>2290</v>
      </c>
      <c r="E369" s="3321">
        <v>2250</v>
      </c>
      <c r="F369" s="3321">
        <v>550</v>
      </c>
      <c r="G369" s="3325">
        <v>1380</v>
      </c>
    </row>
    <row r="370" spans="1:7" s="2306" customFormat="1">
      <c r="A370" s="2440" t="s">
        <v>3065</v>
      </c>
      <c r="B370" s="2440" t="s">
        <v>219</v>
      </c>
      <c r="C370" s="3321">
        <v>2190</v>
      </c>
      <c r="D370" s="3321">
        <v>2170</v>
      </c>
      <c r="E370" s="3321">
        <v>2130</v>
      </c>
      <c r="F370" s="3321">
        <v>530</v>
      </c>
      <c r="G370" s="3325">
        <v>1310</v>
      </c>
    </row>
    <row r="371" spans="1:7" s="2306" customFormat="1">
      <c r="A371" s="2440" t="s">
        <v>3065</v>
      </c>
      <c r="B371" s="2440" t="s">
        <v>227</v>
      </c>
      <c r="C371" s="3321">
        <v>2460</v>
      </c>
      <c r="D371" s="3321">
        <v>2420</v>
      </c>
      <c r="E371" s="3321">
        <v>2370</v>
      </c>
      <c r="F371" s="3321">
        <v>560</v>
      </c>
      <c r="G371" s="3325">
        <v>1470</v>
      </c>
    </row>
    <row r="372" spans="1:7" s="2306" customFormat="1">
      <c r="A372" s="2440" t="s">
        <v>3065</v>
      </c>
      <c r="B372" s="2440" t="s">
        <v>3073</v>
      </c>
      <c r="C372" s="3321">
        <v>2250</v>
      </c>
      <c r="D372" s="3321">
        <v>2210</v>
      </c>
      <c r="E372" s="3321">
        <v>2180</v>
      </c>
      <c r="F372" s="3321">
        <v>550</v>
      </c>
      <c r="G372" s="3325">
        <v>1340</v>
      </c>
    </row>
    <row r="373" spans="1:7" s="2306" customFormat="1">
      <c r="A373" s="2440" t="s">
        <v>3065</v>
      </c>
      <c r="B373" s="2440" t="s">
        <v>256</v>
      </c>
      <c r="C373" s="3321">
        <v>2210</v>
      </c>
      <c r="D373" s="3321">
        <v>2190</v>
      </c>
      <c r="E373" s="3321">
        <v>2150</v>
      </c>
      <c r="F373" s="3321">
        <v>530</v>
      </c>
      <c r="G373" s="3325">
        <v>1320</v>
      </c>
    </row>
    <row r="374" spans="1:7" s="2306" customFormat="1">
      <c r="A374" s="2440" t="s">
        <v>3065</v>
      </c>
      <c r="B374" s="2440" t="s">
        <v>264</v>
      </c>
      <c r="C374" s="3321">
        <v>2320</v>
      </c>
      <c r="D374" s="3321">
        <v>2280</v>
      </c>
      <c r="E374" s="3321">
        <v>2230</v>
      </c>
      <c r="F374" s="3321">
        <v>580</v>
      </c>
      <c r="G374" s="3325">
        <v>1380</v>
      </c>
    </row>
    <row r="375" spans="1:7" s="2306" customFormat="1">
      <c r="A375" s="2440" t="s">
        <v>3065</v>
      </c>
      <c r="B375" s="2440" t="s">
        <v>3074</v>
      </c>
      <c r="C375" s="3321">
        <v>2090</v>
      </c>
      <c r="D375" s="3321">
        <v>2050</v>
      </c>
      <c r="E375" s="3321">
        <v>2020</v>
      </c>
      <c r="F375" s="3321">
        <v>520</v>
      </c>
      <c r="G375" s="3325">
        <v>1240</v>
      </c>
    </row>
    <row r="376" spans="1:7" s="2306" customFormat="1">
      <c r="A376" s="2440" t="s">
        <v>3065</v>
      </c>
      <c r="B376" s="2440" t="s">
        <v>275</v>
      </c>
      <c r="C376" s="3321">
        <v>2010</v>
      </c>
      <c r="D376" s="3321">
        <v>1980</v>
      </c>
      <c r="E376" s="3321">
        <v>1940</v>
      </c>
      <c r="F376" s="3321">
        <v>540</v>
      </c>
      <c r="G376" s="3325">
        <v>1190</v>
      </c>
    </row>
    <row r="377" spans="1:7" s="2306" customFormat="1" ht="12" thickBot="1">
      <c r="A377" s="2448" t="s">
        <v>3065</v>
      </c>
      <c r="B377" s="2451" t="s">
        <v>2827</v>
      </c>
      <c r="C377" s="3323">
        <v>1930</v>
      </c>
      <c r="D377" s="3323">
        <v>1890</v>
      </c>
      <c r="E377" s="3323">
        <v>1860</v>
      </c>
      <c r="F377" s="3323">
        <v>530</v>
      </c>
      <c r="G377" s="3327">
        <v>1150</v>
      </c>
    </row>
    <row r="378" spans="1:7" s="2306" customFormat="1">
      <c r="A378" s="2453" t="s">
        <v>3075</v>
      </c>
      <c r="B378" s="2436" t="s">
        <v>3076</v>
      </c>
      <c r="C378" s="3320">
        <v>1520</v>
      </c>
      <c r="D378" s="3320">
        <v>1490</v>
      </c>
      <c r="E378" s="3320">
        <v>1460</v>
      </c>
      <c r="F378" s="3320">
        <v>460</v>
      </c>
      <c r="G378" s="3324">
        <v>940</v>
      </c>
    </row>
    <row r="379" spans="1:7" s="2306" customFormat="1">
      <c r="A379" s="2454" t="s">
        <v>3075</v>
      </c>
      <c r="B379" s="2440" t="s">
        <v>3077</v>
      </c>
      <c r="C379" s="3321">
        <v>1500</v>
      </c>
      <c r="D379" s="3321">
        <v>1470</v>
      </c>
      <c r="E379" s="3321">
        <v>1430</v>
      </c>
      <c r="F379" s="3321">
        <v>460</v>
      </c>
      <c r="G379" s="3325">
        <v>920</v>
      </c>
    </row>
    <row r="380" spans="1:7" s="2306" customFormat="1">
      <c r="A380" s="2454" t="s">
        <v>3075</v>
      </c>
      <c r="B380" s="2440" t="s">
        <v>3078</v>
      </c>
      <c r="C380" s="3321">
        <v>1620</v>
      </c>
      <c r="D380" s="3321">
        <v>1590</v>
      </c>
      <c r="E380" s="3321">
        <v>1560</v>
      </c>
      <c r="F380" s="3321">
        <v>480</v>
      </c>
      <c r="G380" s="3325">
        <v>1000</v>
      </c>
    </row>
    <row r="381" spans="1:7" s="2306" customFormat="1">
      <c r="A381" s="2454" t="s">
        <v>3075</v>
      </c>
      <c r="B381" s="2440" t="s">
        <v>3079</v>
      </c>
      <c r="C381" s="3321">
        <v>1460</v>
      </c>
      <c r="D381" s="3321">
        <v>1430</v>
      </c>
      <c r="E381" s="3321">
        <v>1390</v>
      </c>
      <c r="F381" s="3321">
        <v>450</v>
      </c>
      <c r="G381" s="3325">
        <v>900</v>
      </c>
    </row>
    <row r="382" spans="1:7" s="2306" customFormat="1">
      <c r="A382" s="2454" t="s">
        <v>3075</v>
      </c>
      <c r="B382" s="2440" t="s">
        <v>3080</v>
      </c>
      <c r="C382" s="3321">
        <v>1310</v>
      </c>
      <c r="D382" s="3321">
        <v>1280</v>
      </c>
      <c r="E382" s="3321">
        <v>1250</v>
      </c>
      <c r="F382" s="3321">
        <v>440</v>
      </c>
      <c r="G382" s="3325">
        <v>800</v>
      </c>
    </row>
    <row r="383" spans="1:7" s="2306" customFormat="1">
      <c r="A383" s="2454" t="s">
        <v>3075</v>
      </c>
      <c r="B383" s="2440" t="s">
        <v>3081</v>
      </c>
      <c r="C383" s="3321">
        <v>1260</v>
      </c>
      <c r="D383" s="3321">
        <v>1230</v>
      </c>
      <c r="E383" s="3321">
        <v>1200</v>
      </c>
      <c r="F383" s="3321">
        <v>420</v>
      </c>
      <c r="G383" s="3325">
        <v>770</v>
      </c>
    </row>
    <row r="384" spans="1:7" s="2306" customFormat="1" ht="12" thickBot="1">
      <c r="A384" s="2455" t="s">
        <v>3075</v>
      </c>
      <c r="B384" s="2447" t="s">
        <v>3082</v>
      </c>
      <c r="C384" s="3322">
        <v>1170</v>
      </c>
      <c r="D384" s="3322">
        <v>1140</v>
      </c>
      <c r="E384" s="3322">
        <v>1120</v>
      </c>
      <c r="F384" s="3322">
        <v>400</v>
      </c>
      <c r="G384" s="33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F26" sqref="F26"/>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46044</v>
      </c>
      <c r="D1" s="941" t="s">
        <v>597</v>
      </c>
      <c r="E1" s="3328">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9">
        <v>0</v>
      </c>
      <c r="D3" s="3332">
        <f ca="1">INDIRECT("d"&amp;$J$1)</f>
        <v>3</v>
      </c>
      <c r="E3" s="3333">
        <v>0.5</v>
      </c>
      <c r="F3" s="3334">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30">
        <v>0.5</v>
      </c>
      <c r="D4" s="3335">
        <f ca="1">INDIRECT("e"&amp;$J$1)</f>
        <v>3</v>
      </c>
      <c r="E4" s="3336">
        <v>1</v>
      </c>
      <c r="F4" s="3337">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30">
        <v>1</v>
      </c>
      <c r="D5" s="3335">
        <f ca="1">INDIRECT("f"&amp;$J$1)</f>
        <v>3</v>
      </c>
      <c r="E5" s="3336">
        <v>2</v>
      </c>
      <c r="F5" s="3337">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30">
        <v>3</v>
      </c>
      <c r="D6" s="3335">
        <f ca="1">INDIRECT("g"&amp;$J$1)</f>
        <v>3</v>
      </c>
      <c r="E6" s="3336">
        <v>3</v>
      </c>
      <c r="F6" s="3337">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1">
        <v>5</v>
      </c>
      <c r="D7" s="3338">
        <f ca="1">INDIRECT("h"&amp;$J$1)</f>
        <v>3.5</v>
      </c>
      <c r="E7" s="3339">
        <v>5</v>
      </c>
      <c r="F7" s="3340">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1">
        <v>3</v>
      </c>
      <c r="E13" s="3341">
        <v>3</v>
      </c>
      <c r="F13" s="3341">
        <f t="shared" ref="F13:F18" si="0">D13</f>
        <v>3</v>
      </c>
      <c r="G13" s="3341">
        <f t="shared" ref="G13:G18" si="1">D13</f>
        <v>3</v>
      </c>
      <c r="H13" s="3341">
        <v>3.5</v>
      </c>
      <c r="I13" s="3341"/>
      <c r="J13" s="3341"/>
      <c r="K13" s="925"/>
      <c r="L13" s="926" t="s">
        <v>626</v>
      </c>
      <c r="M13" s="927">
        <v>42301</v>
      </c>
      <c r="N13" s="3341">
        <v>0.35</v>
      </c>
      <c r="O13" s="3341">
        <v>1.1000000000000001</v>
      </c>
      <c r="P13" s="3341">
        <v>1.3</v>
      </c>
      <c r="Q13" s="3341">
        <v>1.5</v>
      </c>
      <c r="R13" s="3341">
        <v>2.1</v>
      </c>
      <c r="S13" s="3341">
        <v>2.75</v>
      </c>
      <c r="T13" s="3341"/>
      <c r="U13" s="3341"/>
      <c r="V13" s="3341"/>
      <c r="W13" s="3341"/>
      <c r="X13" s="3341"/>
      <c r="Y13" s="3341"/>
      <c r="Z13" s="3341"/>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2">
        <v>3.1</v>
      </c>
      <c r="E14" s="3342">
        <f>D14</f>
        <v>3.1</v>
      </c>
      <c r="F14" s="3342">
        <f t="shared" si="0"/>
        <v>3.1</v>
      </c>
      <c r="G14" s="3342">
        <f t="shared" si="1"/>
        <v>3.1</v>
      </c>
      <c r="H14" s="3342">
        <v>3.6</v>
      </c>
      <c r="I14" s="3341"/>
      <c r="J14" s="3341"/>
      <c r="K14" s="925"/>
      <c r="L14" s="930"/>
      <c r="M14" s="931">
        <v>42242</v>
      </c>
      <c r="N14" s="3342">
        <v>0.35</v>
      </c>
      <c r="O14" s="3342">
        <v>1.35</v>
      </c>
      <c r="P14" s="3342">
        <v>1.55</v>
      </c>
      <c r="Q14" s="3342">
        <v>1.75</v>
      </c>
      <c r="R14" s="3342">
        <v>2.35</v>
      </c>
      <c r="S14" s="3342">
        <v>3</v>
      </c>
      <c r="T14" s="3342"/>
      <c r="U14" s="3342"/>
      <c r="V14" s="3342"/>
      <c r="W14" s="3342"/>
      <c r="X14" s="3342"/>
      <c r="Y14" s="3342"/>
      <c r="Z14" s="3342"/>
    </row>
    <row r="15" spans="1:257" ht="14.25">
      <c r="A15" s="925"/>
      <c r="B15" s="926"/>
      <c r="C15" s="931">
        <v>45495</v>
      </c>
      <c r="D15" s="3342">
        <v>3.35</v>
      </c>
      <c r="E15" s="3342">
        <f>D15</f>
        <v>3.35</v>
      </c>
      <c r="F15" s="3342">
        <f t="shared" si="0"/>
        <v>3.35</v>
      </c>
      <c r="G15" s="3342">
        <f t="shared" si="1"/>
        <v>3.35</v>
      </c>
      <c r="H15" s="3342">
        <v>3.85</v>
      </c>
      <c r="I15" s="3341"/>
      <c r="J15" s="3341"/>
      <c r="K15" s="925"/>
      <c r="L15" s="930"/>
      <c r="M15" s="931">
        <v>42183</v>
      </c>
      <c r="N15" s="3342">
        <v>0.35</v>
      </c>
      <c r="O15" s="3342">
        <v>1.6</v>
      </c>
      <c r="P15" s="3342">
        <v>1.8</v>
      </c>
      <c r="Q15" s="3342">
        <v>2</v>
      </c>
      <c r="R15" s="3342">
        <v>2.6</v>
      </c>
      <c r="S15" s="3342">
        <v>3.25</v>
      </c>
      <c r="T15" s="3342"/>
      <c r="U15" s="3342"/>
      <c r="V15" s="3342"/>
      <c r="W15" s="3342"/>
      <c r="X15" s="3342"/>
      <c r="Y15" s="3342"/>
      <c r="Z15" s="3342"/>
    </row>
    <row r="16" spans="1:257" ht="14.25">
      <c r="A16" s="925"/>
      <c r="B16" s="926"/>
      <c r="C16" s="931">
        <v>45342</v>
      </c>
      <c r="D16" s="3342">
        <v>3.45</v>
      </c>
      <c r="E16" s="3342">
        <f>D16</f>
        <v>3.45</v>
      </c>
      <c r="F16" s="3342">
        <f t="shared" si="0"/>
        <v>3.45</v>
      </c>
      <c r="G16" s="3342">
        <f t="shared" si="1"/>
        <v>3.45</v>
      </c>
      <c r="H16" s="3342">
        <v>3.95</v>
      </c>
      <c r="I16" s="3341"/>
      <c r="J16" s="3341"/>
      <c r="K16" s="925"/>
      <c r="L16" s="930"/>
      <c r="M16" s="931">
        <v>42135</v>
      </c>
      <c r="N16" s="3342">
        <v>0.35</v>
      </c>
      <c r="O16" s="3342">
        <v>1.85</v>
      </c>
      <c r="P16" s="3342">
        <v>2.0499999999999998</v>
      </c>
      <c r="Q16" s="3342">
        <v>2.25</v>
      </c>
      <c r="R16" s="3342">
        <v>2.85</v>
      </c>
      <c r="S16" s="3342">
        <v>3.5</v>
      </c>
      <c r="T16" s="3342"/>
      <c r="U16" s="3342"/>
      <c r="V16" s="3342"/>
      <c r="W16" s="3342"/>
      <c r="X16" s="3342"/>
      <c r="Y16" s="3342"/>
      <c r="Z16" s="3342"/>
    </row>
    <row r="17" spans="1:256" ht="14.25">
      <c r="A17" s="925"/>
      <c r="B17" s="926"/>
      <c r="C17" s="931">
        <v>45159</v>
      </c>
      <c r="D17" s="3342">
        <v>3.45</v>
      </c>
      <c r="E17" s="3342">
        <f>D17</f>
        <v>3.45</v>
      </c>
      <c r="F17" s="3342">
        <f t="shared" si="0"/>
        <v>3.45</v>
      </c>
      <c r="G17" s="3342">
        <f t="shared" si="1"/>
        <v>3.45</v>
      </c>
      <c r="H17" s="3342">
        <v>4.2</v>
      </c>
      <c r="I17" s="3341"/>
      <c r="J17" s="3341"/>
      <c r="L17" s="930"/>
      <c r="M17" s="931">
        <v>42064</v>
      </c>
      <c r="N17" s="3342">
        <v>0.35</v>
      </c>
      <c r="O17" s="3342">
        <v>2.1</v>
      </c>
      <c r="P17" s="3342">
        <v>2.2999999999999998</v>
      </c>
      <c r="Q17" s="3342">
        <v>2.5</v>
      </c>
      <c r="R17" s="3342">
        <v>3.1</v>
      </c>
      <c r="S17" s="3342">
        <v>3.75</v>
      </c>
      <c r="T17" s="3342">
        <v>4.5</v>
      </c>
      <c r="U17" s="3342">
        <v>2.35</v>
      </c>
      <c r="V17" s="3342">
        <v>2.5499999999999998</v>
      </c>
      <c r="W17" s="3342">
        <v>2.75</v>
      </c>
      <c r="X17" s="3342"/>
      <c r="Y17" s="3342">
        <v>0.8</v>
      </c>
      <c r="Z17" s="3342">
        <v>1.35</v>
      </c>
    </row>
    <row r="18" spans="1:256" ht="15">
      <c r="A18" s="925"/>
      <c r="B18" s="926"/>
      <c r="C18" s="931">
        <v>45097</v>
      </c>
      <c r="D18" s="3342">
        <v>3.55</v>
      </c>
      <c r="E18" s="3342">
        <f>D18</f>
        <v>3.55</v>
      </c>
      <c r="F18" s="3342">
        <f t="shared" si="0"/>
        <v>3.55</v>
      </c>
      <c r="G18" s="3342">
        <f t="shared" si="1"/>
        <v>3.55</v>
      </c>
      <c r="H18" s="3342">
        <v>4.2</v>
      </c>
      <c r="I18" s="3341"/>
      <c r="J18" s="3341"/>
      <c r="L18" s="2155"/>
      <c r="M18" s="2154">
        <v>41965</v>
      </c>
      <c r="N18" s="3344">
        <v>0.35</v>
      </c>
      <c r="O18" s="3344">
        <v>2.35</v>
      </c>
      <c r="P18" s="3344">
        <v>2.5499999999999998</v>
      </c>
      <c r="Q18" s="3344">
        <v>2.75</v>
      </c>
      <c r="R18" s="3344">
        <v>3.35</v>
      </c>
      <c r="S18" s="3344">
        <v>4</v>
      </c>
      <c r="T18" s="3344">
        <v>4.75</v>
      </c>
      <c r="U18" s="3345">
        <v>2.35</v>
      </c>
      <c r="V18" s="3345">
        <v>2.5499999999999998</v>
      </c>
      <c r="W18" s="3345">
        <v>2.75</v>
      </c>
      <c r="X18" s="3344"/>
      <c r="Y18" s="3345">
        <v>0.8</v>
      </c>
      <c r="Z18" s="3345">
        <v>1.35</v>
      </c>
    </row>
    <row r="19" spans="1:256" s="2156" customFormat="1" ht="14.25">
      <c r="A19" s="925"/>
      <c r="B19" s="926"/>
      <c r="C19" s="931">
        <v>44795</v>
      </c>
      <c r="D19" s="3342">
        <v>3.65</v>
      </c>
      <c r="E19" s="3342">
        <v>3.65</v>
      </c>
      <c r="F19" s="3342">
        <v>3.65</v>
      </c>
      <c r="G19" s="3342">
        <v>3.65</v>
      </c>
      <c r="H19" s="3342">
        <v>4.3</v>
      </c>
      <c r="I19" s="3341"/>
      <c r="J19" s="3341"/>
      <c r="K19" s="897"/>
      <c r="L19" s="930"/>
      <c r="M19" s="931">
        <v>41096</v>
      </c>
      <c r="N19" s="3342">
        <v>0.35</v>
      </c>
      <c r="O19" s="3342">
        <v>2.6</v>
      </c>
      <c r="P19" s="3342">
        <v>2.8</v>
      </c>
      <c r="Q19" s="3342">
        <v>3</v>
      </c>
      <c r="R19" s="3342">
        <v>3.75</v>
      </c>
      <c r="S19" s="3342">
        <v>4.25</v>
      </c>
      <c r="T19" s="3342">
        <v>4.75</v>
      </c>
      <c r="U19" s="3342">
        <v>2.85</v>
      </c>
      <c r="V19" s="3342">
        <v>2.9</v>
      </c>
      <c r="W19" s="3342">
        <v>3</v>
      </c>
      <c r="X19" s="3342">
        <v>1.1499999999999999</v>
      </c>
      <c r="Y19" s="3342">
        <v>0.8</v>
      </c>
      <c r="Z19" s="3342">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2">
        <v>3.7</v>
      </c>
      <c r="E20" s="3342">
        <f>D20</f>
        <v>3.7</v>
      </c>
      <c r="F20" s="3342">
        <f>D20</f>
        <v>3.7</v>
      </c>
      <c r="G20" s="3342">
        <f>D20</f>
        <v>3.7</v>
      </c>
      <c r="H20" s="3342">
        <v>4.45</v>
      </c>
      <c r="I20" s="3341"/>
      <c r="J20" s="3341"/>
      <c r="L20" s="930"/>
      <c r="M20" s="931">
        <v>41068</v>
      </c>
      <c r="N20" s="3342">
        <v>0.4</v>
      </c>
      <c r="O20" s="3342">
        <v>2.85</v>
      </c>
      <c r="P20" s="3342">
        <v>3.05</v>
      </c>
      <c r="Q20" s="3342">
        <v>3.25</v>
      </c>
      <c r="R20" s="3342">
        <v>4.0999999999999996</v>
      </c>
      <c r="S20" s="3342">
        <v>4.6500000000000004</v>
      </c>
      <c r="T20" s="3342">
        <v>5.0999999999999996</v>
      </c>
      <c r="U20" s="3342">
        <v>3.1</v>
      </c>
      <c r="V20" s="3342">
        <v>3.15</v>
      </c>
      <c r="W20" s="3342">
        <v>3.25</v>
      </c>
      <c r="X20" s="3342">
        <v>1.31</v>
      </c>
      <c r="Y20" s="3342">
        <v>0.94</v>
      </c>
      <c r="Z20" s="3342">
        <v>1.49</v>
      </c>
    </row>
    <row r="21" spans="1:256" ht="14.25">
      <c r="A21" s="925"/>
      <c r="B21" s="926"/>
      <c r="C21" s="931">
        <v>44581</v>
      </c>
      <c r="D21" s="3342">
        <v>3.7</v>
      </c>
      <c r="E21" s="3342">
        <f>D21</f>
        <v>3.7</v>
      </c>
      <c r="F21" s="3342">
        <f>D21</f>
        <v>3.7</v>
      </c>
      <c r="G21" s="3342">
        <f>D21</f>
        <v>3.7</v>
      </c>
      <c r="H21" s="3342">
        <v>4.5999999999999996</v>
      </c>
      <c r="I21" s="3341"/>
      <c r="J21" s="3341"/>
      <c r="L21" s="930"/>
      <c r="M21" s="931">
        <v>40731</v>
      </c>
      <c r="N21" s="3342">
        <v>0.5</v>
      </c>
      <c r="O21" s="3342">
        <v>3.1</v>
      </c>
      <c r="P21" s="3342">
        <v>3.3</v>
      </c>
      <c r="Q21" s="3342">
        <v>3.5</v>
      </c>
      <c r="R21" s="3342">
        <v>4.4000000000000004</v>
      </c>
      <c r="S21" s="3342">
        <v>5</v>
      </c>
      <c r="T21" s="3342">
        <v>5.5</v>
      </c>
      <c r="U21" s="3342">
        <v>3.1</v>
      </c>
      <c r="V21" s="3342">
        <v>3.3</v>
      </c>
      <c r="W21" s="3342">
        <v>3.5</v>
      </c>
      <c r="X21" s="3342">
        <v>1.31</v>
      </c>
      <c r="Y21" s="3342">
        <v>0.95</v>
      </c>
      <c r="Z21" s="3342">
        <v>1.49</v>
      </c>
    </row>
    <row r="22" spans="1:256" ht="14.25">
      <c r="A22" s="925"/>
      <c r="B22" s="930"/>
      <c r="C22" s="931">
        <v>44550</v>
      </c>
      <c r="D22" s="3342">
        <v>3.8</v>
      </c>
      <c r="E22" s="3342">
        <f>D22</f>
        <v>3.8</v>
      </c>
      <c r="F22" s="3342">
        <f>D22</f>
        <v>3.8</v>
      </c>
      <c r="G22" s="3342">
        <f>D22</f>
        <v>3.8</v>
      </c>
      <c r="H22" s="3342">
        <v>4.6500000000000004</v>
      </c>
      <c r="I22" s="3342"/>
      <c r="J22" s="3341"/>
      <c r="K22" s="914"/>
      <c r="L22" s="930"/>
      <c r="M22" s="931">
        <v>40639</v>
      </c>
      <c r="N22" s="3342">
        <v>0.5</v>
      </c>
      <c r="O22" s="3342">
        <v>2.85</v>
      </c>
      <c r="P22" s="3342">
        <v>3.05</v>
      </c>
      <c r="Q22" s="3342">
        <v>3.25</v>
      </c>
      <c r="R22" s="3342">
        <v>4.1500000000000004</v>
      </c>
      <c r="S22" s="3342">
        <v>4.75</v>
      </c>
      <c r="T22" s="3342">
        <v>5.25</v>
      </c>
      <c r="U22" s="3342">
        <v>2.85</v>
      </c>
      <c r="V22" s="3342">
        <v>3.05</v>
      </c>
      <c r="W22" s="3342">
        <v>3.25</v>
      </c>
      <c r="X22" s="3342">
        <v>1.31</v>
      </c>
      <c r="Y22" s="3342">
        <v>0.95</v>
      </c>
      <c r="Z22" s="3342">
        <v>1.49</v>
      </c>
    </row>
    <row r="23" spans="1:256" ht="14.25">
      <c r="A23" s="2152"/>
      <c r="B23" s="930"/>
      <c r="C23" s="931">
        <v>43941</v>
      </c>
      <c r="D23" s="3342">
        <v>3.85</v>
      </c>
      <c r="E23" s="3342">
        <v>3.85</v>
      </c>
      <c r="F23" s="3342">
        <v>3.85</v>
      </c>
      <c r="G23" s="3342">
        <v>3.85</v>
      </c>
      <c r="H23" s="3342">
        <v>4.6500000000000004</v>
      </c>
      <c r="I23" s="3342"/>
      <c r="J23" s="3342"/>
      <c r="L23" s="930"/>
      <c r="M23" s="931">
        <v>40583</v>
      </c>
      <c r="N23" s="3342">
        <v>0.4</v>
      </c>
      <c r="O23" s="3342">
        <v>2.6</v>
      </c>
      <c r="P23" s="3342">
        <v>2.8</v>
      </c>
      <c r="Q23" s="3342">
        <v>3</v>
      </c>
      <c r="R23" s="3342">
        <v>3.9</v>
      </c>
      <c r="S23" s="3342">
        <v>4.5</v>
      </c>
      <c r="T23" s="3342">
        <v>5</v>
      </c>
      <c r="U23" s="3342">
        <v>2.6</v>
      </c>
      <c r="V23" s="3342">
        <v>2.8</v>
      </c>
      <c r="W23" s="3342">
        <v>3</v>
      </c>
      <c r="X23" s="3342">
        <v>1.21</v>
      </c>
      <c r="Y23" s="3342">
        <v>0.85</v>
      </c>
      <c r="Z23" s="3342">
        <v>1.39</v>
      </c>
    </row>
    <row r="24" spans="1:256">
      <c r="B24" s="930"/>
      <c r="C24" s="931">
        <v>43881</v>
      </c>
      <c r="D24" s="3342">
        <v>4.05</v>
      </c>
      <c r="E24" s="3342">
        <v>4.05</v>
      </c>
      <c r="F24" s="3342">
        <v>4.05</v>
      </c>
      <c r="G24" s="3342">
        <v>4.05</v>
      </c>
      <c r="H24" s="3342">
        <v>4.75</v>
      </c>
      <c r="I24" s="3342"/>
      <c r="J24" s="3342"/>
      <c r="L24" s="930"/>
      <c r="M24" s="931">
        <v>40538</v>
      </c>
      <c r="N24" s="3342">
        <v>0.36</v>
      </c>
      <c r="O24" s="3342">
        <v>2.25</v>
      </c>
      <c r="P24" s="3342">
        <v>2.5</v>
      </c>
      <c r="Q24" s="3342">
        <v>2.75</v>
      </c>
      <c r="R24" s="3342">
        <v>3.55</v>
      </c>
      <c r="S24" s="3342">
        <v>4.1500000000000004</v>
      </c>
      <c r="T24" s="3342">
        <v>4.55</v>
      </c>
      <c r="U24" s="3342">
        <v>2.16</v>
      </c>
      <c r="V24" s="3342">
        <v>2.5</v>
      </c>
      <c r="W24" s="3342">
        <v>2.85</v>
      </c>
      <c r="X24" s="3342">
        <v>1.17</v>
      </c>
      <c r="Y24" s="3342">
        <v>0.81</v>
      </c>
      <c r="Z24" s="3342">
        <v>1.35</v>
      </c>
    </row>
    <row r="25" spans="1:256">
      <c r="B25" s="930"/>
      <c r="C25" s="931">
        <v>43789</v>
      </c>
      <c r="D25" s="3342">
        <v>4.1500000000000004</v>
      </c>
      <c r="E25" s="3342">
        <v>4.1500000000000004</v>
      </c>
      <c r="F25" s="3342">
        <v>4.1500000000000004</v>
      </c>
      <c r="G25" s="3342">
        <v>4.1500000000000004</v>
      </c>
      <c r="H25" s="3342">
        <v>4.8</v>
      </c>
      <c r="I25" s="3342"/>
      <c r="J25" s="3342"/>
      <c r="L25" s="930"/>
      <c r="M25" s="931">
        <v>40471</v>
      </c>
      <c r="N25" s="3342">
        <v>0.36</v>
      </c>
      <c r="O25" s="3342">
        <v>1.91</v>
      </c>
      <c r="P25" s="3342">
        <v>2.2000000000000002</v>
      </c>
      <c r="Q25" s="3342">
        <v>2.5</v>
      </c>
      <c r="R25" s="3342">
        <v>3.25</v>
      </c>
      <c r="S25" s="3342">
        <v>3.85</v>
      </c>
      <c r="T25" s="3342">
        <v>4.2</v>
      </c>
      <c r="U25" s="3342">
        <v>1.91</v>
      </c>
      <c r="V25" s="3342">
        <v>2.2000000000000002</v>
      </c>
      <c r="W25" s="3342">
        <v>2.5</v>
      </c>
      <c r="X25" s="3342">
        <v>1.17</v>
      </c>
      <c r="Y25" s="3342">
        <v>0.81</v>
      </c>
      <c r="Z25" s="3342">
        <v>1.35</v>
      </c>
    </row>
    <row r="26" spans="1:256">
      <c r="B26" s="930"/>
      <c r="C26" s="931">
        <v>43728</v>
      </c>
      <c r="D26" s="3342">
        <v>4.2</v>
      </c>
      <c r="E26" s="3342">
        <v>4.2</v>
      </c>
      <c r="F26" s="3342">
        <v>4.2</v>
      </c>
      <c r="G26" s="3342">
        <v>4.2</v>
      </c>
      <c r="H26" s="3342">
        <v>4.8499999999999996</v>
      </c>
      <c r="I26" s="3342"/>
      <c r="J26" s="3342"/>
      <c r="L26" s="930"/>
      <c r="M26" s="931">
        <v>39805</v>
      </c>
      <c r="N26" s="3342">
        <v>0.36</v>
      </c>
      <c r="O26" s="3342">
        <v>1.71</v>
      </c>
      <c r="P26" s="3342">
        <v>1.98</v>
      </c>
      <c r="Q26" s="3342">
        <v>2.25</v>
      </c>
      <c r="R26" s="3342">
        <v>2.79</v>
      </c>
      <c r="S26" s="3342">
        <v>3.33</v>
      </c>
      <c r="T26" s="3342">
        <v>3.6</v>
      </c>
      <c r="U26" s="3342">
        <v>1.71</v>
      </c>
      <c r="V26" s="3342">
        <v>1.98</v>
      </c>
      <c r="W26" s="3342">
        <v>2.25</v>
      </c>
      <c r="X26" s="3342">
        <v>1.17</v>
      </c>
      <c r="Y26" s="3342">
        <v>0.81</v>
      </c>
      <c r="Z26" s="3342">
        <v>1.35</v>
      </c>
    </row>
    <row r="27" spans="1:256" ht="14.25">
      <c r="B27" s="926" t="s">
        <v>2216</v>
      </c>
      <c r="C27" s="932">
        <v>43697</v>
      </c>
      <c r="D27" s="3343">
        <v>4.25</v>
      </c>
      <c r="E27" s="3343">
        <v>4.25</v>
      </c>
      <c r="F27" s="3343">
        <v>4.25</v>
      </c>
      <c r="G27" s="3343">
        <v>4.25</v>
      </c>
      <c r="H27" s="3343">
        <v>4.8499999999999996</v>
      </c>
      <c r="I27" s="3343"/>
      <c r="J27" s="3343"/>
      <c r="L27" s="930"/>
      <c r="M27" s="931">
        <v>39779</v>
      </c>
      <c r="N27" s="3342">
        <v>0.36</v>
      </c>
      <c r="O27" s="3342">
        <v>1.98</v>
      </c>
      <c r="P27" s="3342">
        <v>2.25</v>
      </c>
      <c r="Q27" s="3342">
        <v>2.52</v>
      </c>
      <c r="R27" s="3342">
        <v>3.06</v>
      </c>
      <c r="S27" s="3342">
        <v>3.6</v>
      </c>
      <c r="T27" s="3342">
        <v>3.87</v>
      </c>
      <c r="U27" s="3342">
        <v>1.98</v>
      </c>
      <c r="V27" s="3342">
        <v>2.25</v>
      </c>
      <c r="W27" s="3342">
        <v>2.52</v>
      </c>
      <c r="X27" s="3342">
        <v>1.17</v>
      </c>
      <c r="Y27" s="3342">
        <v>0.81</v>
      </c>
      <c r="Z27" s="3342">
        <v>1.35</v>
      </c>
    </row>
    <row r="28" spans="1:256" ht="14.25">
      <c r="B28" s="2153"/>
      <c r="C28" s="2154">
        <v>42301</v>
      </c>
      <c r="D28" s="3344">
        <v>4.3499999999999996</v>
      </c>
      <c r="E28" s="3344">
        <v>4.3499999999999996</v>
      </c>
      <c r="F28" s="3344">
        <v>4.75</v>
      </c>
      <c r="G28" s="3344">
        <v>4.75</v>
      </c>
      <c r="H28" s="3344">
        <v>4.9000000000000004</v>
      </c>
      <c r="I28" s="3344"/>
      <c r="J28" s="3344"/>
      <c r="L28" s="930"/>
      <c r="M28" s="931">
        <v>39751</v>
      </c>
      <c r="N28" s="3342">
        <v>0.72</v>
      </c>
      <c r="O28" s="3342">
        <v>2.88</v>
      </c>
      <c r="P28" s="3342">
        <v>3.24</v>
      </c>
      <c r="Q28" s="3342">
        <v>3.6</v>
      </c>
      <c r="R28" s="3342">
        <v>4.1399999999999997</v>
      </c>
      <c r="S28" s="3342">
        <v>4.7699999999999996</v>
      </c>
      <c r="T28" s="3342">
        <v>5.13</v>
      </c>
      <c r="U28" s="3342">
        <v>2.88</v>
      </c>
      <c r="V28" s="3342">
        <v>3.24</v>
      </c>
      <c r="W28" s="3342">
        <v>3.6</v>
      </c>
      <c r="X28" s="3342">
        <v>1.53</v>
      </c>
      <c r="Y28" s="3342">
        <v>1.17</v>
      </c>
      <c r="Z28" s="3342">
        <v>1.71</v>
      </c>
    </row>
    <row r="29" spans="1:256">
      <c r="B29" s="930"/>
      <c r="C29" s="931">
        <v>42242</v>
      </c>
      <c r="D29" s="3342">
        <v>4.5999999999999996</v>
      </c>
      <c r="E29" s="3342">
        <v>4.5999999999999996</v>
      </c>
      <c r="F29" s="3342">
        <v>5</v>
      </c>
      <c r="G29" s="3342">
        <v>5</v>
      </c>
      <c r="H29" s="3342">
        <v>5.15</v>
      </c>
      <c r="I29" s="3342">
        <v>2.75</v>
      </c>
      <c r="J29" s="3342">
        <v>3.25</v>
      </c>
      <c r="L29" s="930"/>
      <c r="M29" s="932">
        <v>39736</v>
      </c>
      <c r="N29" s="3342">
        <v>0.72</v>
      </c>
      <c r="O29" s="3342">
        <v>3.15</v>
      </c>
      <c r="P29" s="3342">
        <v>3.51</v>
      </c>
      <c r="Q29" s="3342">
        <v>3.87</v>
      </c>
      <c r="R29" s="3342">
        <v>4.41</v>
      </c>
      <c r="S29" s="3342">
        <v>5.13</v>
      </c>
      <c r="T29" s="3342">
        <v>5.58</v>
      </c>
      <c r="U29" s="3342">
        <v>3.15</v>
      </c>
      <c r="V29" s="3342">
        <v>3.51</v>
      </c>
      <c r="W29" s="3342">
        <v>3.87</v>
      </c>
      <c r="X29" s="3342">
        <v>1.53</v>
      </c>
      <c r="Y29" s="3342">
        <v>1.17</v>
      </c>
      <c r="Z29" s="3342">
        <v>1.71</v>
      </c>
    </row>
    <row r="30" spans="1:256">
      <c r="B30" s="930"/>
      <c r="C30" s="931">
        <v>42183</v>
      </c>
      <c r="D30" s="3342">
        <v>4.8499999999999996</v>
      </c>
      <c r="E30" s="3342">
        <v>4.8499999999999996</v>
      </c>
      <c r="F30" s="3342">
        <v>5.25</v>
      </c>
      <c r="G30" s="3342">
        <v>5.25</v>
      </c>
      <c r="H30" s="3342">
        <v>5.4</v>
      </c>
      <c r="I30" s="3342">
        <v>3</v>
      </c>
      <c r="J30" s="3342">
        <v>3.5</v>
      </c>
      <c r="L30" s="930"/>
      <c r="M30" s="931">
        <v>39730</v>
      </c>
      <c r="N30" s="3342">
        <v>0.72</v>
      </c>
      <c r="O30" s="3342">
        <v>3.15</v>
      </c>
      <c r="P30" s="3342">
        <v>3.51</v>
      </c>
      <c r="Q30" s="3342">
        <v>3.87</v>
      </c>
      <c r="R30" s="3342">
        <v>4.41</v>
      </c>
      <c r="S30" s="3342">
        <v>5.13</v>
      </c>
      <c r="T30" s="3342">
        <v>5.58</v>
      </c>
      <c r="U30" s="3342">
        <v>3.15</v>
      </c>
      <c r="V30" s="3342">
        <v>3.51</v>
      </c>
      <c r="W30" s="3342">
        <v>3.87</v>
      </c>
      <c r="X30" s="3342">
        <v>1.53</v>
      </c>
      <c r="Y30" s="3342">
        <v>1.17</v>
      </c>
      <c r="Z30" s="3342">
        <v>1.71</v>
      </c>
    </row>
    <row r="31" spans="1:256">
      <c r="B31" s="930"/>
      <c r="C31" s="931">
        <v>42135</v>
      </c>
      <c r="D31" s="3342">
        <v>5.0999999999999996</v>
      </c>
      <c r="E31" s="3342">
        <v>5.0999999999999996</v>
      </c>
      <c r="F31" s="3342">
        <v>5.5</v>
      </c>
      <c r="G31" s="3342">
        <v>5.5</v>
      </c>
      <c r="H31" s="3342">
        <v>5.65</v>
      </c>
      <c r="I31" s="3342">
        <v>3.25</v>
      </c>
      <c r="J31" s="3342">
        <v>3.75</v>
      </c>
      <c r="L31" s="930"/>
      <c r="M31" s="931">
        <v>39437</v>
      </c>
      <c r="N31" s="3342">
        <v>0.72</v>
      </c>
      <c r="O31" s="3342">
        <v>3.33</v>
      </c>
      <c r="P31" s="3342">
        <v>3.78</v>
      </c>
      <c r="Q31" s="3342">
        <v>4.1399999999999997</v>
      </c>
      <c r="R31" s="3342">
        <v>4.68</v>
      </c>
      <c r="S31" s="3342">
        <v>5.4</v>
      </c>
      <c r="T31" s="3342">
        <v>5.85</v>
      </c>
      <c r="U31" s="3342">
        <v>3.33</v>
      </c>
      <c r="V31" s="3342">
        <v>3.78</v>
      </c>
      <c r="W31" s="3342">
        <v>4.1399999999999997</v>
      </c>
      <c r="X31" s="3342">
        <v>1.53</v>
      </c>
      <c r="Y31" s="3342">
        <v>1.17</v>
      </c>
      <c r="Z31" s="3342">
        <v>1.71</v>
      </c>
    </row>
    <row r="32" spans="1:256">
      <c r="B32" s="930"/>
      <c r="C32" s="931">
        <v>42064</v>
      </c>
      <c r="D32" s="3342">
        <v>5.35</v>
      </c>
      <c r="E32" s="3342">
        <v>5.35</v>
      </c>
      <c r="F32" s="3342">
        <v>5.75</v>
      </c>
      <c r="G32" s="3342">
        <v>5.75</v>
      </c>
      <c r="H32" s="3342">
        <v>5.9</v>
      </c>
      <c r="I32" s="3342"/>
      <c r="J32" s="3342"/>
      <c r="L32" s="930"/>
      <c r="M32" s="931">
        <v>39340</v>
      </c>
      <c r="N32" s="3342">
        <v>0.81</v>
      </c>
      <c r="O32" s="3342">
        <v>2.88</v>
      </c>
      <c r="P32" s="3342">
        <v>3.42</v>
      </c>
      <c r="Q32" s="3342">
        <v>3.87</v>
      </c>
      <c r="R32" s="3342">
        <v>4.5</v>
      </c>
      <c r="S32" s="3342">
        <v>5.22</v>
      </c>
      <c r="T32" s="3342">
        <v>5.76</v>
      </c>
      <c r="U32" s="3342">
        <v>2.88</v>
      </c>
      <c r="V32" s="3342">
        <v>3.42</v>
      </c>
      <c r="W32" s="3342">
        <v>3.87</v>
      </c>
      <c r="X32" s="3342">
        <v>1.53</v>
      </c>
      <c r="Y32" s="3342">
        <v>1.17</v>
      </c>
      <c r="Z32" s="3342">
        <v>1.71</v>
      </c>
    </row>
    <row r="33" spans="2:26">
      <c r="B33" s="930"/>
      <c r="C33" s="931">
        <v>41965</v>
      </c>
      <c r="D33" s="3342">
        <v>5.6</v>
      </c>
      <c r="E33" s="3342">
        <v>5.6</v>
      </c>
      <c r="F33" s="3342">
        <v>6</v>
      </c>
      <c r="G33" s="3342">
        <v>6</v>
      </c>
      <c r="H33" s="3342">
        <v>6.15</v>
      </c>
      <c r="I33" s="3342"/>
      <c r="J33" s="3342"/>
      <c r="L33" s="930"/>
      <c r="M33" s="931">
        <v>39316</v>
      </c>
      <c r="N33" s="3342">
        <v>0.81</v>
      </c>
      <c r="O33" s="3342">
        <v>2.61</v>
      </c>
      <c r="P33" s="3342">
        <v>3.15</v>
      </c>
      <c r="Q33" s="3342">
        <v>3.6</v>
      </c>
      <c r="R33" s="3342">
        <v>4.2300000000000004</v>
      </c>
      <c r="S33" s="3342">
        <v>4.95</v>
      </c>
      <c r="T33" s="3342">
        <v>5.49</v>
      </c>
      <c r="U33" s="3342">
        <v>2.61</v>
      </c>
      <c r="V33" s="3342">
        <v>3.15</v>
      </c>
      <c r="W33" s="3342">
        <v>3.6</v>
      </c>
      <c r="X33" s="3342">
        <v>1.53</v>
      </c>
      <c r="Y33" s="3342">
        <v>1.17</v>
      </c>
      <c r="Z33" s="3342">
        <v>1.71</v>
      </c>
    </row>
    <row r="34" spans="2:26">
      <c r="B34" s="930"/>
      <c r="C34" s="931">
        <v>41096</v>
      </c>
      <c r="D34" s="3342">
        <v>5.6</v>
      </c>
      <c r="E34" s="3342">
        <v>6</v>
      </c>
      <c r="F34" s="3342">
        <v>6.15</v>
      </c>
      <c r="G34" s="3342">
        <v>6.4</v>
      </c>
      <c r="H34" s="3342">
        <v>6.55</v>
      </c>
      <c r="I34" s="3342">
        <v>4</v>
      </c>
      <c r="J34" s="3342">
        <v>4.5</v>
      </c>
      <c r="L34" s="930"/>
      <c r="M34" s="931">
        <v>39284</v>
      </c>
      <c r="N34" s="3342">
        <v>0.81</v>
      </c>
      <c r="O34" s="3342">
        <v>2.34</v>
      </c>
      <c r="P34" s="3342">
        <v>2.88</v>
      </c>
      <c r="Q34" s="3342">
        <v>3.33</v>
      </c>
      <c r="R34" s="3342">
        <v>3.96</v>
      </c>
      <c r="S34" s="3342">
        <v>4.68</v>
      </c>
      <c r="T34" s="3342">
        <v>5.22</v>
      </c>
      <c r="U34" s="3342">
        <v>2.34</v>
      </c>
      <c r="V34" s="3342">
        <v>2.88</v>
      </c>
      <c r="W34" s="3342">
        <v>3.33</v>
      </c>
      <c r="X34" s="3342">
        <v>1.53</v>
      </c>
      <c r="Y34" s="3342">
        <v>1.17</v>
      </c>
      <c r="Z34" s="3342">
        <v>1.71</v>
      </c>
    </row>
    <row r="35" spans="2:26">
      <c r="B35" s="930"/>
      <c r="C35" s="931">
        <v>41068</v>
      </c>
      <c r="D35" s="3342">
        <v>5.85</v>
      </c>
      <c r="E35" s="3342">
        <v>6.31</v>
      </c>
      <c r="F35" s="3342">
        <v>6.4</v>
      </c>
      <c r="G35" s="3342">
        <v>6.65</v>
      </c>
      <c r="H35" s="3342">
        <v>6.8</v>
      </c>
      <c r="I35" s="3342">
        <v>4.2</v>
      </c>
      <c r="J35" s="3342">
        <v>4.7</v>
      </c>
      <c r="L35" s="930"/>
      <c r="M35" s="931">
        <v>39221</v>
      </c>
      <c r="N35" s="3342">
        <v>0.72</v>
      </c>
      <c r="O35" s="3342">
        <v>2.0699999999999998</v>
      </c>
      <c r="P35" s="3342">
        <v>2.61</v>
      </c>
      <c r="Q35" s="3342">
        <v>3.06</v>
      </c>
      <c r="R35" s="3342">
        <v>3.69</v>
      </c>
      <c r="S35" s="3342">
        <v>4.41</v>
      </c>
      <c r="T35" s="3342">
        <v>4.95</v>
      </c>
      <c r="U35" s="3342">
        <v>2.0699999999999998</v>
      </c>
      <c r="V35" s="3342">
        <v>2.61</v>
      </c>
      <c r="W35" s="3342">
        <v>3.06</v>
      </c>
      <c r="X35" s="3342">
        <v>1.44</v>
      </c>
      <c r="Y35" s="3342">
        <v>1.08</v>
      </c>
      <c r="Z35" s="3342">
        <v>1.62</v>
      </c>
    </row>
    <row r="36" spans="2:26">
      <c r="B36" s="930"/>
      <c r="C36" s="931">
        <v>40731</v>
      </c>
      <c r="D36" s="3342">
        <v>6.1</v>
      </c>
      <c r="E36" s="3342">
        <v>6.56</v>
      </c>
      <c r="F36" s="3342">
        <v>6.65</v>
      </c>
      <c r="G36" s="3342">
        <v>6.9</v>
      </c>
      <c r="H36" s="3342">
        <v>7.05</v>
      </c>
      <c r="I36" s="3342">
        <v>4.45</v>
      </c>
      <c r="J36" s="3342">
        <v>4.9000000000000004</v>
      </c>
      <c r="L36" s="930"/>
      <c r="M36" s="931">
        <v>39159</v>
      </c>
      <c r="N36" s="3342">
        <v>0.72</v>
      </c>
      <c r="O36" s="3342">
        <v>1.98</v>
      </c>
      <c r="P36" s="3342">
        <v>2.4300000000000002</v>
      </c>
      <c r="Q36" s="3342">
        <v>2.79</v>
      </c>
      <c r="R36" s="3342">
        <v>3.33</v>
      </c>
      <c r="S36" s="3342">
        <v>3.96</v>
      </c>
      <c r="T36" s="3342">
        <v>4.41</v>
      </c>
      <c r="U36" s="3342">
        <v>1.98</v>
      </c>
      <c r="V36" s="3342">
        <v>2.4300000000000002</v>
      </c>
      <c r="W36" s="3342">
        <v>2.79</v>
      </c>
      <c r="X36" s="3342">
        <v>1.44</v>
      </c>
      <c r="Y36" s="3342">
        <v>1.08</v>
      </c>
      <c r="Z36" s="3342">
        <v>1.62</v>
      </c>
    </row>
    <row r="37" spans="2:26">
      <c r="B37" s="930"/>
      <c r="C37" s="931">
        <v>40639</v>
      </c>
      <c r="D37" s="3342">
        <v>5.85</v>
      </c>
      <c r="E37" s="3342">
        <v>6.31</v>
      </c>
      <c r="F37" s="3342">
        <v>6.4</v>
      </c>
      <c r="G37" s="3342">
        <v>6.65</v>
      </c>
      <c r="H37" s="3342">
        <v>6.8</v>
      </c>
      <c r="I37" s="3342">
        <v>4.2</v>
      </c>
      <c r="J37" s="3342">
        <v>4.7</v>
      </c>
      <c r="L37" s="930"/>
      <c r="M37" s="931">
        <v>38948</v>
      </c>
      <c r="N37" s="3342">
        <v>0.72</v>
      </c>
      <c r="O37" s="3342">
        <v>1.8</v>
      </c>
      <c r="P37" s="3342">
        <v>2.25</v>
      </c>
      <c r="Q37" s="3342">
        <v>2.52</v>
      </c>
      <c r="R37" s="3342">
        <v>3.06</v>
      </c>
      <c r="S37" s="3342">
        <v>3.69</v>
      </c>
      <c r="T37" s="3342">
        <v>4.1399999999999997</v>
      </c>
      <c r="U37" s="3342">
        <v>1.8</v>
      </c>
      <c r="V37" s="3342">
        <v>2.25</v>
      </c>
      <c r="W37" s="3342">
        <v>2.52</v>
      </c>
      <c r="X37" s="3342">
        <v>1.44</v>
      </c>
      <c r="Y37" s="3342">
        <v>1.08</v>
      </c>
      <c r="Z37" s="3342">
        <v>1.62</v>
      </c>
    </row>
    <row r="38" spans="2:26">
      <c r="B38" s="930"/>
      <c r="C38" s="931">
        <v>40583</v>
      </c>
      <c r="D38" s="3342">
        <v>5.6</v>
      </c>
      <c r="E38" s="3342">
        <v>6.06</v>
      </c>
      <c r="F38" s="3342">
        <v>6.1</v>
      </c>
      <c r="G38" s="3342">
        <v>6.45</v>
      </c>
      <c r="H38" s="3342">
        <v>6.6</v>
      </c>
      <c r="I38" s="3342">
        <v>4</v>
      </c>
      <c r="J38" s="3342">
        <v>4.5</v>
      </c>
      <c r="L38" s="930"/>
      <c r="M38" s="931">
        <v>38289</v>
      </c>
      <c r="N38" s="3342">
        <v>0.72</v>
      </c>
      <c r="O38" s="3342">
        <v>1.71</v>
      </c>
      <c r="P38" s="3342">
        <v>2.0699999999999998</v>
      </c>
      <c r="Q38" s="3342">
        <v>2.25</v>
      </c>
      <c r="R38" s="3342">
        <v>2.7</v>
      </c>
      <c r="S38" s="3342">
        <v>3.24</v>
      </c>
      <c r="T38" s="3342">
        <v>3.6</v>
      </c>
      <c r="U38" s="3342">
        <v>1.71</v>
      </c>
      <c r="V38" s="3342">
        <v>2.0699999999999998</v>
      </c>
      <c r="W38" s="3342">
        <v>2.25</v>
      </c>
      <c r="X38" s="3342">
        <v>1.44</v>
      </c>
      <c r="Y38" s="3342">
        <v>1.08</v>
      </c>
      <c r="Z38" s="3342">
        <v>1.62</v>
      </c>
    </row>
    <row r="39" spans="2:26">
      <c r="B39" s="930"/>
      <c r="C39" s="931">
        <v>40538</v>
      </c>
      <c r="D39" s="3342">
        <v>5.35</v>
      </c>
      <c r="E39" s="3342">
        <v>5.81</v>
      </c>
      <c r="F39" s="3342">
        <v>5.85</v>
      </c>
      <c r="G39" s="3342">
        <v>6.22</v>
      </c>
      <c r="H39" s="3342">
        <v>6.4</v>
      </c>
      <c r="I39" s="3342">
        <v>3.75</v>
      </c>
      <c r="J39" s="3342">
        <v>4.3</v>
      </c>
      <c r="L39" s="930"/>
      <c r="M39" s="931">
        <v>37308</v>
      </c>
      <c r="N39" s="3342">
        <v>0.72</v>
      </c>
      <c r="O39" s="3342">
        <v>1.71</v>
      </c>
      <c r="P39" s="3342">
        <v>1.89</v>
      </c>
      <c r="Q39" s="3342">
        <v>1.98</v>
      </c>
      <c r="R39" s="3342">
        <v>2.25</v>
      </c>
      <c r="S39" s="3342">
        <v>2.52</v>
      </c>
      <c r="T39" s="3342">
        <v>2.79</v>
      </c>
      <c r="U39" s="3342">
        <v>1.71</v>
      </c>
      <c r="V39" s="3342">
        <v>1.89</v>
      </c>
      <c r="W39" s="3342">
        <v>1.98</v>
      </c>
      <c r="X39" s="3342">
        <v>1.44</v>
      </c>
      <c r="Y39" s="3342">
        <v>1.08</v>
      </c>
      <c r="Z39" s="3342">
        <v>1.62</v>
      </c>
    </row>
    <row r="40" spans="2:26">
      <c r="B40" s="930"/>
      <c r="C40" s="931">
        <v>40471</v>
      </c>
      <c r="D40" s="3342">
        <v>5.0999999999999996</v>
      </c>
      <c r="E40" s="3342">
        <v>5.56</v>
      </c>
      <c r="F40" s="3342">
        <v>5.6</v>
      </c>
      <c r="G40" s="3342">
        <v>5.96</v>
      </c>
      <c r="H40" s="3342">
        <v>6.14</v>
      </c>
      <c r="I40" s="3342">
        <v>3.5</v>
      </c>
      <c r="J40" s="3342">
        <v>4.05</v>
      </c>
      <c r="L40" s="930"/>
      <c r="M40" s="931">
        <v>36321</v>
      </c>
      <c r="N40" s="3342">
        <v>0.99</v>
      </c>
      <c r="O40" s="3342">
        <v>1.98</v>
      </c>
      <c r="P40" s="3342">
        <v>2.16</v>
      </c>
      <c r="Q40" s="3342">
        <v>2.25</v>
      </c>
      <c r="R40" s="3342">
        <v>2.4300000000000002</v>
      </c>
      <c r="S40" s="3342">
        <v>2.7</v>
      </c>
      <c r="T40" s="3342">
        <v>2.88</v>
      </c>
      <c r="U40" s="3342">
        <v>1.98</v>
      </c>
      <c r="V40" s="3342">
        <v>2.16</v>
      </c>
      <c r="W40" s="3342">
        <v>2.25</v>
      </c>
      <c r="X40" s="3342">
        <v>1.71</v>
      </c>
      <c r="Y40" s="3342">
        <v>1.35</v>
      </c>
      <c r="Z40" s="3342">
        <v>1.89</v>
      </c>
    </row>
    <row r="41" spans="2:26">
      <c r="B41" s="930"/>
      <c r="C41" s="931">
        <v>39805</v>
      </c>
      <c r="D41" s="3342">
        <v>4.8600000000000003</v>
      </c>
      <c r="E41" s="3342">
        <v>5.31</v>
      </c>
      <c r="F41" s="3342">
        <v>5.4</v>
      </c>
      <c r="G41" s="3342">
        <v>5.76</v>
      </c>
      <c r="H41" s="3342">
        <v>5.94</v>
      </c>
      <c r="I41" s="3342">
        <v>3.33</v>
      </c>
      <c r="J41" s="3342">
        <v>3.87</v>
      </c>
      <c r="L41" s="930"/>
      <c r="M41" s="931">
        <v>36136</v>
      </c>
      <c r="N41" s="3342">
        <v>1.44</v>
      </c>
      <c r="O41" s="3342">
        <v>2.79</v>
      </c>
      <c r="P41" s="3342">
        <v>3.33</v>
      </c>
      <c r="Q41" s="3342">
        <v>3.78</v>
      </c>
      <c r="R41" s="3342">
        <v>3.96</v>
      </c>
      <c r="S41" s="3342">
        <v>4.1399999999999997</v>
      </c>
      <c r="T41" s="3342">
        <v>4.5</v>
      </c>
      <c r="U41" s="3342">
        <v>3.33</v>
      </c>
      <c r="V41" s="3342">
        <v>3.78</v>
      </c>
      <c r="W41" s="3342">
        <v>4.1399999999999997</v>
      </c>
      <c r="X41" s="3342">
        <v>2.16</v>
      </c>
      <c r="Y41" s="3342">
        <v>1.8</v>
      </c>
      <c r="Z41" s="3342">
        <v>2.34</v>
      </c>
    </row>
    <row r="42" spans="2:26">
      <c r="B42" s="930"/>
      <c r="C42" s="931">
        <v>39779</v>
      </c>
      <c r="D42" s="3342">
        <v>5.04</v>
      </c>
      <c r="E42" s="3342">
        <v>5.58</v>
      </c>
      <c r="F42" s="3342">
        <v>5.67</v>
      </c>
      <c r="G42" s="3342">
        <v>5.94</v>
      </c>
      <c r="H42" s="3342">
        <v>6.12</v>
      </c>
      <c r="I42" s="3342">
        <v>3.51</v>
      </c>
      <c r="J42" s="3342">
        <v>4.05</v>
      </c>
      <c r="L42" s="930"/>
      <c r="M42" s="931">
        <v>35977</v>
      </c>
      <c r="N42" s="3342">
        <v>1.44</v>
      </c>
      <c r="O42" s="3342">
        <v>2.79</v>
      </c>
      <c r="P42" s="3342">
        <v>3.96</v>
      </c>
      <c r="Q42" s="3342">
        <v>4.7699999999999996</v>
      </c>
      <c r="R42" s="3342">
        <v>4.8600000000000003</v>
      </c>
      <c r="S42" s="3342">
        <v>4.95</v>
      </c>
      <c r="T42" s="3342">
        <v>5.22</v>
      </c>
      <c r="U42" s="3342">
        <v>3.96</v>
      </c>
      <c r="V42" s="3342">
        <v>4.7699999999999996</v>
      </c>
      <c r="W42" s="3342">
        <v>4.95</v>
      </c>
      <c r="X42" s="3342" t="s">
        <v>627</v>
      </c>
      <c r="Y42" s="3342" t="s">
        <v>627</v>
      </c>
      <c r="Z42" s="3342" t="s">
        <v>627</v>
      </c>
    </row>
    <row r="43" spans="2:26">
      <c r="B43" s="930"/>
      <c r="C43" s="931">
        <v>39751</v>
      </c>
      <c r="D43" s="3342">
        <v>6.03</v>
      </c>
      <c r="E43" s="3342">
        <v>6.66</v>
      </c>
      <c r="F43" s="3342">
        <v>6.75</v>
      </c>
      <c r="G43" s="3342">
        <v>7.02</v>
      </c>
      <c r="H43" s="3342">
        <v>7.2</v>
      </c>
      <c r="I43" s="3342">
        <v>4.05</v>
      </c>
      <c r="J43" s="3342">
        <v>4.59</v>
      </c>
      <c r="L43" s="930"/>
      <c r="M43" s="931">
        <v>35879</v>
      </c>
      <c r="N43" s="3342">
        <v>1.71</v>
      </c>
      <c r="O43" s="3342">
        <v>2.88</v>
      </c>
      <c r="P43" s="3342">
        <v>4.1399999999999997</v>
      </c>
      <c r="Q43" s="3342">
        <v>5.22</v>
      </c>
      <c r="R43" s="3342">
        <v>5.58</v>
      </c>
      <c r="S43" s="3342">
        <v>6.21</v>
      </c>
      <c r="T43" s="3342">
        <v>6.66</v>
      </c>
      <c r="U43" s="3342">
        <v>4.1399999999999997</v>
      </c>
      <c r="V43" s="3342">
        <v>5.22</v>
      </c>
      <c r="W43" s="3342">
        <v>6.21</v>
      </c>
      <c r="X43" s="3342" t="s">
        <v>627</v>
      </c>
      <c r="Y43" s="3342" t="s">
        <v>627</v>
      </c>
      <c r="Z43" s="3342" t="s">
        <v>627</v>
      </c>
    </row>
    <row r="44" spans="2:26">
      <c r="B44" s="930"/>
      <c r="C44" s="932">
        <v>39748</v>
      </c>
      <c r="D44" s="3342">
        <v>6.12</v>
      </c>
      <c r="E44" s="3342">
        <v>6.93</v>
      </c>
      <c r="F44" s="3342">
        <v>7.02</v>
      </c>
      <c r="G44" s="3342">
        <v>7.29</v>
      </c>
      <c r="H44" s="3342">
        <v>7.47</v>
      </c>
      <c r="I44" s="3342">
        <v>4.05</v>
      </c>
      <c r="J44" s="3342">
        <v>4.59</v>
      </c>
      <c r="L44" s="930"/>
      <c r="M44" s="931">
        <v>35726</v>
      </c>
      <c r="N44" s="3342">
        <v>1.71</v>
      </c>
      <c r="O44" s="3342">
        <v>2.88</v>
      </c>
      <c r="P44" s="3342">
        <v>4.1399999999999997</v>
      </c>
      <c r="Q44" s="3342">
        <v>5.67</v>
      </c>
      <c r="R44" s="3342">
        <v>5.94</v>
      </c>
      <c r="S44" s="3342">
        <v>6.21</v>
      </c>
      <c r="T44" s="3342">
        <v>6.66</v>
      </c>
      <c r="U44" s="3342">
        <v>4.1399999999999997</v>
      </c>
      <c r="V44" s="3342">
        <v>5.67</v>
      </c>
      <c r="W44" s="3342">
        <v>6.21</v>
      </c>
      <c r="X44" s="3342" t="s">
        <v>627</v>
      </c>
      <c r="Y44" s="3342" t="s">
        <v>627</v>
      </c>
      <c r="Z44" s="3342" t="s">
        <v>627</v>
      </c>
    </row>
    <row r="45" spans="2:26">
      <c r="B45" s="930"/>
      <c r="C45" s="931">
        <v>39730</v>
      </c>
      <c r="D45" s="3342">
        <v>6.12</v>
      </c>
      <c r="E45" s="3342">
        <v>6.93</v>
      </c>
      <c r="F45" s="3342">
        <v>7.02</v>
      </c>
      <c r="G45" s="3342">
        <v>7.29</v>
      </c>
      <c r="H45" s="3342">
        <v>7.47</v>
      </c>
      <c r="I45" s="3342">
        <v>4.32</v>
      </c>
      <c r="J45" s="3342">
        <v>4.8600000000000003</v>
      </c>
      <c r="L45" s="930"/>
      <c r="M45" s="931">
        <v>35300</v>
      </c>
      <c r="N45" s="3342">
        <v>1.98</v>
      </c>
      <c r="O45" s="3342">
        <v>3.33</v>
      </c>
      <c r="P45" s="3342">
        <v>5.4</v>
      </c>
      <c r="Q45" s="3342">
        <v>7.47</v>
      </c>
      <c r="R45" s="3342">
        <v>7.92</v>
      </c>
      <c r="S45" s="3342">
        <v>8.2799999999999994</v>
      </c>
      <c r="T45" s="3342">
        <v>9</v>
      </c>
      <c r="U45" s="3342">
        <v>5.4</v>
      </c>
      <c r="V45" s="3342">
        <v>7.47</v>
      </c>
      <c r="W45" s="3342">
        <v>8.2799999999999994</v>
      </c>
      <c r="X45" s="3342" t="s">
        <v>627</v>
      </c>
      <c r="Y45" s="3342" t="s">
        <v>627</v>
      </c>
      <c r="Z45" s="3342" t="s">
        <v>627</v>
      </c>
    </row>
    <row r="46" spans="2:26">
      <c r="B46" s="930"/>
      <c r="C46" s="931">
        <v>39707</v>
      </c>
      <c r="D46" s="3342">
        <v>6.21</v>
      </c>
      <c r="E46" s="3342">
        <v>7.2</v>
      </c>
      <c r="F46" s="3342">
        <v>7.29</v>
      </c>
      <c r="G46" s="3342">
        <v>7.56</v>
      </c>
      <c r="H46" s="3342">
        <v>7.74</v>
      </c>
      <c r="I46" s="3342">
        <v>4.59</v>
      </c>
      <c r="J46" s="3342">
        <v>5.13</v>
      </c>
      <c r="L46" s="930"/>
      <c r="M46" s="931">
        <v>35186</v>
      </c>
      <c r="N46" s="3342">
        <v>2.97</v>
      </c>
      <c r="O46" s="3342">
        <v>4.8600000000000003</v>
      </c>
      <c r="P46" s="3342">
        <v>7.2</v>
      </c>
      <c r="Q46" s="3342">
        <v>9.18</v>
      </c>
      <c r="R46" s="3342">
        <v>9.9</v>
      </c>
      <c r="S46" s="3342">
        <v>10.8</v>
      </c>
      <c r="T46" s="3342">
        <v>12.06</v>
      </c>
      <c r="U46" s="3342">
        <v>7.2</v>
      </c>
      <c r="V46" s="3342">
        <v>9.18</v>
      </c>
      <c r="W46" s="3342">
        <v>10.8</v>
      </c>
      <c r="X46" s="3342" t="s">
        <v>627</v>
      </c>
      <c r="Y46" s="3342" t="s">
        <v>627</v>
      </c>
      <c r="Z46" s="3342" t="s">
        <v>627</v>
      </c>
    </row>
    <row r="47" spans="2:26">
      <c r="B47" s="930"/>
      <c r="C47" s="931">
        <v>39437</v>
      </c>
      <c r="D47" s="3342">
        <v>6.57</v>
      </c>
      <c r="E47" s="3342">
        <v>7.47</v>
      </c>
      <c r="F47" s="3342">
        <v>7.56</v>
      </c>
      <c r="G47" s="3342">
        <v>7.74</v>
      </c>
      <c r="H47" s="3342">
        <v>7.83</v>
      </c>
      <c r="I47" s="3342">
        <v>4.7699999999999996</v>
      </c>
      <c r="J47" s="3342">
        <v>5.22</v>
      </c>
      <c r="L47" s="930"/>
      <c r="M47" s="931">
        <v>34161</v>
      </c>
      <c r="N47" s="3342">
        <v>3.15</v>
      </c>
      <c r="O47" s="3342">
        <v>6.66</v>
      </c>
      <c r="P47" s="3342">
        <v>9</v>
      </c>
      <c r="Q47" s="3342">
        <v>10.98</v>
      </c>
      <c r="R47" s="3342">
        <v>11.7</v>
      </c>
      <c r="S47" s="3342">
        <v>12.24</v>
      </c>
      <c r="T47" s="3342">
        <v>13.86</v>
      </c>
      <c r="U47" s="3342">
        <v>9</v>
      </c>
      <c r="V47" s="3342">
        <v>10.98</v>
      </c>
      <c r="W47" s="3342">
        <v>12.24</v>
      </c>
      <c r="X47" s="3342" t="s">
        <v>627</v>
      </c>
      <c r="Y47" s="3342" t="s">
        <v>627</v>
      </c>
      <c r="Z47" s="3342" t="s">
        <v>627</v>
      </c>
    </row>
    <row r="48" spans="2:26">
      <c r="B48" s="930"/>
      <c r="C48" s="931">
        <v>39340</v>
      </c>
      <c r="D48" s="3342">
        <v>6.48</v>
      </c>
      <c r="E48" s="3342">
        <v>7.29</v>
      </c>
      <c r="F48" s="3342">
        <v>7.47</v>
      </c>
      <c r="G48" s="3342">
        <v>7.65</v>
      </c>
      <c r="H48" s="3342">
        <v>7.83</v>
      </c>
      <c r="I48" s="3342">
        <v>4.7699999999999996</v>
      </c>
      <c r="J48" s="3342">
        <v>5.22</v>
      </c>
      <c r="L48" s="930"/>
      <c r="M48" s="931">
        <v>34104</v>
      </c>
      <c r="N48" s="3342">
        <v>2.16</v>
      </c>
      <c r="O48" s="3342">
        <v>4.8600000000000003</v>
      </c>
      <c r="P48" s="3342">
        <v>7.2</v>
      </c>
      <c r="Q48" s="3342">
        <v>9.18</v>
      </c>
      <c r="R48" s="3342">
        <v>9.9</v>
      </c>
      <c r="S48" s="3342">
        <v>10.8</v>
      </c>
      <c r="T48" s="3342">
        <v>12.06</v>
      </c>
      <c r="U48" s="3342">
        <v>7.2</v>
      </c>
      <c r="V48" s="3342">
        <v>9.18</v>
      </c>
      <c r="W48" s="3342">
        <v>10.8</v>
      </c>
      <c r="X48" s="3342" t="s">
        <v>627</v>
      </c>
      <c r="Y48" s="3342" t="s">
        <v>627</v>
      </c>
      <c r="Z48" s="3342" t="s">
        <v>627</v>
      </c>
    </row>
    <row r="49" spans="2:26">
      <c r="B49" s="930"/>
      <c r="C49" s="931">
        <v>39316</v>
      </c>
      <c r="D49" s="3342">
        <v>6.21</v>
      </c>
      <c r="E49" s="3342">
        <v>7.02</v>
      </c>
      <c r="F49" s="3342">
        <v>7.2</v>
      </c>
      <c r="G49" s="3342">
        <v>7.38</v>
      </c>
      <c r="H49" s="3342">
        <v>7.56</v>
      </c>
      <c r="I49" s="3342">
        <v>4.59</v>
      </c>
      <c r="J49" s="3342">
        <v>5.04</v>
      </c>
      <c r="L49" s="930"/>
      <c r="M49" s="931">
        <v>33349</v>
      </c>
      <c r="N49" s="3342">
        <v>1.8</v>
      </c>
      <c r="O49" s="3342">
        <v>3.24</v>
      </c>
      <c r="P49" s="3342">
        <v>5.4</v>
      </c>
      <c r="Q49" s="3342">
        <v>7.56</v>
      </c>
      <c r="R49" s="3342">
        <v>7.92</v>
      </c>
      <c r="S49" s="3342">
        <v>8.2799999999999994</v>
      </c>
      <c r="T49" s="3342">
        <v>9</v>
      </c>
      <c r="U49" s="3342">
        <v>6.12</v>
      </c>
      <c r="V49" s="3342">
        <v>6.84</v>
      </c>
      <c r="W49" s="3342">
        <v>7.56</v>
      </c>
      <c r="X49" s="3342" t="s">
        <v>627</v>
      </c>
      <c r="Y49" s="3342" t="s">
        <v>627</v>
      </c>
      <c r="Z49" s="3342" t="s">
        <v>627</v>
      </c>
    </row>
    <row r="50" spans="2:26">
      <c r="B50" s="930"/>
      <c r="C50" s="931">
        <v>39284</v>
      </c>
      <c r="D50" s="3342">
        <v>6.03</v>
      </c>
      <c r="E50" s="3342">
        <v>6.84</v>
      </c>
      <c r="F50" s="3342">
        <v>7.02</v>
      </c>
      <c r="G50" s="3342">
        <v>7.2</v>
      </c>
      <c r="H50" s="3342">
        <v>7.38</v>
      </c>
      <c r="I50" s="3342">
        <v>4.5</v>
      </c>
      <c r="J50" s="3342">
        <v>4.95</v>
      </c>
      <c r="L50" s="930"/>
      <c r="M50" s="931">
        <v>33106</v>
      </c>
      <c r="N50" s="3342">
        <v>2.16</v>
      </c>
      <c r="O50" s="3342">
        <v>4.32</v>
      </c>
      <c r="P50" s="3342">
        <v>6.48</v>
      </c>
      <c r="Q50" s="3342">
        <v>8.64</v>
      </c>
      <c r="R50" s="3342">
        <v>9.36</v>
      </c>
      <c r="S50" s="3342">
        <v>10.08</v>
      </c>
      <c r="T50" s="3342">
        <v>11.52</v>
      </c>
      <c r="U50" s="3342">
        <v>7.2</v>
      </c>
      <c r="V50" s="3342">
        <v>8.64</v>
      </c>
      <c r="W50" s="3342">
        <v>10.08</v>
      </c>
      <c r="X50" s="3342" t="s">
        <v>627</v>
      </c>
      <c r="Y50" s="3342" t="s">
        <v>627</v>
      </c>
      <c r="Z50" s="3342" t="s">
        <v>627</v>
      </c>
    </row>
    <row r="51" spans="2:26">
      <c r="B51" s="930"/>
      <c r="C51" s="931">
        <v>39221</v>
      </c>
      <c r="D51" s="3342">
        <v>5.85</v>
      </c>
      <c r="E51" s="3342">
        <v>6.57</v>
      </c>
      <c r="F51" s="3342">
        <v>6.75</v>
      </c>
      <c r="G51" s="3342">
        <v>6.93</v>
      </c>
      <c r="H51" s="3342">
        <v>7.2</v>
      </c>
      <c r="I51" s="3342">
        <v>4.41</v>
      </c>
      <c r="J51" s="3342">
        <v>4.8600000000000003</v>
      </c>
      <c r="L51" s="930"/>
      <c r="M51" s="931">
        <v>32978</v>
      </c>
      <c r="N51" s="3342">
        <v>2.88</v>
      </c>
      <c r="O51" s="3342">
        <v>6.3</v>
      </c>
      <c r="P51" s="3342">
        <v>7.74</v>
      </c>
      <c r="Q51" s="3342">
        <v>10.08</v>
      </c>
      <c r="R51" s="3342">
        <v>10.98</v>
      </c>
      <c r="S51" s="3342">
        <v>11.88</v>
      </c>
      <c r="T51" s="3342">
        <v>13.68</v>
      </c>
      <c r="U51" s="3342" t="s">
        <v>627</v>
      </c>
      <c r="V51" s="3342" t="s">
        <v>627</v>
      </c>
      <c r="W51" s="3342" t="s">
        <v>627</v>
      </c>
      <c r="X51" s="3342" t="s">
        <v>627</v>
      </c>
      <c r="Y51" s="3342" t="s">
        <v>627</v>
      </c>
      <c r="Z51" s="3342" t="s">
        <v>627</v>
      </c>
    </row>
    <row r="52" spans="2:26">
      <c r="B52" s="930"/>
      <c r="C52" s="931">
        <v>39159</v>
      </c>
      <c r="D52" s="3342">
        <v>5.67</v>
      </c>
      <c r="E52" s="3342">
        <v>6.39</v>
      </c>
      <c r="F52" s="3342">
        <v>6.57</v>
      </c>
      <c r="G52" s="3342">
        <v>6.75</v>
      </c>
      <c r="H52" s="3342">
        <v>7.11</v>
      </c>
      <c r="I52" s="3342">
        <v>4.32</v>
      </c>
      <c r="J52" s="3342">
        <v>4.7699999999999996</v>
      </c>
      <c r="L52" s="930"/>
      <c r="M52" s="931"/>
      <c r="N52" s="3342"/>
      <c r="O52" s="3342"/>
      <c r="P52" s="3342"/>
      <c r="Q52" s="3342"/>
      <c r="R52" s="3342"/>
      <c r="S52" s="3342"/>
      <c r="T52" s="3342"/>
      <c r="U52" s="3342"/>
      <c r="V52" s="3342"/>
      <c r="W52" s="3342"/>
      <c r="X52" s="3342"/>
      <c r="Y52" s="3342"/>
      <c r="Z52" s="3342"/>
    </row>
    <row r="53" spans="2:26">
      <c r="B53" s="930"/>
      <c r="C53" s="931">
        <v>38948</v>
      </c>
      <c r="D53" s="3342">
        <v>5.58</v>
      </c>
      <c r="E53" s="3342">
        <v>6.12</v>
      </c>
      <c r="F53" s="3342">
        <v>6.3</v>
      </c>
      <c r="G53" s="3342">
        <v>6.48</v>
      </c>
      <c r="H53" s="3342">
        <v>6.84</v>
      </c>
      <c r="I53" s="3342">
        <v>4.1399999999999997</v>
      </c>
      <c r="J53" s="3342">
        <v>4.59</v>
      </c>
      <c r="L53" s="930"/>
      <c r="M53" s="931"/>
      <c r="N53" s="3342"/>
      <c r="O53" s="3342"/>
      <c r="P53" s="3342"/>
      <c r="Q53" s="3342"/>
      <c r="R53" s="3342"/>
      <c r="S53" s="3342"/>
      <c r="T53" s="3342"/>
      <c r="U53" s="3342"/>
      <c r="V53" s="3342"/>
      <c r="W53" s="3342"/>
      <c r="X53" s="3342"/>
      <c r="Y53" s="3342"/>
      <c r="Z53" s="3342"/>
    </row>
    <row r="54" spans="2:26">
      <c r="B54" s="930"/>
      <c r="C54" s="931">
        <v>38835</v>
      </c>
      <c r="D54" s="3342">
        <v>5.4</v>
      </c>
      <c r="E54" s="3342">
        <v>5.85</v>
      </c>
      <c r="F54" s="3342">
        <v>6.03</v>
      </c>
      <c r="G54" s="3342">
        <v>6.12</v>
      </c>
      <c r="H54" s="3342">
        <v>6.39</v>
      </c>
      <c r="I54" s="3342">
        <v>4.1399999999999997</v>
      </c>
      <c r="J54" s="3342">
        <v>4.59</v>
      </c>
      <c r="L54" s="930"/>
      <c r="M54" s="931"/>
      <c r="N54" s="3342"/>
      <c r="O54" s="3342"/>
      <c r="P54" s="3342"/>
      <c r="Q54" s="3342"/>
      <c r="R54" s="3342"/>
      <c r="S54" s="3342"/>
      <c r="T54" s="3342"/>
      <c r="U54" s="3342"/>
      <c r="V54" s="3342"/>
      <c r="W54" s="3342"/>
      <c r="X54" s="3342"/>
      <c r="Y54" s="3342"/>
      <c r="Z54" s="3342"/>
    </row>
    <row r="55" spans="2:26">
      <c r="B55" s="930"/>
      <c r="C55" s="931">
        <v>38428</v>
      </c>
      <c r="D55" s="3342">
        <v>5.22</v>
      </c>
      <c r="E55" s="3342">
        <v>5.58</v>
      </c>
      <c r="F55" s="3342">
        <v>5.76</v>
      </c>
      <c r="G55" s="3342">
        <v>5.85</v>
      </c>
      <c r="H55" s="3342">
        <v>6.12</v>
      </c>
      <c r="I55" s="3342">
        <v>3.96</v>
      </c>
      <c r="J55" s="3342">
        <v>4.41</v>
      </c>
      <c r="L55" s="930"/>
      <c r="M55" s="931"/>
      <c r="N55" s="3342"/>
      <c r="O55" s="3342"/>
      <c r="P55" s="3342"/>
      <c r="Q55" s="3342"/>
      <c r="R55" s="3342"/>
      <c r="S55" s="3342"/>
      <c r="T55" s="3342"/>
      <c r="U55" s="3342"/>
      <c r="V55" s="3342"/>
      <c r="W55" s="3342"/>
      <c r="X55" s="3342"/>
      <c r="Y55" s="3342"/>
      <c r="Z55" s="3342"/>
    </row>
    <row r="56" spans="2:26">
      <c r="B56" s="930"/>
      <c r="C56" s="931">
        <v>38289</v>
      </c>
      <c r="D56" s="3342">
        <v>5.22</v>
      </c>
      <c r="E56" s="3342">
        <v>5.58</v>
      </c>
      <c r="F56" s="3342">
        <v>5.76</v>
      </c>
      <c r="G56" s="3342">
        <v>5.85</v>
      </c>
      <c r="H56" s="3342">
        <v>6.12</v>
      </c>
      <c r="I56" s="3342">
        <v>3.78</v>
      </c>
      <c r="J56" s="3342">
        <v>4.2300000000000004</v>
      </c>
      <c r="L56" s="930"/>
      <c r="M56" s="931"/>
      <c r="N56" s="3342"/>
      <c r="O56" s="3342"/>
      <c r="P56" s="3342"/>
      <c r="Q56" s="3342"/>
      <c r="R56" s="3342"/>
      <c r="S56" s="3342"/>
      <c r="T56" s="3342"/>
      <c r="U56" s="3342"/>
      <c r="V56" s="3342"/>
      <c r="W56" s="3342"/>
      <c r="X56" s="3342"/>
      <c r="Y56" s="3342"/>
      <c r="Z56" s="3342"/>
    </row>
    <row r="57" spans="2:26">
      <c r="B57" s="930"/>
      <c r="C57" s="931">
        <v>37308</v>
      </c>
      <c r="D57" s="3342">
        <v>5.04</v>
      </c>
      <c r="E57" s="3342">
        <v>5.31</v>
      </c>
      <c r="F57" s="3342">
        <v>5.49</v>
      </c>
      <c r="G57" s="3342">
        <v>5.58</v>
      </c>
      <c r="H57" s="3342">
        <v>5.76</v>
      </c>
      <c r="I57" s="3342">
        <v>3.6</v>
      </c>
      <c r="J57" s="3342">
        <v>4.05</v>
      </c>
      <c r="L57" s="930"/>
      <c r="M57" s="931"/>
      <c r="N57" s="3342"/>
      <c r="O57" s="3342"/>
      <c r="P57" s="3342"/>
      <c r="Q57" s="3342"/>
      <c r="R57" s="3342"/>
      <c r="S57" s="3342"/>
      <c r="T57" s="3342"/>
      <c r="U57" s="3342"/>
      <c r="V57" s="3342"/>
      <c r="W57" s="3342"/>
      <c r="X57" s="3342"/>
      <c r="Y57" s="3342"/>
      <c r="Z57" s="3342"/>
    </row>
    <row r="58" spans="2:26">
      <c r="B58" s="930"/>
      <c r="C58" s="931">
        <v>36321</v>
      </c>
      <c r="D58" s="3342">
        <v>5.58</v>
      </c>
      <c r="E58" s="3342">
        <v>5.85</v>
      </c>
      <c r="F58" s="3342">
        <v>5.94</v>
      </c>
      <c r="G58" s="3342">
        <v>6.03</v>
      </c>
      <c r="H58" s="3342">
        <v>6.21</v>
      </c>
      <c r="I58" s="3342">
        <v>4.1399999999999997</v>
      </c>
      <c r="J58" s="3342">
        <v>4.59</v>
      </c>
    </row>
    <row r="59" spans="2:26">
      <c r="B59" s="930"/>
      <c r="C59" s="931">
        <v>36136</v>
      </c>
      <c r="D59" s="3342">
        <v>6.12</v>
      </c>
      <c r="E59" s="3342">
        <v>6.39</v>
      </c>
      <c r="F59" s="3342">
        <v>6.66</v>
      </c>
      <c r="G59" s="3342">
        <v>7.2</v>
      </c>
      <c r="H59" s="3342">
        <v>7.56</v>
      </c>
      <c r="I59" s="3342">
        <v>0</v>
      </c>
      <c r="J59" s="3342">
        <v>0</v>
      </c>
    </row>
    <row r="60" spans="2:26">
      <c r="B60" s="930"/>
      <c r="C60" s="931">
        <v>35977</v>
      </c>
      <c r="D60" s="3342">
        <v>6.57</v>
      </c>
      <c r="E60" s="3342">
        <v>6.93</v>
      </c>
      <c r="F60" s="3342">
        <v>7.11</v>
      </c>
      <c r="G60" s="3342">
        <v>7.65</v>
      </c>
      <c r="H60" s="3342">
        <v>8.01</v>
      </c>
      <c r="I60" s="3342">
        <v>0</v>
      </c>
      <c r="J60" s="3342">
        <v>0</v>
      </c>
    </row>
    <row r="61" spans="2:26">
      <c r="B61" s="930"/>
      <c r="C61" s="931">
        <v>35879</v>
      </c>
      <c r="D61" s="3342">
        <v>7.02</v>
      </c>
      <c r="E61" s="3342">
        <v>7.92</v>
      </c>
      <c r="F61" s="3342">
        <v>9</v>
      </c>
      <c r="G61" s="3342">
        <v>9.7200000000000006</v>
      </c>
      <c r="H61" s="3342">
        <v>10.35</v>
      </c>
      <c r="I61" s="3342">
        <v>0</v>
      </c>
      <c r="J61" s="3342">
        <v>0</v>
      </c>
    </row>
    <row r="62" spans="2:26">
      <c r="B62" s="930"/>
      <c r="C62" s="931">
        <v>35726</v>
      </c>
      <c r="D62" s="3342">
        <v>7.65</v>
      </c>
      <c r="E62" s="3342">
        <v>8.64</v>
      </c>
      <c r="F62" s="3342">
        <v>9.36</v>
      </c>
      <c r="G62" s="3342">
        <v>9.9</v>
      </c>
      <c r="H62" s="3342">
        <v>10.53</v>
      </c>
      <c r="I62" s="3342">
        <v>0</v>
      </c>
      <c r="J62" s="3342">
        <v>0</v>
      </c>
    </row>
    <row r="63" spans="2:26">
      <c r="B63" s="930"/>
      <c r="C63" s="931">
        <v>35300</v>
      </c>
      <c r="D63" s="3342">
        <v>9.18</v>
      </c>
      <c r="E63" s="3342">
        <v>10.08</v>
      </c>
      <c r="F63" s="3342">
        <v>10.98</v>
      </c>
      <c r="G63" s="3342">
        <v>11.7</v>
      </c>
      <c r="H63" s="3342">
        <v>12.42</v>
      </c>
      <c r="I63" s="3342">
        <v>0</v>
      </c>
      <c r="J63" s="3342">
        <v>0</v>
      </c>
    </row>
    <row r="64" spans="2:26">
      <c r="B64" s="930"/>
      <c r="C64" s="931">
        <v>35186</v>
      </c>
      <c r="D64" s="3342">
        <v>9.7200000000000006</v>
      </c>
      <c r="E64" s="3342">
        <v>10.98</v>
      </c>
      <c r="F64" s="3342">
        <v>13.14</v>
      </c>
      <c r="G64" s="3342">
        <v>14.94</v>
      </c>
      <c r="H64" s="3342">
        <v>15.12</v>
      </c>
      <c r="I64" s="3342">
        <v>0</v>
      </c>
      <c r="J64" s="3342">
        <v>0</v>
      </c>
    </row>
    <row r="65" spans="2:10">
      <c r="B65" s="930"/>
      <c r="C65" s="931">
        <v>34881</v>
      </c>
      <c r="D65" s="3342">
        <v>10.08</v>
      </c>
      <c r="E65" s="3342">
        <v>12.06</v>
      </c>
      <c r="F65" s="3342">
        <v>13.5</v>
      </c>
      <c r="G65" s="3342">
        <v>15.12</v>
      </c>
      <c r="H65" s="3342">
        <v>15.3</v>
      </c>
      <c r="I65" s="3342">
        <v>0</v>
      </c>
      <c r="J65" s="3342">
        <v>0</v>
      </c>
    </row>
    <row r="66" spans="2:10">
      <c r="B66" s="930"/>
      <c r="C66" s="931">
        <v>34700</v>
      </c>
      <c r="D66" s="3342">
        <v>9</v>
      </c>
      <c r="E66" s="3342">
        <v>10.98</v>
      </c>
      <c r="F66" s="3342">
        <v>12.96</v>
      </c>
      <c r="G66" s="3342">
        <v>14.58</v>
      </c>
      <c r="H66" s="3342">
        <v>14.76</v>
      </c>
      <c r="I66" s="3342">
        <v>0</v>
      </c>
      <c r="J66" s="3342">
        <v>0</v>
      </c>
    </row>
    <row r="67" spans="2:10">
      <c r="B67" s="930"/>
      <c r="C67" s="931">
        <v>34161</v>
      </c>
      <c r="D67" s="3342">
        <v>9</v>
      </c>
      <c r="E67" s="3342">
        <v>10.98</v>
      </c>
      <c r="F67" s="3342">
        <v>12.24</v>
      </c>
      <c r="G67" s="3342">
        <v>13.86</v>
      </c>
      <c r="H67" s="3342">
        <v>14.04</v>
      </c>
      <c r="I67" s="3342">
        <v>0</v>
      </c>
      <c r="J67" s="3342">
        <v>0</v>
      </c>
    </row>
    <row r="68" spans="2:10">
      <c r="B68" s="930"/>
      <c r="C68" s="931">
        <v>34104</v>
      </c>
      <c r="D68" s="3342">
        <v>8.82</v>
      </c>
      <c r="E68" s="3342">
        <v>9.36</v>
      </c>
      <c r="F68" s="3342">
        <v>10.8</v>
      </c>
      <c r="G68" s="3342">
        <v>12.06</v>
      </c>
      <c r="H68" s="3342">
        <v>12.24</v>
      </c>
      <c r="I68" s="3342">
        <v>0</v>
      </c>
      <c r="J68" s="3342">
        <v>0</v>
      </c>
    </row>
    <row r="69" spans="2:10">
      <c r="B69" s="930"/>
      <c r="C69" s="931">
        <v>33349</v>
      </c>
      <c r="D69" s="3342">
        <v>8.1</v>
      </c>
      <c r="E69" s="3342">
        <v>8.64</v>
      </c>
      <c r="F69" s="3342">
        <v>9</v>
      </c>
      <c r="G69" s="3342">
        <v>9.5399999999999991</v>
      </c>
      <c r="H69" s="3342">
        <v>9.7200000000000006</v>
      </c>
      <c r="I69" s="3342">
        <v>0</v>
      </c>
      <c r="J69" s="3342">
        <v>0</v>
      </c>
    </row>
    <row r="70" spans="2:10">
      <c r="B70" s="930"/>
      <c r="C70" s="931">
        <v>33318</v>
      </c>
      <c r="D70" s="3342">
        <v>9</v>
      </c>
      <c r="E70" s="3342">
        <v>10.08</v>
      </c>
      <c r="F70" s="3342">
        <v>10.8</v>
      </c>
      <c r="G70" s="3342">
        <v>11.52</v>
      </c>
      <c r="H70" s="3342">
        <v>11.88</v>
      </c>
      <c r="I70" s="3342" t="s">
        <v>627</v>
      </c>
      <c r="J70" s="3342" t="s">
        <v>627</v>
      </c>
    </row>
    <row r="71" spans="2:10">
      <c r="B71" s="930"/>
      <c r="C71" s="931">
        <v>33106</v>
      </c>
      <c r="D71" s="3342">
        <v>8.64</v>
      </c>
      <c r="E71" s="3342">
        <v>9.36</v>
      </c>
      <c r="F71" s="3342">
        <v>10.08</v>
      </c>
      <c r="G71" s="3342">
        <v>10.8</v>
      </c>
      <c r="H71" s="3342">
        <v>11.16</v>
      </c>
      <c r="I71" s="3342">
        <v>0</v>
      </c>
      <c r="J71" s="3342">
        <v>0</v>
      </c>
    </row>
    <row r="72" spans="2:10">
      <c r="B72" s="930"/>
      <c r="C72" s="931">
        <v>32540</v>
      </c>
      <c r="D72" s="3342">
        <v>11.34</v>
      </c>
      <c r="E72" s="3342">
        <v>11.34</v>
      </c>
      <c r="F72" s="3342">
        <v>12.78</v>
      </c>
      <c r="G72" s="3342">
        <v>14.4</v>
      </c>
      <c r="H72" s="3342">
        <v>19.260000000000002</v>
      </c>
      <c r="I72" s="3342">
        <v>0</v>
      </c>
      <c r="J72" s="3342">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98" t="s">
        <v>936</v>
      </c>
      <c r="B1" s="4198"/>
      <c r="C1" s="4198"/>
      <c r="D1" s="4198"/>
    </row>
    <row r="2" spans="1:4" ht="18">
      <c r="A2" s="4199" t="s">
        <v>920</v>
      </c>
      <c r="B2" s="4199"/>
      <c r="C2" s="4199"/>
      <c r="D2" s="4199"/>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99" t="s">
        <v>926</v>
      </c>
      <c r="B6" s="4199"/>
      <c r="C6" s="4199"/>
      <c r="D6" s="4199"/>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200" t="s">
        <v>929</v>
      </c>
      <c r="B11" s="4201"/>
      <c r="C11" s="4201"/>
      <c r="D11" s="4201"/>
    </row>
    <row r="12" spans="1:4" ht="15.75">
      <c r="A12" s="4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2"/>
      <c r="C12" s="4202"/>
      <c r="D12" s="4202"/>
    </row>
    <row r="13" spans="1:4" ht="30" customHeight="1">
      <c r="A13" s="4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2"/>
      <c r="C13" s="4202"/>
      <c r="D13" s="4202"/>
    </row>
    <row r="14" spans="1:4" ht="15.75" customHeight="1">
      <c r="A14" s="4201" t="str">
        <f>IF(项目基本情况!B8="抵押","4.本次评估估价师所知悉的法定优先受偿款情况说明如下：","——")</f>
        <v>4.本次评估估价师所知悉的法定优先受偿款情况说明如下：</v>
      </c>
      <c r="B14" s="4202"/>
      <c r="C14" s="4202"/>
      <c r="D14" s="4202"/>
    </row>
    <row r="15" spans="1:4" ht="42" customHeight="1">
      <c r="A15" s="4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1"/>
      <c r="C15" s="4201"/>
      <c r="D15" s="4201"/>
    </row>
    <row r="16" spans="1:4" ht="30" customHeight="1">
      <c r="A16" s="4204" t="s">
        <v>930</v>
      </c>
      <c r="B16" s="4204"/>
      <c r="C16" s="4204"/>
      <c r="D16" s="4204"/>
    </row>
    <row r="17" spans="1:4" ht="144" customHeight="1">
      <c r="A17" s="4204" t="s">
        <v>931</v>
      </c>
      <c r="B17" s="4204"/>
      <c r="C17" s="4204"/>
      <c r="D17" s="4204"/>
    </row>
    <row r="18" spans="1:4" ht="15.75" customHeight="1">
      <c r="A18" s="4201" t="str">
        <f>IF(项目基本情况!B8="抵押",结果表!K120,"——")</f>
        <v>故，本次评估不存在估价师知悉的法定优先受偿款</v>
      </c>
      <c r="B18" s="4201"/>
      <c r="C18" s="4201"/>
      <c r="D18" s="4201"/>
    </row>
    <row r="19" spans="1:4" ht="46.5" customHeight="1">
      <c r="A19" s="4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1"/>
      <c r="C19" s="4201"/>
      <c r="D19" s="4201"/>
    </row>
    <row r="20" spans="1:4" ht="57.75" customHeight="1">
      <c r="A20" s="4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1"/>
      <c r="C20" s="4201"/>
      <c r="D20" s="4201"/>
    </row>
    <row r="21" spans="1:4" ht="57.75" customHeight="1">
      <c r="A21" s="4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05"/>
      <c r="C21" s="4205"/>
      <c r="D21" s="4205"/>
    </row>
    <row r="22" spans="1:4" ht="18.75" customHeight="1">
      <c r="A22" s="4206" t="s">
        <v>932</v>
      </c>
      <c r="B22" s="4206"/>
      <c r="C22" s="4206"/>
      <c r="D22" s="4206"/>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203">
        <v>42551</v>
      </c>
      <c r="D31" s="4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212" t="s">
        <v>943</v>
      </c>
      <c r="B15" s="4207" t="s">
        <v>107</v>
      </c>
      <c r="C15" s="4208"/>
    </row>
    <row r="16" spans="1:7" ht="13.5">
      <c r="A16" s="4213"/>
      <c r="B16" s="4207" t="s">
        <v>40</v>
      </c>
      <c r="C16" s="4208"/>
    </row>
    <row r="17" spans="1:3" ht="13.5">
      <c r="A17" s="4213"/>
      <c r="B17" s="4210" t="s">
        <v>944</v>
      </c>
      <c r="C17" s="1146" t="s">
        <v>943</v>
      </c>
    </row>
    <row r="18" spans="1:3" ht="13.5">
      <c r="A18" s="4213"/>
      <c r="B18" s="4210"/>
      <c r="C18" s="1146" t="s">
        <v>945</v>
      </c>
    </row>
    <row r="19" spans="1:3" ht="13.5">
      <c r="A19" s="4213"/>
      <c r="B19" s="4210"/>
      <c r="C19" s="1146" t="s">
        <v>946</v>
      </c>
    </row>
    <row r="20" spans="1:3" ht="13.5">
      <c r="A20" s="4214"/>
      <c r="B20" s="4209" t="s">
        <v>947</v>
      </c>
      <c r="C20" s="4208"/>
    </row>
    <row r="21" spans="1:3" ht="13.5">
      <c r="A21" s="1147" t="s">
        <v>948</v>
      </c>
      <c r="B21" s="1148"/>
      <c r="C21" s="1149"/>
    </row>
    <row r="22" spans="1:3" ht="13.5">
      <c r="A22" s="4211" t="s">
        <v>949</v>
      </c>
      <c r="B22" s="4209" t="s">
        <v>950</v>
      </c>
      <c r="C22" s="4208"/>
    </row>
    <row r="23" spans="1:3" ht="13.5">
      <c r="A23" s="4211"/>
      <c r="B23" s="4209" t="s">
        <v>951</v>
      </c>
      <c r="C23" s="4208"/>
    </row>
    <row r="24" spans="1:3" ht="13.5">
      <c r="A24" s="4211"/>
      <c r="B24" s="4209" t="s">
        <v>952</v>
      </c>
      <c r="C24" s="4208"/>
    </row>
    <row r="25" spans="1:3" ht="13.5">
      <c r="A25" s="4211"/>
      <c r="B25" s="4210" t="s">
        <v>953</v>
      </c>
      <c r="C25" s="1146" t="s">
        <v>954</v>
      </c>
    </row>
    <row r="26" spans="1:3" ht="13.5">
      <c r="A26" s="4211"/>
      <c r="B26" s="4210"/>
      <c r="C26" s="1146" t="s">
        <v>955</v>
      </c>
    </row>
    <row r="27" spans="1:3" ht="13.5">
      <c r="A27" s="4211"/>
      <c r="B27" s="4210"/>
      <c r="C27" s="1146" t="s">
        <v>956</v>
      </c>
    </row>
    <row r="28" spans="1:3" ht="13.5">
      <c r="A28" s="4211"/>
      <c r="B28" s="4210"/>
      <c r="C28" s="1146" t="s">
        <v>957</v>
      </c>
    </row>
    <row r="29" spans="1:3" ht="13.5">
      <c r="A29" s="4211"/>
      <c r="B29" s="4210"/>
      <c r="C29" s="1146" t="s">
        <v>958</v>
      </c>
    </row>
    <row r="30" spans="1:3" ht="13.5">
      <c r="A30" s="4211"/>
      <c r="B30" s="4210"/>
      <c r="C30" s="1146" t="s">
        <v>959</v>
      </c>
    </row>
    <row r="31" spans="1:3" ht="13.5">
      <c r="A31" s="4211"/>
      <c r="B31" s="4210"/>
      <c r="C31" s="1146" t="s">
        <v>960</v>
      </c>
    </row>
    <row r="32" spans="1:3" ht="13.5">
      <c r="A32" s="4211"/>
      <c r="B32" s="4210"/>
      <c r="C32" s="1146" t="s">
        <v>961</v>
      </c>
    </row>
    <row r="33" spans="1:3" ht="13.5">
      <c r="A33" s="4211"/>
      <c r="B33" s="4210"/>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2055</v>
      </c>
      <c r="B2" s="1793">
        <f ca="1">TODAY()</f>
        <v>46048</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61" t="str">
        <f ca="1">IF(C4&lt;B2,"已过期",1119970066)</f>
        <v>已过期</v>
      </c>
      <c r="C4" s="1798">
        <v>45937</v>
      </c>
      <c r="D4" s="1799" t="str">
        <f ca="1">A4&amp;"（注册号："&amp;B4&amp;"）"</f>
        <v>梁津（注册号：已过期）</v>
      </c>
      <c r="E4" s="1800" t="s">
        <v>2064</v>
      </c>
      <c r="F4" s="3961">
        <f ca="1">IF(G4&lt;B2,"已过期",96010014)</f>
        <v>96010014</v>
      </c>
      <c r="G4" s="1801">
        <v>47118</v>
      </c>
      <c r="H4" s="1802" t="str">
        <f ca="1">E4&amp;"（注册号："&amp;F4&amp;"）"</f>
        <v>梁津（注册号：96010014）</v>
      </c>
    </row>
    <row r="5" spans="1:8" ht="24" customHeight="1">
      <c r="A5" s="943" t="s">
        <v>2065</v>
      </c>
      <c r="B5" s="3961" t="str">
        <f ca="1">IF(C5&lt;B2,"已过期",1119970111)</f>
        <v>已过期</v>
      </c>
      <c r="C5" s="1798">
        <v>45937</v>
      </c>
      <c r="D5" s="1799" t="str">
        <f t="shared" ref="D5:D15" ca="1" si="0">A5&amp;"（注册号："&amp;B5&amp;"）"</f>
        <v>叶凌（注册号：已过期）</v>
      </c>
      <c r="E5" s="1800" t="s">
        <v>2065</v>
      </c>
      <c r="F5" s="3961">
        <f ca="1">IF(G5&lt;B2,"已过期",94010078)</f>
        <v>94010078</v>
      </c>
      <c r="G5" s="1801">
        <v>46387</v>
      </c>
      <c r="H5" s="1802" t="str">
        <f t="shared" ref="H5:H16" ca="1" si="1">E5&amp;"（注册号："&amp;F5&amp;"）"</f>
        <v>叶凌（注册号：94010078）</v>
      </c>
    </row>
    <row r="6" spans="1:8" ht="24" customHeight="1">
      <c r="A6" s="943" t="s">
        <v>2066</v>
      </c>
      <c r="B6" s="3961" t="str">
        <f ca="1">IF(C6&lt;B2,"已过期",1120050019)</f>
        <v>已过期</v>
      </c>
      <c r="C6" s="1798">
        <v>45410</v>
      </c>
      <c r="D6" s="1799" t="str">
        <f t="shared" ca="1" si="0"/>
        <v>王鹏（注册号：已过期）</v>
      </c>
      <c r="E6" s="1800" t="s">
        <v>2066</v>
      </c>
      <c r="F6" s="3961">
        <f ca="1">IF(G6&lt;B2,"已过期",2002110030)</f>
        <v>2002110030</v>
      </c>
      <c r="G6" s="1801">
        <v>46387</v>
      </c>
      <c r="H6" s="1802" t="str">
        <f t="shared" ca="1" si="1"/>
        <v>王鹏（注册号：2002110030）</v>
      </c>
    </row>
    <row r="7" spans="1:8" ht="24" customHeight="1">
      <c r="A7" s="943" t="s">
        <v>2067</v>
      </c>
      <c r="B7" s="3961" t="str">
        <f ca="1">IF(C7&lt;B2,"已过期",1120000080)</f>
        <v>已过期</v>
      </c>
      <c r="C7" s="1798">
        <v>45937</v>
      </c>
      <c r="D7" s="1799" t="str">
        <f t="shared" ca="1" si="0"/>
        <v>欧红伟（注册号：已过期）</v>
      </c>
      <c r="E7" s="1800" t="s">
        <v>2067</v>
      </c>
      <c r="F7" s="3961">
        <f ca="1">IF(G7&lt;B2,"已过期",2000110082)</f>
        <v>2000110082</v>
      </c>
      <c r="G7" s="1801">
        <v>46387</v>
      </c>
      <c r="H7" s="1802" t="str">
        <f t="shared" ca="1" si="1"/>
        <v>欧红伟（注册号：2000110082）</v>
      </c>
    </row>
    <row r="8" spans="1:8" ht="24" customHeight="1">
      <c r="A8" s="943" t="s">
        <v>2068</v>
      </c>
      <c r="B8" s="3961" t="str">
        <f ca="1">IF(C8&lt;B2,"已过期",1419970001)</f>
        <v>已过期</v>
      </c>
      <c r="C8" s="1798">
        <v>45937</v>
      </c>
      <c r="D8" s="1799" t="str">
        <f t="shared" ca="1" si="0"/>
        <v>吴薇（注册号：已过期）</v>
      </c>
      <c r="E8" s="1800" t="s">
        <v>2068</v>
      </c>
      <c r="F8" s="3961">
        <f ca="1">IF(G8&lt;B2,"已过期",2002110125)</f>
        <v>2002110125</v>
      </c>
      <c r="G8" s="1801">
        <v>47118</v>
      </c>
      <c r="H8" s="1802" t="str">
        <f t="shared" ca="1" si="1"/>
        <v>吴薇（注册号：2002110125）</v>
      </c>
    </row>
    <row r="9" spans="1:8" ht="24" customHeight="1">
      <c r="A9" s="943" t="s">
        <v>2069</v>
      </c>
      <c r="B9" s="3961" t="str">
        <f ca="1">IF(C9&lt;B2,"已过期",1120060040)</f>
        <v>已过期</v>
      </c>
      <c r="C9" s="1803">
        <v>45592</v>
      </c>
      <c r="D9" s="1799" t="str">
        <f t="shared" ca="1" si="0"/>
        <v>陈颖（注册号：已过期）</v>
      </c>
      <c r="E9" s="1800" t="s">
        <v>2069</v>
      </c>
      <c r="F9" s="3961">
        <f ca="1">IF(G9&lt;B2,"已过期",2004110096)</f>
        <v>2004110096</v>
      </c>
      <c r="G9" s="1801">
        <v>47118</v>
      </c>
      <c r="H9" s="1802" t="str">
        <f t="shared" ca="1" si="1"/>
        <v>陈颖（注册号：2004110096）</v>
      </c>
    </row>
    <row r="10" spans="1:8" ht="24" customHeight="1">
      <c r="A10" s="943" t="s">
        <v>2070</v>
      </c>
      <c r="B10" s="3961" t="str">
        <f ca="1">IF(C10&lt;B2,"已过期",1120100036)</f>
        <v>已过期</v>
      </c>
      <c r="C10" s="1803">
        <v>45752</v>
      </c>
      <c r="D10" s="1799" t="str">
        <f t="shared" ca="1" si="0"/>
        <v>崔锴（注册号：已过期）</v>
      </c>
      <c r="E10" s="1800" t="s">
        <v>2070</v>
      </c>
      <c r="F10" s="3961">
        <f ca="1">IF(G10&lt;B2,"已过期",2010110070)</f>
        <v>2010110070</v>
      </c>
      <c r="G10" s="1801">
        <v>47907</v>
      </c>
      <c r="H10" s="1802" t="str">
        <f t="shared" ca="1" si="1"/>
        <v>崔锴（注册号：2010110070）</v>
      </c>
    </row>
    <row r="11" spans="1:8" ht="24" customHeight="1">
      <c r="A11" s="943" t="s">
        <v>2071</v>
      </c>
      <c r="B11" s="3961" t="str">
        <f ca="1">IF(C11&lt;B2,"已过期",1120070131)</f>
        <v>已过期</v>
      </c>
      <c r="C11" s="1798">
        <v>45937</v>
      </c>
      <c r="D11" s="1799" t="str">
        <f t="shared" ca="1" si="0"/>
        <v>郑燚（注册号：已过期）</v>
      </c>
      <c r="E11" s="1800" t="s">
        <v>2071</v>
      </c>
      <c r="F11" s="3961">
        <f ca="1">IF(G11&lt;B2,"已过期",2014110011)</f>
        <v>2014110011</v>
      </c>
      <c r="G11" s="1801">
        <v>49302</v>
      </c>
      <c r="H11" s="1802" t="str">
        <f t="shared" ca="1" si="1"/>
        <v>郑燚（注册号：2014110011）</v>
      </c>
    </row>
    <row r="12" spans="1:8" ht="24" customHeight="1">
      <c r="A12" s="943" t="s">
        <v>2072</v>
      </c>
      <c r="B12" s="3961" t="str">
        <f ca="1">IF(C12&lt;B2,"已过期",1120040230)</f>
        <v>已过期</v>
      </c>
      <c r="C12" s="1803">
        <v>45937</v>
      </c>
      <c r="D12" s="1799" t="str">
        <f t="shared" ca="1" si="0"/>
        <v>苏海（注册号：已过期）</v>
      </c>
      <c r="E12" s="1800" t="s">
        <v>2072</v>
      </c>
      <c r="F12" s="3961">
        <f ca="1">IF(G12&lt;B2,"已过期",98030020)</f>
        <v>98030020</v>
      </c>
      <c r="G12" s="1801">
        <v>47118</v>
      </c>
      <c r="H12" s="1802" t="str">
        <f t="shared" ca="1" si="1"/>
        <v>苏海（注册号：98030020）</v>
      </c>
    </row>
    <row r="13" spans="1:8" ht="24" customHeight="1">
      <c r="A13" s="943" t="s">
        <v>2073</v>
      </c>
      <c r="B13" s="3961" t="str">
        <f ca="1">IF(C13&lt;B2,"已过期",1120020033)</f>
        <v>已过期</v>
      </c>
      <c r="C13" s="1798">
        <v>45375</v>
      </c>
      <c r="D13" s="1799" t="str">
        <f t="shared" ca="1" si="0"/>
        <v>刘敬东（注册号：已过期）</v>
      </c>
      <c r="E13" s="1800" t="s">
        <v>2073</v>
      </c>
      <c r="F13" s="3961">
        <f ca="1">IF(G13&lt;B2,"已过期",2000110137)</f>
        <v>2000110137</v>
      </c>
      <c r="G13" s="1801">
        <v>46387</v>
      </c>
      <c r="H13" s="1802" t="str">
        <f t="shared" ca="1" si="1"/>
        <v>刘敬东（注册号：2000110137）</v>
      </c>
    </row>
    <row r="14" spans="1:8" ht="24" customHeight="1">
      <c r="A14" s="943" t="s">
        <v>2074</v>
      </c>
      <c r="B14" s="3961" t="str">
        <f ca="1">IF(C14&lt;B2,"已过期",1119980106)</f>
        <v>已过期</v>
      </c>
      <c r="C14" s="1803">
        <v>44969</v>
      </c>
      <c r="D14" s="1799" t="str">
        <f t="shared" ca="1" si="0"/>
        <v>刘俊财（注册号：已过期）</v>
      </c>
      <c r="E14" s="1800" t="s">
        <v>2074</v>
      </c>
      <c r="F14" s="3961">
        <f ca="1">IF(G14&lt;B2,"已过期",96010063)</f>
        <v>96010063</v>
      </c>
      <c r="G14" s="1801">
        <v>47483</v>
      </c>
      <c r="H14" s="1802" t="str">
        <f t="shared" ca="1" si="1"/>
        <v>刘俊财（注册号：96010063）</v>
      </c>
    </row>
    <row r="15" spans="1:8" ht="24" customHeight="1">
      <c r="A15" s="943" t="s">
        <v>2339</v>
      </c>
      <c r="B15" s="3961">
        <v>1120210056</v>
      </c>
      <c r="C15" s="1803">
        <v>45410</v>
      </c>
      <c r="D15" s="1799" t="str">
        <f t="shared" si="0"/>
        <v>宁小鳗（注册号：1120210056）</v>
      </c>
      <c r="E15" s="1800" t="s">
        <v>2075</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215" t="s">
        <v>2076</v>
      </c>
      <c r="B17" s="4215"/>
      <c r="C17" s="4215"/>
      <c r="D17" s="4215"/>
      <c r="E17" s="4215"/>
      <c r="F17" s="4215"/>
      <c r="G17" s="4215"/>
      <c r="H17" s="4215"/>
    </row>
    <row r="18" spans="1:8" ht="24" customHeight="1">
      <c r="A18" s="4216" t="s">
        <v>2077</v>
      </c>
      <c r="B18" s="4216"/>
      <c r="C18" s="4216"/>
      <c r="D18" s="1796"/>
      <c r="E18" s="4217" t="s">
        <v>2078</v>
      </c>
      <c r="F18" s="4216"/>
      <c r="G18" s="4216"/>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2340</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比较法-办公</vt:lpstr>
      <vt:lpstr>比较法-商业</vt:lpstr>
      <vt:lpstr>典型户型修正</vt:lpstr>
      <vt:lpstr>面积位置</vt:lpstr>
      <vt:lpstr>租约</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2026-01-26T01:30:14Z</dcterms:modified>
</cp:coreProperties>
</file>