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F02DYGJ2\结果\"/>
    </mc:Choice>
  </mc:AlternateContent>
  <bookViews>
    <workbookView xWindow="11625" yWindow="45" windowWidth="11385" windowHeight="958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9" i="77" l="1"/>
  <c r="D38" i="77"/>
  <c r="O30" i="77"/>
  <c r="Q33" i="77"/>
  <c r="Q30" i="77"/>
  <c r="O35" i="77"/>
  <c r="O34" i="77"/>
  <c r="O33" i="77"/>
  <c r="F41" i="77"/>
  <c r="G39" i="77" l="1"/>
  <c r="F34" i="77"/>
  <c r="E34" i="77" s="1"/>
  <c r="K14" i="3"/>
  <c r="H36" i="77"/>
  <c r="G32" i="77"/>
  <c r="G36" i="77" s="1"/>
  <c r="F32" i="77"/>
  <c r="E30" i="77"/>
  <c r="E32" i="77" s="1"/>
  <c r="N54" i="77"/>
  <c r="F48" i="77" l="1"/>
  <c r="D76" i="77" l="1"/>
  <c r="M71" i="77"/>
  <c r="E71" i="77"/>
  <c r="E70" i="77"/>
  <c r="E69" i="77"/>
  <c r="F49" i="77" l="1"/>
  <c r="D39" i="77" l="1"/>
  <c r="C57" i="77"/>
  <c r="B57" i="77"/>
  <c r="D32" i="77" l="1"/>
  <c r="G38" i="77"/>
  <c r="D36" i="77" l="1"/>
  <c r="A3" i="3"/>
  <c r="E68" i="77"/>
  <c r="E72" i="77" s="1"/>
  <c r="C11" i="39"/>
  <c r="C38" i="39"/>
  <c r="C15" i="74"/>
  <c r="B15" i="74"/>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D70" i="77" l="1"/>
  <c r="F35" i="77"/>
  <c r="F33" i="77"/>
  <c r="E35" i="77" l="1"/>
  <c r="F39" i="77"/>
  <c r="I14" i="3"/>
  <c r="E33" i="77"/>
  <c r="F36" i="77"/>
  <c r="J40" i="77" s="1"/>
  <c r="F38" i="77"/>
  <c r="D68" i="77"/>
  <c r="N7" i="1"/>
  <c r="E36" i="77" l="1"/>
  <c r="E38" i="77"/>
  <c r="J38" i="77" s="1"/>
  <c r="D69" i="77"/>
  <c r="J39" i="77"/>
  <c r="D71" i="77"/>
  <c r="Q72" i="78"/>
  <c r="F60" i="78"/>
  <c r="Q59" i="78"/>
  <c r="K59" i="78"/>
  <c r="P74" i="78" s="1"/>
  <c r="F59" i="78"/>
  <c r="Q58" i="78"/>
  <c r="Q51" i="78"/>
  <c r="J50" i="78"/>
  <c r="M47" i="78"/>
  <c r="D46" i="78"/>
  <c r="F34" i="78"/>
  <c r="F62" i="78" s="1"/>
  <c r="F33" i="78"/>
  <c r="F61" i="78" s="1"/>
  <c r="F32" i="78"/>
  <c r="F31" i="78"/>
  <c r="F28" i="78"/>
  <c r="F23" i="78"/>
  <c r="F21" i="78"/>
  <c r="M20" i="78"/>
  <c r="F20" i="78"/>
  <c r="M19" i="78"/>
  <c r="M18" i="78"/>
  <c r="F18" i="78"/>
  <c r="M17" i="78"/>
  <c r="F17" i="78"/>
  <c r="F15" i="78"/>
  <c r="G1" i="78"/>
  <c r="D72" i="77" l="1"/>
  <c r="D23" i="78"/>
  <c r="D22" i="78"/>
  <c r="D24" i="78"/>
  <c r="P61" i="78"/>
  <c r="M27" i="78"/>
  <c r="M6" i="78"/>
  <c r="F13" i="78"/>
  <c r="F9" i="78"/>
  <c r="F6" i="78"/>
  <c r="J15" i="78"/>
  <c r="F36" i="78"/>
  <c r="F38" i="78"/>
  <c r="M8" i="78"/>
  <c r="M26" i="78"/>
  <c r="F8" i="78"/>
  <c r="F42" i="78"/>
  <c r="F40" i="78"/>
  <c r="M24" i="78"/>
  <c r="M9" i="78"/>
  <c r="M22" i="78"/>
  <c r="M23" i="78"/>
  <c r="F37" i="78"/>
  <c r="M28" i="78"/>
  <c r="C76" i="78"/>
  <c r="L47" i="78"/>
  <c r="F16" i="78"/>
  <c r="F26" i="78"/>
  <c r="F65" i="78" l="1"/>
  <c r="F66" i="78"/>
  <c r="Q71" i="78"/>
  <c r="C27" i="78"/>
  <c r="F64" i="78"/>
  <c r="F51" i="78"/>
  <c r="F68" i="78"/>
  <c r="I13" i="3" l="1"/>
  <c r="F19" i="6" s="1"/>
  <c r="K13" i="3"/>
  <c r="D3" i="4"/>
  <c r="G20" i="6" l="1"/>
  <c r="K35" i="77"/>
  <c r="K33" i="77"/>
  <c r="K30" i="77"/>
  <c r="L35" i="77"/>
  <c r="L33" i="77"/>
  <c r="L30" i="77"/>
  <c r="N30" i="77"/>
  <c r="C14" i="77" l="1"/>
  <c r="C15" i="77" s="1"/>
  <c r="C16" i="77" s="1"/>
  <c r="C17" i="77" s="1"/>
  <c r="C18" i="77" s="1"/>
  <c r="C19" i="77" s="1"/>
  <c r="C20" i="77" s="1"/>
  <c r="C21" i="77" s="1"/>
  <c r="C22" i="77" s="1"/>
  <c r="C23" i="77" s="1"/>
  <c r="C24" i="77" s="1"/>
  <c r="C10" i="77"/>
  <c r="C11" i="77" l="1"/>
  <c r="C12" i="77" s="1"/>
  <c r="M15" i="45"/>
  <c r="L15" i="45"/>
  <c r="K15" i="45"/>
  <c r="J15" i="45"/>
  <c r="I15" i="45"/>
  <c r="H15" i="45"/>
  <c r="G15" i="45"/>
  <c r="F15" i="45"/>
  <c r="E15" i="45"/>
  <c r="D15" i="45"/>
  <c r="C15" i="45"/>
  <c r="B15" i="45"/>
  <c r="C25" i="77" l="1"/>
  <c r="D3" i="77"/>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8" s="1"/>
  <c r="F15" i="4"/>
  <c r="F8" i="1"/>
  <c r="F9" i="1"/>
  <c r="F10" i="1"/>
  <c r="F11" i="1"/>
  <c r="F12" i="1"/>
  <c r="F13" i="1"/>
  <c r="G13" i="1" s="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7" i="1" s="1"/>
  <c r="E15" i="4"/>
  <c r="D15" i="4"/>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5"/>
  <c r="C48" i="35" s="1"/>
  <c r="D48" i="35" s="1"/>
  <c r="E48" i="35" s="1"/>
  <c r="F48" i="35" s="1"/>
  <c r="G48" i="35" s="1"/>
  <c r="H48" i="35" s="1"/>
  <c r="M47" i="9"/>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AQ9" i="1"/>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8" i="1"/>
  <c r="AE8" i="1"/>
  <c r="AG6" i="1"/>
  <c r="H109" i="9"/>
  <c r="H110" i="9"/>
  <c r="D18" i="53" s="1"/>
  <c r="B35" i="72" s="1"/>
  <c r="D124" i="9"/>
  <c r="H14" i="74" s="1"/>
  <c r="B7" i="74" s="1"/>
  <c r="D16" i="53"/>
  <c r="B34" i="72" s="1"/>
  <c r="D10" i="52"/>
  <c r="D125" i="9"/>
  <c r="D11" i="52" s="1"/>
  <c r="H112" i="9"/>
  <c r="D21" i="53" s="1"/>
  <c r="B39" i="72" s="1"/>
  <c r="H111" i="9"/>
  <c r="D126" i="9" s="1"/>
  <c r="I14" i="74" s="1"/>
  <c r="B8" i="74" s="1"/>
  <c r="D59" i="9"/>
  <c r="M55" i="9"/>
  <c r="AD3" i="71"/>
  <c r="L48" i="78"/>
  <c r="E2" i="68"/>
  <c r="F5" i="73"/>
  <c r="F20" i="31"/>
  <c r="F4" i="73"/>
  <c r="B13" i="76"/>
  <c r="AO11" i="1"/>
  <c r="E7" i="76"/>
  <c r="F7" i="78"/>
  <c r="E8" i="76"/>
  <c r="F3" i="73"/>
  <c r="D2" i="33"/>
  <c r="D2" i="21"/>
  <c r="AO8" i="1"/>
  <c r="F6" i="73"/>
  <c r="E10" i="76"/>
  <c r="AO13" i="1"/>
  <c r="M29" i="78"/>
  <c r="AO12" i="1"/>
  <c r="B8" i="76"/>
  <c r="F43" i="78"/>
  <c r="E9" i="76"/>
  <c r="E13" i="76"/>
  <c r="B10" i="76"/>
  <c r="B9" i="76"/>
  <c r="E12" i="76"/>
  <c r="D2" i="35"/>
  <c r="AO10" i="1"/>
  <c r="E11" i="76"/>
  <c r="F7" i="73"/>
  <c r="AO9" i="1"/>
  <c r="D2" i="34"/>
  <c r="D2" i="36"/>
  <c r="B11" i="76"/>
  <c r="B12" i="76"/>
  <c r="E2" i="69"/>
  <c r="B7" i="76"/>
  <c r="D2" i="37"/>
  <c r="C7" i="21" l="1"/>
  <c r="C58" i="21" s="1"/>
  <c r="C42" i="1"/>
  <c r="C28" i="78" s="1"/>
  <c r="C24" i="12"/>
  <c r="C7" i="34"/>
  <c r="C59" i="34" s="1"/>
  <c r="D59" i="34" s="1"/>
  <c r="E59" i="34" s="1"/>
  <c r="C77" i="9"/>
  <c r="C74" i="9" s="1"/>
  <c r="G19" i="43"/>
  <c r="O19" i="43" s="1"/>
  <c r="C7" i="40"/>
  <c r="C63" i="40" s="1"/>
  <c r="D63" i="40" s="1"/>
  <c r="C7" i="33"/>
  <c r="C58" i="33" s="1"/>
  <c r="C7" i="39"/>
  <c r="C68" i="39" s="1"/>
  <c r="D68" i="39" s="1"/>
  <c r="C7" i="36"/>
  <c r="C46" i="36" s="1"/>
  <c r="D46" i="36" s="1"/>
  <c r="E46" i="36" s="1"/>
  <c r="F46" i="36" s="1"/>
  <c r="G46" i="36" s="1"/>
  <c r="H46" i="36" s="1"/>
  <c r="I46" i="36" s="1"/>
  <c r="J46" i="36" s="1"/>
  <c r="C7" i="37"/>
  <c r="C52" i="37" s="1"/>
  <c r="D52" i="37" s="1"/>
  <c r="E52" i="37" s="1"/>
  <c r="F52" i="37" s="1"/>
  <c r="G52" i="37" s="1"/>
  <c r="H52" i="37" s="1"/>
  <c r="J51" i="15"/>
  <c r="J1" i="73"/>
  <c r="L56" i="78"/>
  <c r="L58" i="78"/>
  <c r="L57" i="78"/>
  <c r="L60" i="78"/>
  <c r="G7" i="1"/>
  <c r="N59" i="78"/>
  <c r="J60" i="78"/>
  <c r="Q48" i="78" s="1"/>
  <c r="J59" i="78"/>
  <c r="J57" i="78"/>
  <c r="J55" i="78" s="1"/>
  <c r="J58" i="78" s="1"/>
  <c r="Q50" i="78" s="1"/>
  <c r="I54" i="78"/>
  <c r="F1" i="67"/>
  <c r="G3" i="43"/>
  <c r="F22" i="43" s="1"/>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F101" i="43"/>
  <c r="F102" i="43" s="1"/>
  <c r="AA11" i="43"/>
  <c r="AA13" i="43" s="1"/>
  <c r="G22" i="43"/>
  <c r="N101" i="43"/>
  <c r="F28" i="6"/>
  <c r="E28" i="6" s="1"/>
  <c r="BR5" i="3"/>
  <c r="G28" i="6" s="1"/>
  <c r="L27" i="6"/>
  <c r="BI5" i="3"/>
  <c r="BE5" i="3"/>
  <c r="E15" i="6" s="1"/>
  <c r="K22" i="6"/>
  <c r="M22" i="6" s="1"/>
  <c r="I22" i="6" s="1"/>
  <c r="S22"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I48" i="35"/>
  <c r="J48" i="35" s="1"/>
  <c r="K48" i="35" s="1"/>
  <c r="L48" i="35" s="1"/>
  <c r="M48" i="35" s="1"/>
  <c r="N48" i="35" s="1"/>
  <c r="O48" i="35" s="1"/>
  <c r="F59" i="34"/>
  <c r="D58" i="21"/>
  <c r="AZ495" i="3"/>
  <c r="D12" i="52"/>
  <c r="D19" i="53"/>
  <c r="O11" i="1"/>
  <c r="P11" i="1" s="1"/>
  <c r="O12" i="1"/>
  <c r="P12" i="1" s="1"/>
  <c r="F30" i="6"/>
  <c r="F31" i="6" s="1"/>
  <c r="D9" i="53"/>
  <c r="B25" i="72" s="1"/>
  <c r="B24" i="72"/>
  <c r="AC31" i="34"/>
  <c r="W31" i="34"/>
  <c r="U30" i="21"/>
  <c r="AB30" i="21"/>
  <c r="AA28" i="34"/>
  <c r="S28" i="34"/>
  <c r="AB33" i="35"/>
  <c r="U33" i="35"/>
  <c r="W11" i="40"/>
  <c r="AC11" i="40"/>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B8" i="70"/>
  <c r="B20" i="31"/>
  <c r="B11" i="70"/>
  <c r="I1" i="73"/>
  <c r="B39" i="1" s="1"/>
  <c r="B12" i="70"/>
  <c r="B9" i="70"/>
  <c r="K1" i="73"/>
  <c r="F59" i="67"/>
  <c r="M17" i="67"/>
  <c r="F31" i="67"/>
  <c r="F31" i="15"/>
  <c r="F59" i="15"/>
  <c r="M17" i="15"/>
  <c r="D6" i="73"/>
  <c r="F42" i="15"/>
  <c r="M26" i="15"/>
  <c r="D3" i="73"/>
  <c r="F36" i="67"/>
  <c r="F37" i="15"/>
  <c r="F26" i="67"/>
  <c r="M8" i="15"/>
  <c r="F9" i="15"/>
  <c r="F6" i="67"/>
  <c r="M28" i="67"/>
  <c r="M29" i="15"/>
  <c r="M9" i="15"/>
  <c r="M27" i="67"/>
  <c r="F26" i="15"/>
  <c r="F13" i="15"/>
  <c r="M22" i="15"/>
  <c r="J15" i="67"/>
  <c r="M21" i="67"/>
  <c r="M22" i="67"/>
  <c r="F40" i="67"/>
  <c r="F38" i="15"/>
  <c r="F16" i="15"/>
  <c r="D7" i="73"/>
  <c r="F43" i="67"/>
  <c r="M28" i="15"/>
  <c r="F13" i="67"/>
  <c r="F6" i="15"/>
  <c r="L48" i="15"/>
  <c r="M23" i="67"/>
  <c r="M8" i="67"/>
  <c r="M9" i="67"/>
  <c r="M27" i="15"/>
  <c r="F36" i="15"/>
  <c r="M29" i="67"/>
  <c r="F43" i="15"/>
  <c r="F35" i="67"/>
  <c r="F42" i="67"/>
  <c r="D4" i="73"/>
  <c r="F38" i="67"/>
  <c r="C76" i="15"/>
  <c r="M24" i="67"/>
  <c r="F37" i="67"/>
  <c r="L48" i="67"/>
  <c r="J15" i="15"/>
  <c r="C76" i="67"/>
  <c r="F8" i="15"/>
  <c r="M26" i="67"/>
  <c r="F9" i="67"/>
  <c r="M23" i="15"/>
  <c r="F41" i="67"/>
  <c r="F7" i="67"/>
  <c r="F8" i="67"/>
  <c r="M6" i="67"/>
  <c r="F40" i="15"/>
  <c r="C16" i="78"/>
  <c r="L47" i="15"/>
  <c r="L47" i="67"/>
  <c r="D5" i="73"/>
  <c r="M24" i="15"/>
  <c r="F16" i="67"/>
  <c r="F7" i="15"/>
  <c r="M6" i="15"/>
  <c r="I52" i="37" l="1"/>
  <c r="J52" i="37" s="1"/>
  <c r="K52" i="37" s="1"/>
  <c r="L52" i="37" s="1"/>
  <c r="M52" i="37" s="1"/>
  <c r="N52" i="37" s="1"/>
  <c r="O52" i="37" s="1"/>
  <c r="J7" i="37"/>
  <c r="W7" i="37" s="1"/>
  <c r="C70" i="39"/>
  <c r="C65" i="40"/>
  <c r="C28" i="67"/>
  <c r="C13" i="12"/>
  <c r="F7" i="37"/>
  <c r="P22" i="43"/>
  <c r="L46" i="78"/>
  <c r="E20" i="43"/>
  <c r="P28" i="43" s="1"/>
  <c r="K46" i="36"/>
  <c r="L46" i="36" s="1"/>
  <c r="M46" i="36" s="1"/>
  <c r="N46" i="36" s="1"/>
  <c r="O46" i="36" s="1"/>
  <c r="D58" i="33"/>
  <c r="P21" i="43"/>
  <c r="F7" i="35"/>
  <c r="S7" i="35" s="1"/>
  <c r="H7" i="35"/>
  <c r="U7" i="35" s="1"/>
  <c r="H7" i="37"/>
  <c r="U7" i="37" s="1"/>
  <c r="J7" i="35"/>
  <c r="AC7" i="35" s="1"/>
  <c r="V38" i="35" s="1"/>
  <c r="I38" i="35" s="1"/>
  <c r="Q66" i="78"/>
  <c r="Q57" i="78"/>
  <c r="Q60" i="78"/>
  <c r="Q73" i="78"/>
  <c r="N104" i="46"/>
  <c r="AB11" i="43"/>
  <c r="AB13" i="43" s="1"/>
  <c r="AG11" i="43"/>
  <c r="AG13" i="43" s="1"/>
  <c r="M101" i="43"/>
  <c r="M107" i="43" s="1"/>
  <c r="K21" i="6"/>
  <c r="M21" i="6" s="1"/>
  <c r="I21" i="6" s="1"/>
  <c r="S21" i="6" s="1"/>
  <c r="C101" i="43"/>
  <c r="C105" i="43" s="1"/>
  <c r="D101" i="43"/>
  <c r="D105" i="43" s="1"/>
  <c r="AJ11" i="43"/>
  <c r="AJ13" i="43" s="1"/>
  <c r="AI11" i="43"/>
  <c r="AI13" i="43" s="1"/>
  <c r="J22" i="43"/>
  <c r="E101" i="43"/>
  <c r="E103" i="43" s="1"/>
  <c r="Z11" i="43"/>
  <c r="Z13" i="43" s="1"/>
  <c r="E22" i="43"/>
  <c r="M105" i="43"/>
  <c r="K101" i="43"/>
  <c r="K107" i="43" s="1"/>
  <c r="G101" i="43"/>
  <c r="G102" i="43" s="1"/>
  <c r="J101" i="43"/>
  <c r="J107" i="43" s="1"/>
  <c r="L101" i="43"/>
  <c r="L105" i="43" s="1"/>
  <c r="I101" i="43"/>
  <c r="I104" i="43" s="1"/>
  <c r="F106" i="43"/>
  <c r="AF11" i="43"/>
  <c r="AF13" i="43" s="1"/>
  <c r="Z7" i="43"/>
  <c r="AE11" i="43"/>
  <c r="AE13" i="43" s="1"/>
  <c r="Y11" i="43"/>
  <c r="Y13" i="43" s="1"/>
  <c r="AD11" i="43"/>
  <c r="AD13" i="43" s="1"/>
  <c r="H101" i="43"/>
  <c r="H104" i="43" s="1"/>
  <c r="AC11" i="43"/>
  <c r="AC13" i="43" s="1"/>
  <c r="AH11" i="43"/>
  <c r="AH13" i="43" s="1"/>
  <c r="H22" i="43"/>
  <c r="H11" i="39"/>
  <c r="J11" i="39"/>
  <c r="F11" i="39"/>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M106" i="43"/>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7" i="43"/>
  <c r="H102" i="43"/>
  <c r="E104" i="43"/>
  <c r="F104" i="43"/>
  <c r="F107" i="43"/>
  <c r="F105" i="43"/>
  <c r="F109" i="43"/>
  <c r="M104" i="43"/>
  <c r="M102" i="43"/>
  <c r="K104" i="43"/>
  <c r="K109" i="43"/>
  <c r="G103" i="43"/>
  <c r="J105" i="43"/>
  <c r="J104" i="43"/>
  <c r="I107" i="43"/>
  <c r="I103" i="43"/>
  <c r="N102" i="43"/>
  <c r="N105" i="43"/>
  <c r="N107" i="43"/>
  <c r="N103" i="43"/>
  <c r="N106" i="43"/>
  <c r="N104" i="43"/>
  <c r="N109" i="43"/>
  <c r="C106" i="43"/>
  <c r="C107" i="43"/>
  <c r="D106"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AC7" i="37"/>
  <c r="V42" i="37" s="1"/>
  <c r="I42" i="37" s="1"/>
  <c r="BL5" i="3"/>
  <c r="E58" i="21"/>
  <c r="F58" i="21" s="1"/>
  <c r="G58" i="21" s="1"/>
  <c r="H58" i="21" s="1"/>
  <c r="I58" i="21" s="1"/>
  <c r="J58" i="21" s="1"/>
  <c r="K58" i="21" s="1"/>
  <c r="L58" i="21" s="1"/>
  <c r="M58" i="21" s="1"/>
  <c r="N58" i="21" s="1"/>
  <c r="O58" i="21" s="1"/>
  <c r="G59" i="34"/>
  <c r="H59" i="34" s="1"/>
  <c r="I59" i="34" s="1"/>
  <c r="J59" i="34" s="1"/>
  <c r="K59" i="34" s="1"/>
  <c r="L59" i="34" s="1"/>
  <c r="M59" i="34" s="1"/>
  <c r="N59" i="34" s="1"/>
  <c r="O59" i="34"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E30" i="6"/>
  <c r="E31" i="6" s="1"/>
  <c r="K15" i="1"/>
  <c r="G5" i="3"/>
  <c r="B3" i="3" s="1"/>
  <c r="D70" i="39"/>
  <c r="E68" i="39"/>
  <c r="B38" i="72"/>
  <c r="D20" i="53"/>
  <c r="B40" i="72" s="1"/>
  <c r="S7" i="37"/>
  <c r="AA7" i="37"/>
  <c r="R42" i="37" s="1"/>
  <c r="P23" i="43"/>
  <c r="B71" i="39" s="1"/>
  <c r="P25" i="43"/>
  <c r="M11" i="15"/>
  <c r="F11" i="67"/>
  <c r="F11" i="15"/>
  <c r="M11" i="67"/>
  <c r="J10" i="67" s="1"/>
  <c r="G1" i="73"/>
  <c r="C16" i="67"/>
  <c r="C16" i="15"/>
  <c r="AE7" i="1"/>
  <c r="C14" i="67"/>
  <c r="C17" i="67"/>
  <c r="D103" i="43" l="1"/>
  <c r="I106" i="43"/>
  <c r="J109" i="43"/>
  <c r="J102" i="43"/>
  <c r="K102" i="43"/>
  <c r="K103" i="43"/>
  <c r="E107" i="43"/>
  <c r="D109" i="43"/>
  <c r="E105" i="43"/>
  <c r="D107" i="43"/>
  <c r="D102" i="43"/>
  <c r="I109" i="43"/>
  <c r="I102" i="43"/>
  <c r="I105" i="43"/>
  <c r="J103" i="43"/>
  <c r="J106" i="43"/>
  <c r="K106" i="43"/>
  <c r="K105" i="43"/>
  <c r="E106" i="43"/>
  <c r="H109" i="43"/>
  <c r="H103" i="43"/>
  <c r="H106" i="43"/>
  <c r="E109" i="43"/>
  <c r="H105" i="43"/>
  <c r="D22" i="43"/>
  <c r="E102" i="43"/>
  <c r="F7" i="34"/>
  <c r="AA7" i="35"/>
  <c r="R38" i="35" s="1"/>
  <c r="R39" i="35" s="1"/>
  <c r="B40" i="1"/>
  <c r="F24" i="78" s="1"/>
  <c r="C24" i="78" s="1"/>
  <c r="H7" i="34"/>
  <c r="AB7" i="34" s="1"/>
  <c r="T49" i="34" s="1"/>
  <c r="G49" i="34" s="1"/>
  <c r="AB7" i="37"/>
  <c r="T42" i="37" s="1"/>
  <c r="G42" i="37" s="1"/>
  <c r="G46" i="37" s="1"/>
  <c r="H46" i="37" s="1"/>
  <c r="H7" i="36"/>
  <c r="O28" i="43"/>
  <c r="M28" i="43"/>
  <c r="N28" i="43"/>
  <c r="F7" i="36"/>
  <c r="E58" i="33"/>
  <c r="J7" i="36"/>
  <c r="H7" i="21"/>
  <c r="U7" i="21" s="1"/>
  <c r="J7" i="34"/>
  <c r="AC7" i="34" s="1"/>
  <c r="V49" i="34" s="1"/>
  <c r="I49" i="34" s="1"/>
  <c r="J7" i="21"/>
  <c r="W7" i="21" s="1"/>
  <c r="C102" i="43"/>
  <c r="C109" i="43"/>
  <c r="M103" i="43"/>
  <c r="M109" i="43"/>
  <c r="C103" i="43"/>
  <c r="C104" i="43"/>
  <c r="L107" i="43"/>
  <c r="G107" i="43"/>
  <c r="L102" i="43"/>
  <c r="L106" i="43"/>
  <c r="G109" i="43"/>
  <c r="W11" i="39"/>
  <c r="AC11" i="39"/>
  <c r="L104" i="43"/>
  <c r="L103" i="43"/>
  <c r="L109" i="43"/>
  <c r="G104" i="43"/>
  <c r="G105" i="43"/>
  <c r="G106" i="43"/>
  <c r="AA11" i="39"/>
  <c r="S11" i="39"/>
  <c r="U11" i="39"/>
  <c r="AB11" i="39"/>
  <c r="S7" i="1"/>
  <c r="E7" i="70" s="1"/>
  <c r="K16" i="1"/>
  <c r="D113" i="43"/>
  <c r="C18" i="67"/>
  <c r="C15" i="67"/>
  <c r="J26" i="78"/>
  <c r="J24" i="78"/>
  <c r="J18" i="78"/>
  <c r="Q73" i="67"/>
  <c r="C49" i="15"/>
  <c r="C53" i="78"/>
  <c r="C48" i="78" s="1"/>
  <c r="C10" i="78"/>
  <c r="C5" i="78" s="1"/>
  <c r="Q74" i="15"/>
  <c r="Q61" i="15"/>
  <c r="F1" i="15"/>
  <c r="Q52" i="15"/>
  <c r="Q61" i="67"/>
  <c r="Q73" i="15"/>
  <c r="J5" i="67"/>
  <c r="J24" i="67" s="1"/>
  <c r="K27" i="6"/>
  <c r="S6" i="1"/>
  <c r="J10" i="15"/>
  <c r="J5" i="15" s="1"/>
  <c r="J18" i="15" s="1"/>
  <c r="F10" i="40"/>
  <c r="S10" i="40" s="1"/>
  <c r="J10" i="40"/>
  <c r="AC10" i="40" s="1"/>
  <c r="H10" i="40"/>
  <c r="AB10" i="40" s="1"/>
  <c r="H10" i="39"/>
  <c r="AB10" i="39" s="1"/>
  <c r="F10" i="39"/>
  <c r="AA10" i="39" s="1"/>
  <c r="C34" i="69"/>
  <c r="C35" i="69" s="1"/>
  <c r="E16" i="6"/>
  <c r="E57" i="40"/>
  <c r="E62" i="39"/>
  <c r="O14" i="1"/>
  <c r="M16" i="1"/>
  <c r="M27" i="6"/>
  <c r="I19" i="6"/>
  <c r="F7" i="21"/>
  <c r="S7" i="21" s="1"/>
  <c r="E65" i="40"/>
  <c r="F63" i="40"/>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21"/>
  <c r="V48" i="21" s="1"/>
  <c r="I48" i="21" s="1"/>
  <c r="W10" i="39"/>
  <c r="AC10" i="39"/>
  <c r="T46" i="71"/>
  <c r="D46" i="71"/>
  <c r="D3" i="21"/>
  <c r="D19" i="11"/>
  <c r="C19" i="11" s="1"/>
  <c r="D37" i="11"/>
  <c r="D14" i="12"/>
  <c r="M18" i="9"/>
  <c r="B118" i="9" s="1"/>
  <c r="B14" i="74" s="1"/>
  <c r="B1" i="74" s="1"/>
  <c r="D3" i="33"/>
  <c r="E6" i="6"/>
  <c r="C17" i="4"/>
  <c r="B4" i="52" s="1"/>
  <c r="B43" i="72" s="1"/>
  <c r="L18" i="9"/>
  <c r="D3" i="34"/>
  <c r="D3" i="37"/>
  <c r="E42" i="37"/>
  <c r="I47" i="37" s="1"/>
  <c r="J47" i="37" s="1"/>
  <c r="R43" i="37"/>
  <c r="S7" i="34"/>
  <c r="AA7" i="34"/>
  <c r="R49" i="34" s="1"/>
  <c r="E38" i="35"/>
  <c r="C47" i="69"/>
  <c r="D45" i="69" s="1"/>
  <c r="C29" i="69"/>
  <c r="D27" i="69" s="1"/>
  <c r="E551" i="3"/>
  <c r="E5" i="71"/>
  <c r="V6" i="71"/>
  <c r="N51" i="71"/>
  <c r="N52" i="71"/>
  <c r="G47" i="37"/>
  <c r="H47" i="37" s="1"/>
  <c r="U7" i="34"/>
  <c r="I46" i="37"/>
  <c r="J46" i="37" s="1"/>
  <c r="G42" i="35"/>
  <c r="H42" i="35" s="1"/>
  <c r="G43" i="35"/>
  <c r="H43" i="35" s="1"/>
  <c r="B5" i="71"/>
  <c r="S6" i="71"/>
  <c r="AY6" i="3"/>
  <c r="C53" i="67"/>
  <c r="C48" i="67" s="1"/>
  <c r="C10" i="67"/>
  <c r="C5" i="67" s="1"/>
  <c r="C53" i="15"/>
  <c r="C10" i="15"/>
  <c r="C5" i="15" s="1"/>
  <c r="F22" i="68"/>
  <c r="F41" i="78"/>
  <c r="AE6" i="1"/>
  <c r="C17" i="15"/>
  <c r="C17" i="78"/>
  <c r="S5" i="43" l="1"/>
  <c r="AR7" i="1"/>
  <c r="F24" i="15"/>
  <c r="C24" i="15" s="1"/>
  <c r="F22" i="69"/>
  <c r="C26" i="69" s="1"/>
  <c r="D22" i="69" s="1"/>
  <c r="F25" i="12"/>
  <c r="F22" i="11"/>
  <c r="C23" i="11" s="1"/>
  <c r="F24" i="67"/>
  <c r="C24" i="67" s="1"/>
  <c r="AA10" i="40"/>
  <c r="AA7" i="21"/>
  <c r="R48" i="21" s="1"/>
  <c r="R49" i="21" s="1"/>
  <c r="AB7" i="21"/>
  <c r="T48" i="21" s="1"/>
  <c r="G48" i="21" s="1"/>
  <c r="U7" i="36"/>
  <c r="AB7" i="36"/>
  <c r="T36" i="36" s="1"/>
  <c r="G36" i="36" s="1"/>
  <c r="G40" i="36" s="1"/>
  <c r="H40" i="36" s="1"/>
  <c r="W7" i="34"/>
  <c r="W7" i="36"/>
  <c r="AC7" i="36"/>
  <c r="V36" i="36" s="1"/>
  <c r="I36" i="36" s="1"/>
  <c r="F58" i="33"/>
  <c r="G58" i="33" s="1"/>
  <c r="H58" i="33" s="1"/>
  <c r="I58" i="33" s="1"/>
  <c r="J58" i="33" s="1"/>
  <c r="K58" i="33" s="1"/>
  <c r="L58" i="33" s="1"/>
  <c r="M58" i="33" s="1"/>
  <c r="N58" i="33" s="1"/>
  <c r="O58" i="33" s="1"/>
  <c r="J7" i="33"/>
  <c r="S7" i="36"/>
  <c r="AA7" i="36"/>
  <c r="R36" i="36" s="1"/>
  <c r="S10" i="39"/>
  <c r="C23" i="43"/>
  <c r="C21" i="43" s="1"/>
  <c r="U10" i="40"/>
  <c r="T7" i="1"/>
  <c r="S6" i="43"/>
  <c r="S3" i="43"/>
  <c r="S7" i="43"/>
  <c r="S2" i="43"/>
  <c r="S4" i="43"/>
  <c r="AQ7" i="1"/>
  <c r="W10" i="40"/>
  <c r="E6" i="70"/>
  <c r="E2" i="70" s="1"/>
  <c r="C19" i="67"/>
  <c r="C20" i="67" s="1"/>
  <c r="C26" i="67" s="1"/>
  <c r="C48" i="15"/>
  <c r="C60" i="15" s="1"/>
  <c r="J26" i="67"/>
  <c r="J29" i="67" s="1"/>
  <c r="J18" i="67"/>
  <c r="F69" i="78"/>
  <c r="C38" i="78"/>
  <c r="C33" i="78"/>
  <c r="C32" i="78"/>
  <c r="C66" i="78"/>
  <c r="C60" i="78"/>
  <c r="J29" i="78"/>
  <c r="J26" i="15"/>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I54" i="34" s="1"/>
  <c r="J54" i="34" s="1"/>
  <c r="C42" i="37"/>
  <c r="C43" i="37"/>
  <c r="B2" i="37" s="1"/>
  <c r="B3" i="37" s="1"/>
  <c r="D10" i="68"/>
  <c r="D10" i="11"/>
  <c r="C10" i="11" s="1"/>
  <c r="D10" i="69"/>
  <c r="D20" i="12"/>
  <c r="C20" i="12" s="1"/>
  <c r="D17" i="12"/>
  <c r="C17" i="12" s="1"/>
  <c r="C20" i="11"/>
  <c r="C28" i="11" s="1"/>
  <c r="C27" i="11" s="1"/>
  <c r="E48" i="21"/>
  <c r="I53" i="21" s="1"/>
  <c r="J53" i="21" s="1"/>
  <c r="G54" i="34"/>
  <c r="H54" i="34" s="1"/>
  <c r="G53" i="34"/>
  <c r="H53" i="34" s="1"/>
  <c r="E43" i="35"/>
  <c r="F43" i="35" s="1"/>
  <c r="E42" i="35"/>
  <c r="F42" i="35" s="1"/>
  <c r="E47" i="37"/>
  <c r="F47" i="37" s="1"/>
  <c r="E46" i="37"/>
  <c r="F46" i="37" s="1"/>
  <c r="C7" i="74"/>
  <c r="C8" i="74"/>
  <c r="I52" i="21"/>
  <c r="J52" i="21" s="1"/>
  <c r="I43" i="35"/>
  <c r="J43" i="35" s="1"/>
  <c r="G53" i="21"/>
  <c r="H53" i="21" s="1"/>
  <c r="G52" i="21"/>
  <c r="H52" i="21" s="1"/>
  <c r="I53" i="34"/>
  <c r="J53" i="34" s="1"/>
  <c r="D8" i="71"/>
  <c r="C7" i="71"/>
  <c r="G68" i="39"/>
  <c r="F70" i="39"/>
  <c r="C26" i="68"/>
  <c r="D22" i="68" s="1"/>
  <c r="C44" i="68"/>
  <c r="D41" i="68" s="1"/>
  <c r="C38" i="15"/>
  <c r="C32" i="15"/>
  <c r="C26" i="12"/>
  <c r="D25" i="12" s="1"/>
  <c r="C44" i="11"/>
  <c r="D41" i="11" s="1"/>
  <c r="C60" i="67"/>
  <c r="C66" i="67"/>
  <c r="C38" i="67"/>
  <c r="C32" i="67"/>
  <c r="C14" i="78"/>
  <c r="F41" i="15"/>
  <c r="C14" i="15"/>
  <c r="C44" i="69" l="1"/>
  <c r="D41" i="69" s="1"/>
  <c r="C26" i="11"/>
  <c r="D22" i="11" s="1"/>
  <c r="C24" i="11"/>
  <c r="H7" i="33"/>
  <c r="F7" i="33"/>
  <c r="S7" i="33" s="1"/>
  <c r="I40" i="36"/>
  <c r="J40" i="36" s="1"/>
  <c r="G41" i="36"/>
  <c r="H41" i="36" s="1"/>
  <c r="E36" i="36"/>
  <c r="R37" i="36"/>
  <c r="AB7" i="33"/>
  <c r="T48" i="33" s="1"/>
  <c r="G48" i="33" s="1"/>
  <c r="U7" i="33"/>
  <c r="AC7" i="33"/>
  <c r="V48" i="33" s="1"/>
  <c r="I48" i="33" s="1"/>
  <c r="W7" i="33"/>
  <c r="C15" i="78"/>
  <c r="C18" i="78"/>
  <c r="F69" i="15"/>
  <c r="J29" i="15"/>
  <c r="C15" i="15"/>
  <c r="C18" i="15"/>
  <c r="T16" i="1"/>
  <c r="C23" i="67"/>
  <c r="C29" i="67" s="1"/>
  <c r="J14" i="67" s="1"/>
  <c r="C66" i="15"/>
  <c r="F11" i="12"/>
  <c r="C14" i="12" s="1"/>
  <c r="F34" i="11"/>
  <c r="F34" i="68"/>
  <c r="C25" i="1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22" i="11" l="1"/>
  <c r="C31" i="11" s="1"/>
  <c r="AA7" i="33"/>
  <c r="R48" i="33" s="1"/>
  <c r="C36" i="36"/>
  <c r="C37" i="36"/>
  <c r="B2" i="36" s="1"/>
  <c r="B3" i="36" s="1"/>
  <c r="E48" i="33"/>
  <c r="R49" i="33"/>
  <c r="I53" i="33"/>
  <c r="J53" i="33" s="1"/>
  <c r="I52" i="33"/>
  <c r="J52" i="33" s="1"/>
  <c r="G53" i="33"/>
  <c r="H53" i="33" s="1"/>
  <c r="G52" i="33"/>
  <c r="H52" i="33" s="1"/>
  <c r="I41" i="36"/>
  <c r="J41" i="36" s="1"/>
  <c r="E40" i="36"/>
  <c r="F40" i="36" s="1"/>
  <c r="E41" i="36"/>
  <c r="F41" i="36" s="1"/>
  <c r="C19" i="78"/>
  <c r="C20" i="78" s="1"/>
  <c r="C26" i="78" s="1"/>
  <c r="C33" i="67"/>
  <c r="C31" i="67" s="1"/>
  <c r="B29" i="1"/>
  <c r="C8" i="68" s="1"/>
  <c r="C19" i="15"/>
  <c r="C20" i="15" s="1"/>
  <c r="C26" i="15" s="1"/>
  <c r="J19" i="67"/>
  <c r="J17" i="67" s="1"/>
  <c r="C36" i="67"/>
  <c r="C57" i="67"/>
  <c r="C61" i="67" s="1"/>
  <c r="C59" i="67" s="1"/>
  <c r="J59" i="67"/>
  <c r="J60" i="67" s="1"/>
  <c r="L46" i="67" s="1"/>
  <c r="Q49" i="67"/>
  <c r="C13" i="67"/>
  <c r="C37" i="67" s="1"/>
  <c r="C36" i="11"/>
  <c r="C37" i="11"/>
  <c r="C34" i="11"/>
  <c r="C36" i="68"/>
  <c r="C34" i="68"/>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49" i="33" l="1"/>
  <c r="B2" i="33" s="1"/>
  <c r="B3" i="33" s="1"/>
  <c r="C48" i="33"/>
  <c r="E52" i="33"/>
  <c r="F52" i="33" s="1"/>
  <c r="E53" i="33"/>
  <c r="F53" i="33" s="1"/>
  <c r="C18" i="12"/>
  <c r="C21" i="12" s="1"/>
  <c r="C22" i="12" s="1"/>
  <c r="C23" i="78"/>
  <c r="C29" i="78" s="1"/>
  <c r="J14" i="78" s="1"/>
  <c r="C30" i="67"/>
  <c r="C39" i="67" s="1"/>
  <c r="C40" i="67" s="1"/>
  <c r="C75" i="67"/>
  <c r="Q70" i="67"/>
  <c r="Q48" i="67"/>
  <c r="C23" i="15"/>
  <c r="C29" i="15" s="1"/>
  <c r="Q49" i="15" s="1"/>
  <c r="C57" i="78"/>
  <c r="C64" i="67"/>
  <c r="C56" i="67"/>
  <c r="C65" i="67" s="1"/>
  <c r="C38" i="68"/>
  <c r="C35" i="68"/>
  <c r="C38" i="11"/>
  <c r="C35" i="11"/>
  <c r="R27" i="6"/>
  <c r="R6" i="1"/>
  <c r="I65" i="40"/>
  <c r="J63" i="40"/>
  <c r="I6" i="6"/>
  <c r="I5" i="6"/>
  <c r="C39" i="69"/>
  <c r="C42" i="69"/>
  <c r="I70" i="39"/>
  <c r="J68" i="39"/>
  <c r="C24" i="68"/>
  <c r="M20" i="43"/>
  <c r="C19" i="43" s="1"/>
  <c r="U6" i="71"/>
  <c r="C20" i="69"/>
  <c r="J16" i="67"/>
  <c r="J25" i="67" s="1"/>
  <c r="L51" i="67"/>
  <c r="M21" i="78"/>
  <c r="M21" i="15"/>
  <c r="F35" i="78"/>
  <c r="F35" i="15"/>
  <c r="Q49" i="78" l="1"/>
  <c r="C36" i="78"/>
  <c r="C13" i="78"/>
  <c r="Q70" i="78" s="1"/>
  <c r="J19" i="78"/>
  <c r="Q69" i="67"/>
  <c r="C80" i="67"/>
  <c r="C79" i="67" s="1"/>
  <c r="J19" i="15"/>
  <c r="C58" i="67"/>
  <c r="C67" i="67" s="1"/>
  <c r="C68" i="67" s="1"/>
  <c r="C71" i="67" s="1"/>
  <c r="C13" i="15"/>
  <c r="Q70" i="15" s="1"/>
  <c r="C36" i="15"/>
  <c r="Q68" i="67"/>
  <c r="C57" i="15"/>
  <c r="C64" i="15" s="1"/>
  <c r="J14" i="15"/>
  <c r="J13" i="15" s="1"/>
  <c r="J23" i="15" s="1"/>
  <c r="J13" i="78"/>
  <c r="J23" i="78" s="1"/>
  <c r="J22" i="78"/>
  <c r="C61" i="15"/>
  <c r="C64" i="78"/>
  <c r="C61" i="78"/>
  <c r="C33" i="68"/>
  <c r="C39" i="68" s="1"/>
  <c r="C33" i="11"/>
  <c r="J20" i="78"/>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56" i="78" l="1"/>
  <c r="C65" i="78" s="1"/>
  <c r="C75" i="78"/>
  <c r="C37" i="78"/>
  <c r="C30" i="78" s="1"/>
  <c r="C39" i="78" s="1"/>
  <c r="C40" i="78" s="1"/>
  <c r="J17" i="78"/>
  <c r="J16" i="78" s="1"/>
  <c r="J25" i="78" s="1"/>
  <c r="C45" i="67"/>
  <c r="C46" i="67" s="1"/>
  <c r="C75" i="15"/>
  <c r="C37" i="15"/>
  <c r="C30" i="15" s="1"/>
  <c r="C39" i="15" s="1"/>
  <c r="Q69" i="15" s="1"/>
  <c r="Q68" i="15" s="1"/>
  <c r="J17" i="15"/>
  <c r="C56" i="15"/>
  <c r="C65" i="15" s="1"/>
  <c r="C59" i="78"/>
  <c r="C59" i="15"/>
  <c r="C58" i="15" s="1"/>
  <c r="C67" i="15" s="1"/>
  <c r="C68" i="15" s="1"/>
  <c r="C71" i="15" s="1"/>
  <c r="J22" i="15"/>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30" i="43"/>
  <c r="E30" i="43" s="1"/>
  <c r="G36" i="43"/>
  <c r="I36" i="43" s="1"/>
  <c r="E36" i="43"/>
  <c r="G35" i="43"/>
  <c r="I35" i="43" s="1"/>
  <c r="E35" i="43"/>
  <c r="G37" i="43"/>
  <c r="I37" i="43" s="1"/>
  <c r="E37" i="43"/>
  <c r="Q66" i="67"/>
  <c r="Q75" i="67" s="1"/>
  <c r="Q57" i="67"/>
  <c r="Q62" i="67" s="1"/>
  <c r="B2" i="67"/>
  <c r="B3" i="67"/>
  <c r="L51" i="15"/>
  <c r="C27" i="43" l="1"/>
  <c r="C26" i="43"/>
  <c r="C58" i="78"/>
  <c r="C67" i="78" s="1"/>
  <c r="C68" i="78" s="1"/>
  <c r="C71" i="78" s="1"/>
  <c r="Q69" i="78"/>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C46" i="78"/>
  <c r="Q66" i="15"/>
  <c r="Q57" i="15"/>
  <c r="L65" i="40"/>
  <c r="M63" i="40"/>
  <c r="M68" i="39"/>
  <c r="L70" i="39"/>
  <c r="B2" i="43"/>
  <c r="E6" i="76"/>
  <c r="L51" i="78"/>
  <c r="B6" i="76"/>
  <c r="AO7" i="1"/>
  <c r="E2" i="76" l="1"/>
  <c r="B2" i="15"/>
  <c r="B3" i="15" s="1"/>
  <c r="C6" i="12" s="1"/>
  <c r="Q67" i="78"/>
  <c r="Q65" i="15"/>
  <c r="Q75" i="15" s="1"/>
  <c r="Q56" i="15"/>
  <c r="Q62" i="15" s="1"/>
  <c r="C83" i="15"/>
  <c r="C82" i="15" s="1"/>
  <c r="C43" i="15"/>
  <c r="C46" i="15"/>
  <c r="C57" i="69"/>
  <c r="C56" i="69" s="1"/>
  <c r="C52" i="11"/>
  <c r="B2" i="11" s="1"/>
  <c r="B3" i="11" s="1"/>
  <c r="B7" i="70"/>
  <c r="B3" i="78"/>
  <c r="D6" i="12" s="1"/>
  <c r="M65" i="40"/>
  <c r="N63" i="40"/>
  <c r="B2" i="76"/>
  <c r="B3" i="76" s="1"/>
  <c r="B3" i="43"/>
  <c r="M70" i="39"/>
  <c r="N68" i="39"/>
  <c r="AO6" i="1"/>
  <c r="B6" i="70" l="1"/>
  <c r="C8" i="12"/>
  <c r="C4" i="12" s="1"/>
  <c r="C31" i="12" s="1"/>
  <c r="B2" i="70"/>
  <c r="B3" i="70" s="1"/>
  <c r="C56" i="11"/>
  <c r="C57" i="11" s="1"/>
  <c r="N65" i="40"/>
  <c r="O63" i="40"/>
  <c r="O65" i="40" s="1"/>
  <c r="F7" i="40" s="1"/>
  <c r="O68" i="39"/>
  <c r="O70" i="39" s="1"/>
  <c r="N70" i="39"/>
  <c r="J7" i="40" l="1"/>
  <c r="H7" i="40"/>
  <c r="U7" i="40" s="1"/>
  <c r="C23" i="12"/>
  <c r="C27" i="12" s="1"/>
  <c r="C25" i="12" s="1"/>
  <c r="AB7" i="40"/>
  <c r="T42" i="40" s="1"/>
  <c r="G42" i="40" s="1"/>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19" i="9"/>
  <c r="D20" i="9"/>
  <c r="F47" i="77" l="1"/>
  <c r="F46" i="77"/>
  <c r="F50" i="77" s="1"/>
  <c r="D21" i="9"/>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P33" i="77" l="1"/>
  <c r="B61" i="39"/>
  <c r="F61" i="39" s="1"/>
  <c r="B56" i="39"/>
  <c r="F56" i="39" s="1"/>
  <c r="B59" i="39"/>
  <c r="F59" i="39" s="1"/>
  <c r="B65" i="39"/>
  <c r="F65" i="39" s="1"/>
  <c r="B63" i="39"/>
  <c r="F63" i="39" s="1"/>
  <c r="B60" i="39"/>
  <c r="F60" i="39" s="1"/>
  <c r="B58" i="39"/>
  <c r="F58" i="39" s="1"/>
  <c r="B64" i="39"/>
  <c r="F64" i="39" s="1"/>
  <c r="B57" i="39"/>
  <c r="F57" i="39" s="1"/>
  <c r="B62" i="39"/>
  <c r="F62" i="39" s="1"/>
  <c r="P30" i="77" l="1"/>
  <c r="C6" i="68" s="1"/>
  <c r="F66" i="39"/>
  <c r="B2" i="39" s="1"/>
  <c r="B3" i="39" s="1"/>
  <c r="C7" i="68" l="1"/>
  <c r="C5" i="68" s="1"/>
  <c r="C23" i="68" l="1"/>
  <c r="C20" i="68"/>
  <c r="C25" i="68" s="1"/>
  <c r="C22" i="68" l="1"/>
  <c r="C28" i="68"/>
  <c r="C27" i="68" s="1"/>
  <c r="E48" i="77" l="1"/>
  <c r="C31" i="68"/>
  <c r="C52" i="68" s="1"/>
  <c r="B2" i="68" s="1"/>
  <c r="C19" i="9"/>
  <c r="E49" i="77" l="1"/>
  <c r="E46" i="77"/>
  <c r="E50" i="77" s="1"/>
  <c r="C57" i="68"/>
  <c r="C56" i="68" s="1"/>
  <c r="C102" i="9"/>
  <c r="C21" i="9"/>
  <c r="G19" i="9"/>
  <c r="G46" i="77" s="1"/>
  <c r="D22" i="9"/>
  <c r="B3" i="68"/>
  <c r="D34" i="9"/>
  <c r="D35" i="9"/>
  <c r="C20" i="9"/>
  <c r="H56" i="77" l="1"/>
  <c r="E47" i="77"/>
  <c r="C103" i="9"/>
  <c r="G20" i="9"/>
  <c r="C32" i="9"/>
  <c r="G21" i="9"/>
  <c r="H118" i="9" l="1"/>
  <c r="C35" i="9"/>
  <c r="F118" i="9" s="1"/>
  <c r="F55" i="77" s="1"/>
  <c r="I56" i="77" l="1"/>
  <c r="F56" i="77"/>
  <c r="F57" i="77" s="1"/>
  <c r="F58" i="77" s="1"/>
  <c r="G56" i="77"/>
  <c r="D56" i="77"/>
  <c r="H55" i="77"/>
  <c r="H57" i="77" s="1"/>
  <c r="H58" i="77" s="1"/>
  <c r="G118" i="9"/>
  <c r="F4" i="52"/>
  <c r="B51" i="72" s="1"/>
  <c r="F119" i="9"/>
  <c r="F5" i="52" s="1"/>
  <c r="B53" i="72" s="1"/>
  <c r="C34" i="9"/>
  <c r="D118" i="9" s="1"/>
  <c r="D55" i="77" s="1"/>
  <c r="D14" i="74"/>
  <c r="F68" i="77" s="1"/>
  <c r="C104" i="9"/>
  <c r="H101" i="9"/>
  <c r="H119" i="9"/>
  <c r="H5" i="52" s="1"/>
  <c r="I118" i="9"/>
  <c r="I55" i="77" s="1"/>
  <c r="H4" i="52"/>
  <c r="D57" i="77" l="1"/>
  <c r="D58" i="77" s="1"/>
  <c r="G4" i="52"/>
  <c r="B52" i="72" s="1"/>
  <c r="G55" i="77"/>
  <c r="D119" i="9"/>
  <c r="D5" i="52" s="1"/>
  <c r="B49" i="72" s="1"/>
  <c r="D4" i="52"/>
  <c r="B47" i="72" s="1"/>
  <c r="E118" i="9"/>
  <c r="H102" i="9"/>
  <c r="D7" i="53" s="1"/>
  <c r="B21" i="72" s="1"/>
  <c r="I4" i="52"/>
  <c r="C105" i="9"/>
  <c r="M48" i="9"/>
  <c r="D5" i="53"/>
  <c r="D45" i="9"/>
  <c r="H107" i="9"/>
  <c r="F14" i="74"/>
  <c r="E14" i="74"/>
  <c r="G47" i="77" s="1"/>
  <c r="F69" i="77" l="1"/>
  <c r="G69" i="77" s="1"/>
  <c r="E56" i="77"/>
  <c r="E4" i="52"/>
  <c r="B48" i="72" s="1"/>
  <c r="E55" i="77"/>
  <c r="G68" i="77"/>
  <c r="M49" i="9"/>
  <c r="D122" i="9"/>
  <c r="D13" i="53"/>
  <c r="H108" i="9"/>
  <c r="D15" i="53" s="1"/>
  <c r="B31" i="72" s="1"/>
  <c r="D6" i="53"/>
  <c r="B22" i="72" s="1"/>
  <c r="B20" i="72"/>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B30" i="72"/>
  <c r="D14" i="53"/>
  <c r="B32" i="72" s="1"/>
  <c r="L68" i="9"/>
  <c r="M68" i="9" s="1"/>
  <c r="L65" i="9"/>
  <c r="M65" i="9" s="1"/>
  <c r="L66" i="9"/>
  <c r="M66" i="9" s="1"/>
  <c r="L64" i="9"/>
  <c r="M64" i="9" s="1"/>
  <c r="L63" i="9"/>
  <c r="M63" i="9" s="1"/>
  <c r="L67" i="9"/>
  <c r="M67" i="9" s="1"/>
  <c r="M69" i="9" l="1"/>
  <c r="N69" i="9" s="1"/>
  <c r="C97" i="9"/>
  <c r="D58" i="9" s="1"/>
  <c r="D56" i="9" s="1"/>
  <c r="M54" i="9" s="1"/>
  <c r="N57" i="9" s="1"/>
  <c r="N59" i="9" s="1"/>
  <c r="N60" i="9" s="1"/>
  <c r="C81" i="9"/>
  <c r="N61" i="9" l="1"/>
  <c r="P57" i="9"/>
  <c r="N58" i="9"/>
  <c r="D15" i="74" l="1"/>
  <c r="F70" i="77" s="1"/>
  <c r="G70" i="77" s="1"/>
  <c r="G48" i="77" l="1"/>
  <c r="G50" i="77" s="1"/>
  <c r="G15" i="74"/>
  <c r="B6" i="74" s="1"/>
  <c r="D6" i="74" s="1"/>
  <c r="E15" i="74"/>
  <c r="G49" i="77" s="1"/>
  <c r="F15" i="74"/>
  <c r="B5" i="74"/>
  <c r="F71" i="77" l="1"/>
  <c r="F72" i="77" s="1"/>
  <c r="D61" i="77"/>
  <c r="D62" i="77" s="1"/>
  <c r="C6" i="74"/>
  <c r="C5" i="74"/>
  <c r="D5" i="74"/>
  <c r="G71" i="7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<sst xmlns="http://schemas.openxmlformats.org/spreadsheetml/2006/main" count="8503" uniqueCount="3376">
  <si>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</si>
  <si>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</si>
  <si>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</si>
  <si>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</si>
  <si>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</si>
  <si>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</si>
  <si>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</si>
  <si>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</si>
  <si>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</si>
  <si>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</si>
  <si>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</si>
  <si>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</si>
  <si>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</si>
  <si>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</si>
  <si>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</si>
  <si>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</si>
  <si>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</si>
  <si>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</si>
  <si>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</si>
  <si>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</si>
  <si>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</si>
  <si>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</si>
  <si>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</si>
  <si>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</si>
  <si>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</si>
  <si>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</si>
  <si>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</si>
  <si>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</si>
  <si>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</si>
  <si>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</si>
  <si>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</si>
  <si>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</si>
  <si>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</si>
  <si>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</si>
  <si>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</si>
  <si>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</si>
  <si>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</si>
  <si>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</si>
  <si>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</si>
  <si>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</si>
  <si>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</si>
  <si>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</si>
  <si>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</si>
  <si>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</si>
  <si>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</si>
  <si>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</si>
  <si>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</si>
  <si>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</si>
  <si>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</si>
  <si>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</si>
  <si>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</si>
  <si>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</si>
  <si>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</si>
  <si>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</si>
  <si>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</si>
  <si>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</si>
  <si>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</si>
  <si>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</si>
  <si>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</si>
  <si>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</si>
  <si>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</si>
  <si>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</si>
  <si>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</si>
  <si>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</si>
  <si>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</si>
  <si>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</si>
  <si>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</si>
  <si>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</si>
  <si>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</si>
  <si>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</si>
  <si>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</si>
  <si>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</si>
  <si>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</si>
  <si>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</si>
  <si>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</si>
  <si>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</si>
  <si>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</si>
  <si>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</si>
  <si>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</si>
  <si>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</si>
  <si>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</si>
  <si>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</si>
  <si>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</si>
  <si>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</si>
  <si>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</si>
  <si>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</si>
  <si>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</si>
  <si>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</si>
  <si>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</si>
  <si>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</si>
  <si>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</si>
  <si>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</si>
  <si>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</si>
  <si>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</si>
  <si>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</si>
  <si>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</si>
  <si>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</si>
  <si>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</si>
  <si>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</si>
  <si>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</si>
  <si>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</si>
  <si>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</si>
  <si>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</si>
  <si>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</si>
  <si>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</si>
  <si>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</si>
  <si>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</si>
  <si>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</si>
  <si>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</si>
  <si>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</si>
  <si>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</si>
  <si>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</si>
  <si>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</si>
  <si>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</si>
  <si>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</si>
  <si>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</si>
  <si>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</si>
  <si>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</si>
  <si>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</si>
  <si>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</si>
  <si>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</si>
  <si>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</si>
  <si>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</si>
  <si>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</si>
  <si>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</si>
  <si>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</si>
  <si>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</si>
  <si>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</si>
  <si>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</si>
  <si>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</si>
  <si>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</si>
  <si>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</si>
  <si>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</si>
  <si>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</si>
  <si>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</si>
  <si>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</si>
  <si>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</si>
  <si>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</si>
  <si>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</si>
  <si>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</si>
  <si>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</si>
  <si>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</si>
  <si>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</si>
  <si>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</si>
  <si>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</si>
  <si>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</si>
  <si>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</si>
  <si>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</si>
  <si>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</si>
  <si>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</si>
  <si>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</si>
  <si>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</si>
  <si>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</si>
  <si>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</si>
  <si>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</si>
  <si>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</si>
  <si>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</si>
  <si>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</si>
  <si>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</si>
  <si>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</si>
  <si>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</si>
  <si>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</si>
  <si>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</si>
  <si>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</si>
  <si>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</si>
  <si>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</si>
  <si>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</si>
  <si>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</si>
  <si>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</si>
  <si>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</si>
  <si>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</si>
  <si>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</si>
  <si>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</si>
  <si>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</si>
  <si>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</si>
  <si>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</si>
  <si>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</si>
  <si>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</si>
  <si>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</si>
  <si>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</si>
  <si>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</si>
  <si>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</si>
  <si>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</si>
  <si>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</si>
  <si>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</si>
  <si>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</si>
  <si>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</si>
  <si>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</si>
  <si>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</si>
  <si>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</si>
  <si>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</si>
  <si>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</si>
  <si>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</si>
  <si>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</si>
  <si>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</si>
  <si>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</si>
  <si>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</si>
  <si>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</si>
  <si>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</si>
  <si>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</si>
  <si>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</si>
  <si>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</si>
  <si>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</si>
  <si>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</si>
  <si>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</si>
  <si>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</si>
  <si>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</si>
  <si>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</si>
  <si>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</si>
  <si>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</si>
  <si>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</si>
  <si>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</si>
  <si>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</si>
  <si>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</si>
  <si>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</si>
  <si>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</si>
  <si>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</si>
  <si>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</si>
  <si>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</si>
  <si>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</si>
  <si>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</si>
  <si>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</si>
  <si>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</si>
  <si>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</si>
  <si>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</si>
  <si>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</si>
  <si>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</si>
  <si>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</si>
  <si>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</si>
  <si>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</si>
  <si>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</si>
  <si>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</si>
  <si>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</si>
  <si>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</si>
  <si>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</si>
  <si>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</si>
  <si>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</si>
  <si>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</si>
  <si>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</si>
  <si>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</si>
  <si>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</si>
  <si>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</si>
  <si>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</si>
  <si>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</si>
  <si>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</si>
  <si>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</si>
  <si>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</si>
  <si>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</si>
  <si>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</si>
  <si>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</si>
  <si>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</si>
  <si>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</si>
  <si>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</si>
  <si>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</si>
  <si>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</si>
  <si>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</si>
  <si>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</si>
  <si>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</si>
  <si>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</si>
  <si>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</si>
  <si>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</si>
  <si>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</si>
  <si>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</si>
  <si>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</si>
  <si>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</si>
  <si>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</si>
  <si>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</si>
  <si>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</si>
  <si>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</si>
  <si>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</si>
  <si>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</si>
  <si>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</si>
  <si>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</si>
  <si>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</si>
  <si>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</si>
  <si>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</si>
  <si>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</si>
  <si>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</si>
  <si>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</si>
  <si>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</si>
  <si>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</si>
  <si>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</si>
  <si>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</si>
  <si>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</si>
  <si>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</si>
  <si>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</si>
  <si>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</si>
  <si>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</si>
  <si>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</si>
  <si>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</si>
  <si>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</si>
  <si>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</si>
  <si>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</si>
  <si>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</si>
  <si>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</si>
  <si>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</si>
  <si>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</si>
  <si>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</si>
  <si>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</si>
  <si>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</si>
  <si>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</si>
  <si>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</si>
  <si>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</si>
  <si>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</si>
  <si>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</si>
  <si>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</si>
  <si>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</si>
  <si>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</si>
  <si>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</si>
  <si>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</si>
  <si>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</si>
  <si>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</si>
  <si>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</si>
  <si>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</si>
  <si>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</si>
  <si>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</si>
  <si>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</si>
  <si>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</si>
  <si>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</si>
  <si>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</si>
  <si>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</si>
  <si>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</si>
  <si>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</si>
  <si>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</si>
  <si>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</si>
  <si>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</si>
  <si>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</si>
  <si>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</si>
  <si>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</si>
  <si>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</si>
  <si>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</si>
  <si>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</si>
  <si>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</si>
  <si>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</si>
  <si>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</si>
  <si>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</si>
  <si>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</si>
  <si>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</si>
  <si>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</si>
  <si>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</si>
  <si>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</si>
  <si>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</si>
  <si>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</si>
  <si>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</si>
  <si>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</si>
  <si>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</si>
  <si>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</si>
  <si>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</si>
  <si>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</si>
  <si>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</si>
  <si>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</si>
  <si>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</si>
  <si>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</si>
  <si>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</si>
  <si>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</si>
  <si>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</si>
  <si>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</si>
  <si>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</si>
  <si>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</si>
  <si>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</si>
  <si>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</si>
  <si>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</si>
  <si>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</si>
  <si>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</si>
  <si>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</si>
  <si>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</si>
  <si>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</si>
  <si>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</si>
  <si>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</si>
  <si>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</si>
  <si>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</si>
  <si>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</si>
  <si>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</si>
  <si>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</si>
  <si>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</si>
  <si>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</si>
  <si>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</si>
  <si>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</si>
  <si>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</si>
  <si>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</si>
  <si>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</si>
  <si>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</si>
  <si>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</si>
  <si>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</si>
  <si>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</si>
  <si>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</si>
  <si>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</si>
  <si>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</si>
  <si>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</si>
  <si>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</si>
  <si>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</si>
  <si>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</si>
  <si>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</si>
  <si>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</si>
  <si>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</si>
  <si>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</si>
  <si>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</si>
  <si>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</si>
  <si>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</si>
  <si>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</si>
  <si>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</si>
  <si>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</si>
  <si>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</si>
  <si>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</si>
  <si>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</si>
  <si>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</si>
  <si>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</si>
  <si>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</si>
  <si>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</si>
  <si>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</si>
  <si>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</si>
  <si>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</si>
  <si>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</si>
  <si>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</si>
  <si>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</si>
  <si>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</si>
  <si>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</si>
  <si>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</si>
  <si>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</si>
  <si>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</si>
  <si>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</si>
  <si>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</si>
  <si>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</si>
  <si>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</si>
  <si>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</si>
  <si>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</si>
  <si>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</si>
  <si>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</si>
  <si>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</si>
  <si>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</si>
  <si>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</si>
  <si>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</si>
  <si>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</si>
  <si>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</si>
  <si>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</si>
  <si>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</si>
  <si>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</si>
  <si>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</si>
  <si>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</si>
  <si>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</si>
  <si>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</si>
  <si>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</si>
  <si>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</si>
  <si>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</si>
  <si>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</si>
  <si>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</si>
  <si>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</si>
  <si>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</si>
  <si>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</si>
  <si>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</si>
  <si>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</si>
  <si>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</si>
  <si>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</si>
  <si>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</si>
  <si>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</si>
  <si>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</si>
  <si>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</si>
  <si>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</si>
  <si>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</si>
  <si>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</si>
  <si>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</si>
  <si>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</si>
  <si>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</si>
  <si>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</si>
  <si>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</si>
  <si>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</si>
  <si>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</si>
  <si>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</si>
  <si>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</si>
  <si>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</si>
  <si>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</si>
  <si>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</si>
  <si>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</si>
  <si>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</si>
  <si>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</si>
  <si>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</si>
  <si>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</si>
  <si>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</si>
  <si>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</si>
  <si>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</si>
  <si>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</si>
  <si>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</si>
  <si>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</si>
  <si>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</si>
  <si>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</si>
  <si>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</si>
  <si>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</si>
  <si>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</si>
  <si>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</si>
  <si>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</si>
  <si>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</si>
  <si>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</si>
  <si>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</si>
  <si>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</si>
  <si>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</si>
  <si>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</si>
  <si>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</si>
  <si>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</si>
  <si>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</si>
  <si>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</si>
  <si>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</si>
  <si>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</si>
  <si>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</si>
  <si>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</si>
  <si>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</si>
  <si>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</si>
  <si>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</si>
  <si>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</si>
  <si>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</si>
  <si>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</si>
  <si>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</si>
  <si>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</si>
  <si>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</si>
  <si>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</si>
  <si>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</si>
  <si>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</si>
  <si>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</si>
  <si>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</si>
  <si>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</si>
  <si>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</si>
  <si>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</si>
  <si>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</si>
  <si>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</si>
  <si>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</si>
  <si>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</si>
  <si>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</si>
  <si>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</si>
  <si>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</si>
  <si>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</si>
  <si>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</si>
  <si>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</si>
  <si>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</si>
  <si>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</si>
  <si>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</si>
  <si>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</si>
  <si>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</si>
  <si>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</si>
  <si>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</si>
  <si>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</si>
  <si>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</si>
  <si>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</si>
  <si>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</si>
  <si>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</si>
  <si>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</si>
  <si>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</si>
  <si>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</si>
  <si>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</si>
  <si>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</si>
  <si>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</si>
  <si>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</si>
  <si>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</si>
  <si>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</si>
  <si>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</si>
  <si>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</si>
  <si>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</si>
  <si>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</si>
  <si>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</si>
  <si>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</si>
  <si>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</si>
  <si>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</si>
  <si>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</si>
  <si>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</si>
  <si>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</si>
  <si>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</si>
  <si>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</si>
  <si>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</si>
  <si>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</si>
  <si>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</si>
  <si>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</si>
  <si>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</si>
  <si>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</si>
  <si>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</si>
  <si>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</si>
  <si>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</si>
  <si>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</si>
  <si>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</si>
  <si>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</si>
  <si>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</si>
  <si>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</si>
  <si>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</si>
  <si>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</si>
  <si>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</si>
  <si>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</si>
  <si>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</si>
  <si>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</si>
  <si>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</si>
  <si>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</si>
  <si>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</si>
  <si>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</si>
  <si>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</si>
  <si>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</si>
  <si>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</si>
  <si>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</si>
  <si>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</si>
  <si>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</si>
  <si>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</si>
  <si>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</si>
  <si>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</si>
  <si>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</si>
  <si>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</si>
  <si>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</si>
  <si>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</si>
  <si>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</si>
  <si>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</si>
  <si>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</si>
  <si>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</si>
  <si>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</si>
  <si>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</si>
  <si>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</si>
  <si>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</si>
  <si>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</si>
  <si>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</si>
  <si>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</si>
  <si>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</si>
  <si>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</si>
  <si>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</si>
  <si>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</si>
  <si>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</si>
  <si>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</si>
  <si>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</si>
  <si>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</si>
  <si>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</si>
  <si>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</si>
  <si>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</si>
  <si>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</si>
  <si>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</si>
  <si>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</si>
  <si>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</si>
  <si>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</si>
  <si>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</si>
  <si>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</si>
  <si>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</si>
  <si>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</si>
  <si>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</si>
  <si>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</si>
  <si>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</si>
  <si>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</si>
  <si>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</si>
  <si>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</si>
  <si>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</si>
  <si>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</si>
  <si>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</si>
  <si>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</si>
  <si>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</si>
  <si>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</si>
  <si>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</si>
  <si>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</si>
  <si>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</si>
  <si>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</si>
  <si>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</si>
  <si>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</si>
  <si>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</si>
  <si>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</si>
  <si>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</si>
  <si>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</si>
  <si>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</si>
  <si>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</si>
  <si>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</si>
  <si>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</si>
  <si>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</si>
  <si>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</si>
  <si>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</si>
  <si>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</si>
  <si>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</si>
  <si>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</si>
  <si>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</si>
  <si>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</si>
  <si>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</si>
  <si>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</si>
  <si>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</si>
  <si>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</si>
  <si>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</si>
  <si>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</si>
  <si>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</si>
  <si>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</si>
  <si>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</si>
  <si>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</si>
  <si>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</si>
  <si>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</si>
  <si>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</si>
  <si>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</si>
  <si>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</si>
  <si>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</si>
  <si>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</si>
  <si>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</si>
  <si>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</si>
  <si>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</si>
  <si>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</si>
  <si>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</si>
  <si>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</si>
  <si>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</si>
  <si>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</si>
  <si>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</si>
  <si>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</si>
  <si>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</si>
  <si>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</si>
  <si>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</si>
  <si>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</si>
  <si>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</si>
  <si>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</si>
  <si>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</si>
  <si>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</si>
  <si>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</si>
  <si>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</si>
  <si>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</si>
  <si>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</si>
  <si>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</si>
  <si>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</si>
  <si>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</si>
  <si>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</si>
  <si>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</si>
  <si>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</si>
  <si>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</si>
  <si>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</si>
  <si>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</si>
  <si>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</si>
  <si>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</si>
  <si>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</si>
  <si>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</si>
  <si>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</si>
  <si>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</si>
  <si>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</si>
  <si>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</si>
  <si>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</si>
  <si>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</si>
  <si>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</si>
  <si>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</si>
  <si>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</si>
  <si>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</si>
  <si>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</si>
  <si>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</si>
  <si>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</si>
  <si>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</si>
  <si>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</si>
  <si>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</si>
  <si>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</si>
  <si>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</si>
  <si>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</si>
  <si>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</si>
  <si>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</si>
  <si>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</si>
  <si>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</si>
  <si>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</si>
  <si>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</si>
  <si>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</si>
  <si>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</si>
  <si>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</si>
  <si>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</si>
  <si>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</si>
  <si>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</si>
  <si>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</si>
  <si>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</si>
  <si>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</si>
  <si>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</si>
  <si>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</si>
  <si>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</si>
  <si>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</si>
  <si>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</si>
  <si>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</si>
  <si>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</si>
  <si>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</si>
  <si>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</si>
  <si>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</si>
  <si>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</si>
  <si>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</si>
  <si>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</si>
  <si>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</si>
  <si>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</si>
  <si>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</si>
  <si>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</si>
  <si>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</si>
  <si>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</si>
  <si>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</si>
  <si>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</si>
  <si>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</si>
  <si>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</si>
  <si>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</si>
  <si>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</si>
  <si>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</si>
  <si>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</si>
  <si>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</si>
  <si>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</si>
  <si>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</si>
  <si>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</si>
  <si>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</si>
  <si>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</si>
  <si>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</si>
  <si>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</si>
  <si>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</si>
  <si>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</si>
  <si>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</si>
  <si>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</si>
  <si>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</si>
  <si>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</si>
  <si>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</si>
  <si>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</si>
  <si>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</si>
  <si>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</si>
  <si>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</si>
  <si>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</si>
  <si>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</si>
  <si>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</si>
  <si>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</si>
  <si>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</si>
  <si>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</si>
  <si>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</si>
  <si>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</si>
  <si>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</si>
  <si>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</si>
  <si>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</si>
  <si>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</si>
  <si>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</si>
  <si>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</si>
  <si>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</si>
  <si>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</si>
  <si>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</si>
  <si>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</si>
  <si>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</si>
  <si>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</si>
  <si>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</si>
  <si>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</si>
  <si>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</si>
  <si>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</si>
  <si>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</si>
  <si>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</si>
  <si>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</si>
  <si>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</si>
  <si>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</si>
  <si>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</si>
  <si>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</si>
  <si>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</si>
  <si>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</si>
  <si>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</si>
  <si>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</si>
  <si>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</si>
  <si>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</si>
  <si>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</si>
  <si>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</si>
  <si>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</si>
  <si>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</si>
  <si>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</si>
  <si>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</si>
  <si>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</si>
  <si>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</si>
  <si>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</si>
  <si>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</si>
  <si>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</si>
  <si>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</si>
  <si>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</si>
  <si>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</si>
  <si>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</si>
  <si>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</si>
  <si>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</si>
  <si>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</si>
  <si>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</si>
  <si>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</si>
  <si>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</si>
  <si>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</si>
  <si>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</si>
  <si>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</si>
  <si>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</si>
  <si>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</si>
  <si>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</si>
  <si>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</si>
  <si>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</si>
  <si>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</si>
  <si>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</si>
  <si>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</si>
  <si>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</si>
  <si>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</si>
  <si>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</si>
  <si>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</si>
  <si>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</si>
  <si>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</si>
  <si>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</si>
  <si>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</si>
  <si>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</si>
  <si>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</si>
  <si>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</si>
  <si>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</si>
  <si>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</si>
  <si>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</si>
  <si>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</si>
  <si>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</si>
  <si>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</si>
  <si>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</si>
  <si>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</si>
  <si>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</si>
  <si>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</si>
  <si>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</si>
  <si>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</si>
  <si>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</si>
  <si>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</si>
  <si>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</si>
  <si>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</si>
  <si>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</si>
  <si>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</si>
  <si>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</si>
  <si>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</si>
  <si>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</si>
  <si>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</si>
  <si>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</si>
  <si>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</si>
  <si>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</si>
  <si>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</si>
  <si>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</si>
  <si>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</si>
  <si>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</si>
  <si>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</si>
  <si>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</si>
  <si>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</si>
  <si>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</si>
  <si>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</si>
  <si>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</si>
  <si>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</si>
  <si>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</si>
  <si>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</si>
  <si>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</si>
  <si>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</si>
  <si>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</si>
  <si>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</si>
  <si>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</si>
  <si>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</si>
  <si>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</si>
  <si>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</si>
  <si>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</si>
  <si>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</si>
  <si>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</si>
  <si>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</si>
  <si>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</si>
  <si>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</si>
  <si>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</si>
  <si>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</si>
  <si>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</si>
  <si>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</si>
  <si>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</si>
  <si>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</si>
  <si>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</si>
  <si>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</si>
  <si>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</si>
  <si>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</si>
  <si>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</si>
  <si>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</si>
  <si>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</si>
  <si>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</si>
  <si>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</si>
  <si>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</si>
  <si>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</si>
  <si>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</si>
  <si>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</si>
  <si>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</si>
  <si>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</si>
  <si>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</si>
  <si>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</si>
  <si>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</si>
  <si>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</si>
  <si>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</si>
  <si>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</si>
  <si>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</si>
  <si>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</si>
  <si>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</si>
  <si>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</si>
  <si>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</si>
  <si>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</si>
  <si>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</si>
  <si>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</si>
  <si>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</si>
  <si>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</si>
  <si>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</si>
  <si>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</si>
  <si>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</si>
  <si>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</si>
  <si>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</si>
  <si>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</si>
  <si>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</si>
  <si>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</si>
  <si>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</si>
  <si>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</si>
  <si>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</si>
  <si>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</si>
  <si>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</si>
  <si>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</si>
  <si>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</si>
  <si>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</si>
  <si>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</si>
  <si>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</si>
  <si>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</si>
  <si>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</si>
  <si>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</si>
  <si>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</si>
  <si>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</si>
  <si>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</si>
  <si>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</si>
  <si>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</si>
  <si>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</si>
  <si>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</si>
  <si>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</si>
  <si>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</si>
  <si>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</si>
  <si>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</si>
  <si>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</si>
  <si>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</si>
  <si>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</si>
  <si>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</si>
  <si>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</si>
  <si>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</si>
  <si>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</si>
  <si>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</si>
  <si>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</si>
  <si>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</si>
  <si>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</si>
  <si>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</si>
  <si>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</si>
  <si>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</si>
  <si>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</si>
  <si>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</si>
  <si>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</si>
  <si>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</si>
  <si>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</si>
  <si>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</si>
  <si>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</si>
  <si>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</si>
  <si>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</si>
  <si>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</si>
  <si>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</si>
  <si>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</si>
  <si>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</si>
  <si>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</si>
  <si>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</si>
  <si>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</si>
  <si>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</si>
  <si>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</si>
  <si>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</si>
  <si>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</si>
  <si>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</si>
  <si>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</si>
  <si>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</si>
  <si>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</si>
  <si>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</si>
  <si>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</si>
  <si>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</si>
  <si>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</si>
  <si>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</si>
  <si>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</si>
  <si>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</si>
  <si>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</si>
  <si>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</si>
  <si>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</si>
  <si>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</si>
  <si>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</si>
  <si>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</si>
  <si>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</si>
  <si>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</si>
  <si>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</si>
  <si>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</si>
  <si>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</si>
  <si>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</si>
  <si>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</si>
  <si>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</si>
  <si>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</si>
  <si>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</si>
  <si>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</si>
  <si>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</si>
  <si>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</si>
  <si>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</si>
  <si>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</si>
  <si>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</si>
  <si>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</si>
  <si>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</si>
  <si>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</si>
  <si>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</si>
  <si>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</si>
  <si>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</si>
  <si>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</si>
  <si>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</si>
  <si>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</si>
  <si>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</si>
  <si>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</si>
  <si>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</si>
  <si>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</si>
  <si>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</si>
  <si>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</si>
  <si>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</si>
  <si>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</si>
  <si>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</si>
  <si>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</si>
  <si>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</si>
  <si>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</si>
  <si>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</si>
  <si>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</si>
  <si>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</si>
  <si>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</si>
  <si>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</si>
  <si>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</si>
  <si>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</si>
  <si>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</si>
  <si>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</si>
  <si>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</si>
  <si>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</si>
  <si>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</si>
  <si>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</si>
  <si>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</si>
  <si>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</si>
  <si>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</si>
  <si>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</si>
  <si>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</si>
  <si>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</si>
  <si>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</si>
  <si>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</si>
  <si>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</si>
  <si>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</si>
  <si>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</si>
  <si>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</si>
  <si>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</si>
  <si>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</si>
  <si>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</si>
  <si>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</si>
  <si>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</si>
  <si>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</si>
  <si>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</si>
  <si>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</si>
  <si>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</si>
  <si>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</si>
  <si>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</si>
  <si>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</si>
  <si>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</si>
  <si>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</si>
  <si>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</si>
  <si>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</si>
  <si>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</si>
  <si>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</si>
  <si>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</si>
  <si>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</si>
  <si>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</si>
  <si>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</si>
  <si>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</si>
  <si>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</si>
  <si>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</si>
  <si>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</si>
  <si>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</si>
  <si>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</si>
  <si>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</si>
  <si>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</si>
  <si>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</si>
  <si>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</si>
  <si>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</si>
  <si>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</si>
  <si>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</si>
  <si>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</si>
  <si>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</si>
  <si>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</si>
  <si>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</si>
  <si>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</si>
  <si>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</si>
  <si>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</si>
  <si>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</si>
  <si>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</si>
  <si>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</si>
  <si>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</si>
  <si>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</si>
  <si>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</si>
  <si>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</si>
  <si>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</si>
  <si>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</si>
  <si>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</si>
  <si>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</si>
  <si>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</si>
  <si>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</si>
  <si>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</si>
  <si>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</si>
  <si>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</si>
  <si>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</si>
  <si>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</si>
  <si>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</si>
  <si>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</si>
  <si>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</si>
  <si>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</si>
  <si>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</si>
  <si>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</si>
  <si>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</si>
  <si>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</si>
  <si>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</si>
  <si>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</si>
  <si>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</si>
  <si>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</si>
  <si>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</si>
  <si>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</si>
  <si>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</si>
  <si>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</si>
  <si>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</si>
  <si>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</si>
  <si>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</si>
  <si>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</si>
  <si>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</si>
  <si>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</si>
  <si>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</si>
  <si>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</si>
  <si>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</si>
  <si>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</si>
  <si>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</si>
  <si>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</si>
  <si>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</si>
  <si>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</si>
  <si>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</si>
  <si>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</si>
  <si>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</si>
  <si>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</si>
  <si>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</si>
  <si>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</si>
  <si>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</si>
  <si>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</si>
  <si>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</si>
  <si>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</si>
  <si>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</si>
  <si>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</si>
  <si>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</si>
  <si>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</si>
  <si>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</si>
  <si>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</si>
  <si>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</si>
  <si>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</si>
  <si>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</si>
  <si>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</si>
  <si>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</si>
  <si>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</si>
  <si>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</si>
  <si>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</si>
  <si>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</si>
  <si>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</si>
  <si>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</si>
  <si>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</si>
  <si>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</si>
  <si>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</si>
  <si>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</si>
  <si>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</si>
  <si>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</si>
  <si>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</si>
  <si>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</si>
  <si>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</si>
  <si>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</si>
  <si>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</si>
  <si>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</si>
  <si>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</si>
  <si>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</si>
  <si>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</si>
  <si>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</si>
  <si>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</si>
  <si>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</si>
  <si>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</si>
  <si>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</si>
  <si>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</si>
  <si>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</si>
  <si>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</si>
  <si>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</si>
  <si>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</si>
  <si>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</si>
  <si>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</si>
  <si>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</si>
  <si>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</si>
  <si>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</si>
  <si>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</si>
  <si>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</si>
  <si>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</si>
  <si>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</si>
  <si>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</si>
  <si>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</si>
  <si>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</si>
  <si>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</si>
  <si>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</si>
  <si>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</si>
  <si>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</si>
  <si>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</si>
  <si>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</si>
  <si>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</si>
  <si>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</si>
  <si>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</si>
  <si>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</si>
  <si>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</si>
  <si>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</si>
  <si>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</si>
  <si>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</si>
  <si>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</si>
  <si>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</si>
  <si>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</si>
  <si>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</si>
  <si>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</si>
  <si>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</si>
  <si>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</si>
  <si>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</si>
  <si>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</si>
  <si>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</si>
  <si>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</si>
  <si>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</si>
  <si>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</si>
  <si>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</si>
  <si>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</si>
  <si>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</si>
  <si>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</si>
  <si>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</si>
  <si>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</si>
  <si>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</si>
  <si>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</si>
  <si>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</si>
  <si>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</si>
  <si>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</si>
  <si>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</si>
  <si>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</si>
  <si>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</si>
  <si>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</si>
  <si>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</si>
  <si>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</si>
  <si>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</si>
  <si>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</si>
  <si>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</si>
  <si>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</si>
  <si>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</si>
  <si>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</si>
  <si>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</si>
  <si>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</si>
  <si>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</si>
  <si>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</si>
  <si>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</si>
  <si>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</si>
  <si>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</si>
  <si>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</si>
  <si>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</si>
  <si>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</si>
  <si>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</si>
  <si>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</si>
  <si>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</si>
  <si>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</si>
  <si>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</si>
  <si>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</si>
  <si>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</si>
  <si>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</si>
  <si>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</si>
  <si>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</si>
  <si>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</si>
  <si>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</si>
  <si>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</si>
  <si>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</si>
  <si>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</si>
  <si>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</si>
  <si>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</si>
  <si>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</si>
  <si>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</si>
  <si>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</si>
  <si>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</si>
  <si>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</si>
  <si>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</si>
  <si>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</si>
  <si>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</si>
  <si>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</si>
  <si>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</si>
  <si>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</si>
  <si>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</si>
  <si>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</si>
  <si>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</si>
  <si>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</si>
  <si>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</si>
  <si>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</si>
  <si>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</si>
  <si>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</si>
  <si>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</si>
  <si>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</si>
  <si>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</si>
  <si>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</si>
  <si>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</si>
  <si>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</si>
  <si>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</si>
  <si>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</si>
  <si>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</si>
  <si>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</si>
  <si>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</si>
  <si>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</si>
  <si>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</si>
  <si>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</si>
  <si>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</si>
  <si>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</si>
  <si>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</si>
  <si>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</si>
  <si>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</si>
  <si>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</si>
  <si>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</si>
  <si>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</si>
  <si>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</si>
  <si>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</si>
  <si>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</si>
  <si>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</si>
  <si>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</si>
  <si>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</si>
  <si>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</si>
  <si>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</si>
  <si>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</si>
  <si>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</si>
  <si>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</si>
  <si>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</si>
  <si>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</si>
  <si>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</si>
  <si>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</si>
  <si>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</si>
  <si>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</si>
  <si>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</si>
  <si>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</si>
  <si>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</si>
  <si>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</si>
  <si>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</si>
  <si>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</si>
  <si>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</si>
  <si>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</si>
  <si>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</si>
  <si>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</si>
  <si>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</si>
  <si>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</si>
  <si>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</si>
  <si>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</si>
  <si>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</si>
  <si>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</si>
  <si>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</si>
  <si>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</si>
  <si>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</si>
  <si>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</si>
  <si>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</si>
  <si>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</si>
  <si>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</si>
  <si>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</si>
  <si>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</si>
  <si>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</si>
  <si>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</si>
  <si>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</si>
  <si>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</si>
  <si>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</si>
  <si>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</si>
  <si>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</si>
  <si>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</si>
  <si>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</si>
  <si>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</si>
  <si>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</si>
  <si>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</si>
  <si>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</si>
  <si>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</si>
  <si>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</si>
  <si>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</si>
  <si>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</si>
  <si>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</si>
  <si>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</si>
  <si>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</si>
  <si>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</si>
  <si>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</si>
  <si>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</si>
  <si>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</si>
  <si>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</si>
  <si>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</si>
  <si>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</si>
  <si>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</si>
  <si>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</si>
  <si>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</si>
  <si>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</si>
  <si>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</si>
  <si>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</si>
  <si>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</si>
  <si>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</si>
  <si>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</si>
  <si>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</si>
  <si>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</si>
  <si>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</si>
  <si>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</si>
  <si>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</si>
  <si>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</si>
  <si>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</si>
  <si>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</si>
  <si>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</si>
  <si>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</si>
  <si>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</si>
  <si>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</si>
  <si>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</si>
  <si>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</si>
  <si>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</si>
  <si>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</si>
  <si>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</si>
  <si>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</si>
  <si>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</si>
  <si>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</si>
  <si>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</si>
  <si>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</si>
  <si>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</si>
  <si>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</si>
  <si>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</si>
  <si>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</si>
  <si>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</si>
  <si>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</si>
  <si>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</si>
  <si>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</si>
  <si>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</si>
  <si>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</si>
  <si>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</si>
  <si>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</si>
  <si>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</si>
  <si>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</si>
  <si>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</si>
  <si>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</si>
  <si>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</si>
  <si>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</si>
  <si>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</si>
  <si>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</si>
  <si>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</si>
  <si>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</si>
  <si>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</si>
  <si>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</si>
  <si>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</si>
  <si>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</si>
  <si>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</si>
  <si>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</si>
  <si>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</si>
  <si>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</si>
  <si>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</si>
  <si>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</si>
  <si>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</si>
  <si>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</si>
  <si>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</si>
  <si>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</si>
  <si>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</si>
  <si>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</si>
  <si>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</si>
  <si>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</si>
  <si>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</si>
  <si>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</si>
  <si>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</si>
  <si>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</si>
  <si>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</si>
  <si>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</si>
  <si>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</si>
  <si>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</si>
  <si>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</si>
  <si>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</si>
  <si>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</si>
  <si>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</si>
  <si>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</si>
  <si>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</si>
  <si>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</si>
  <si>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</si>
  <si>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</si>
  <si>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</si>
  <si>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</si>
  <si>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</si>
  <si>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</si>
  <si>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</si>
  <si>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</si>
  <si>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</si>
  <si>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</si>
  <si>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</si>
  <si>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</si>
  <si>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</si>
  <si>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</si>
  <si>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</si>
  <si>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</si>
  <si>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</si>
  <si>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</si>
  <si>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</si>
  <si>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</si>
  <si>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</si>
  <si>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</si>
  <si>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</si>
  <si>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</si>
  <si>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</si>
  <si>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</si>
  <si>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</si>
  <si>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</si>
  <si>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</si>
  <si>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</si>
  <si>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</si>
  <si>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</si>
  <si>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</si>
  <si>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</si>
  <si>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</si>
  <si>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</si>
  <si>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</si>
  <si>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</si>
  <si>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</si>
  <si>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</si>
  <si>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</si>
  <si>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</si>
  <si>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</si>
  <si>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</si>
  <si>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</si>
  <si>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</si>
  <si>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</si>
  <si>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</si>
  <si>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</si>
  <si>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</si>
  <si>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</si>
  <si>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</si>
  <si>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</si>
  <si>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</si>
  <si>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</si>
  <si>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</si>
  <si>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</si>
  <si>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</si>
  <si>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</si>
  <si>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</si>
  <si>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</si>
  <si>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</si>
  <si>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</si>
  <si>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</si>
  <si>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</si>
  <si>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</si>
  <si>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</si>
  <si>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</si>
  <si>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</si>
  <si>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</si>
  <si>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</si>
  <si>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</si>
  <si>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</si>
  <si>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</si>
  <si>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</si>
  <si>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</si>
  <si>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</si>
  <si>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</si>
  <si>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</si>
  <si>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</si>
  <si>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</si>
  <si>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</si>
  <si>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</si>
  <si>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</si>
  <si>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</si>
  <si>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</si>
  <si>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</si>
  <si>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</si>
  <si>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</si>
  <si>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</si>
  <si>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</si>
  <si>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</si>
  <si>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</si>
  <si>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</si>
  <si>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</si>
  <si>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</si>
  <si>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</si>
  <si>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</si>
  <si>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</si>
  <si>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</si>
  <si>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</si>
  <si>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</si>
  <si>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</si>
  <si>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</si>
  <si>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</si>
  <si>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</si>
  <si>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</si>
  <si>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</si>
  <si>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</si>
  <si>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</si>
  <si>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</si>
  <si>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</si>
  <si>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</si>
  <si>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</si>
  <si>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</si>
  <si>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</si>
  <si>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</si>
  <si>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</si>
  <si>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</si>
  <si>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</si>
  <si>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</si>
  <si>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</si>
  <si>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</si>
  <si>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</si>
  <si>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</si>
  <si>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</si>
  <si>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</si>
  <si>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</si>
  <si>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</si>
  <si>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</si>
  <si>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</si>
  <si>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</si>
  <si>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</si>
  <si>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</si>
  <si>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</si>
  <si>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</si>
  <si>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</si>
  <si>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</si>
  <si>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</si>
  <si>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</si>
  <si>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</si>
  <si>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</si>
  <si>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</si>
  <si>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</si>
  <si>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</si>
  <si>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</si>
  <si>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</si>
  <si>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</si>
  <si>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</si>
  <si>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</si>
  <si>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</si>
  <si>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</si>
  <si>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</si>
  <si>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</si>
  <si>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</si>
  <si>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</si>
  <si>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</si>
  <si>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</si>
  <si>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</si>
  <si>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</si>
  <si>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</si>
  <si>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</si>
  <si>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</si>
  <si>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</si>
  <si>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</si>
  <si>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</si>
  <si>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</si>
  <si>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</si>
  <si>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</si>
  <si>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</si>
  <si>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</si>
  <si>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</si>
  <si>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</si>
  <si>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</si>
  <si>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</si>
  <si>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</si>
  <si>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</si>
  <si>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</si>
  <si>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</si>
  <si>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</si>
  <si>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</si>
  <si>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</si>
  <si>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</si>
  <si>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</si>
  <si>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</si>
  <si>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</si>
  <si>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</si>
  <si>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</si>
  <si>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</si>
  <si>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</si>
  <si>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</si>
  <si>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</si>
  <si>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</si>
  <si>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</si>
  <si>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</si>
  <si>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</si>
  <si>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</si>
  <si>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</si>
  <si>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</si>
  <si>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</si>
  <si>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</si>
  <si>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</si>
  <si>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</si>
  <si>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</si>
  <si>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</si>
  <si>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</si>
  <si>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</si>
  <si>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</si>
  <si>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</si>
  <si>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</si>
  <si>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</si>
  <si>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</si>
  <si>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</si>
  <si>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</si>
  <si>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</si>
  <si>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</si>
  <si>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</si>
  <si>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</si>
  <si>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</si>
  <si>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</si>
  <si>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</si>
  <si>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</si>
  <si>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</si>
  <si>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</si>
  <si>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</si>
  <si>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</si>
  <si>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</si>
  <si>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</si>
  <si>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</si>
  <si>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</si>
  <si>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</si>
  <si>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</si>
  <si>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</si>
  <si>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</si>
  <si>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</si>
  <si>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</si>
  <si>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</si>
  <si>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</si>
  <si>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</si>
  <si>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</si>
  <si>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</si>
  <si>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</si>
  <si>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</si>
  <si>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</si>
  <si>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</si>
  <si>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</si>
  <si>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</si>
  <si>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</si>
  <si>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</si>
  <si>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</si>
  <si>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</si>
  <si>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</si>
  <si>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</si>
  <si>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</si>
  <si>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</si>
  <si>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</si>
  <si>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</si>
  <si>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</si>
  <si>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</si>
  <si>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</si>
  <si>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</si>
  <si>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</si>
  <si>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</si>
  <si>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</si>
  <si>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</si>
  <si>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</si>
  <si>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</si>
  <si>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</si>
  <si>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</si>
  <si>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</si>
  <si>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</si>
  <si>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</si>
  <si>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</si>
  <si>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</si>
  <si>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</si>
  <si>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</si>
  <si>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</si>
  <si>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</si>
  <si>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</si>
  <si>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</si>
  <si>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</si>
  <si>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</si>
  <si>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</si>
  <si>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</si>
  <si>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</si>
  <si>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</si>
  <si>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</si>
  <si>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</si>
  <si>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</si>
  <si>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</si>
  <si>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</si>
  <si>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</si>
  <si>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</si>
  <si>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</si>
  <si>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</si>
  <si>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</si>
  <si>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</si>
  <si>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</si>
  <si>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</si>
  <si>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</si>
  <si>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</si>
  <si>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</si>
  <si>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</si>
  <si>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</si>
  <si>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</si>
  <si>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</si>
  <si>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</si>
  <si>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</si>
  <si>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</si>
  <si>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</si>
  <si>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</si>
  <si>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</si>
  <si>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</si>
  <si>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</si>
  <si>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</si>
  <si>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</si>
  <si>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</si>
  <si>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</si>
  <si>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</si>
  <si>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</si>
  <si>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</si>
  <si>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</si>
  <si>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</si>
  <si>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</si>
  <si>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</si>
  <si>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</si>
  <si>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</si>
  <si>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</si>
  <si>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</si>
  <si>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</si>
  <si>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</si>
  <si>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</si>
  <si>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</si>
  <si>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</si>
  <si>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</si>
  <si>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</si>
  <si>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</si>
  <si>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</si>
  <si>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</si>
  <si>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</si>
  <si>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</si>
  <si>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</si>
  <si>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</si>
  <si>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</si>
  <si>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</si>
  <si>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</si>
  <si>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</si>
  <si>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</si>
  <si>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</si>
  <si>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</si>
  <si>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</si>
  <si>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</si>
  <si>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</si>
  <si>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</si>
  <si>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</si>
  <si>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</si>
  <si>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</si>
  <si>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</si>
  <si>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</si>
  <si>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</si>
  <si>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</si>
  <si>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</si>
  <si>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</si>
  <si>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</si>
  <si>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</si>
  <si>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</si>
  <si>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</si>
  <si>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</si>
  <si>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</si>
  <si>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</si>
  <si>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</si>
  <si>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</si>
  <si>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</si>
  <si>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</si>
  <si>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</si>
  <si>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</si>
  <si>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</si>
  <si>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</si>
  <si>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</si>
  <si>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</si>
  <si>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</si>
  <si>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</si>
  <si>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</si>
  <si>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</si>
  <si>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</si>
  <si>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</si>
  <si>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</si>
  <si>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</si>
  <si>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</si>
  <si>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</si>
  <si>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</si>
  <si>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</si>
  <si>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</si>
  <si>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</si>
  <si>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</si>
  <si>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</si>
  <si>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</si>
  <si>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</si>
  <si>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</si>
  <si>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</si>
  <si>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</si>
  <si>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</si>
  <si>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</si>
  <si>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</si>
  <si>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</si>
  <si>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</si>
  <si>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</si>
  <si>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</si>
  <si>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</si>
  <si>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</si>
  <si>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</si>
  <si>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</si>
  <si>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</si>
  <si>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</si>
  <si>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</si>
  <si>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</si>
  <si>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</si>
  <si>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</si>
  <si>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</si>
  <si>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</si>
  <si>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</si>
  <si>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</si>
  <si>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</si>
  <si>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</si>
  <si>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</si>
  <si>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</si>
  <si>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</si>
  <si>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</si>
  <si>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</si>
  <si>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</si>
  <si>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</si>
  <si>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</si>
  <si>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</si>
  <si>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</si>
  <si>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</si>
  <si>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</si>
  <si>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</si>
  <si>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</si>
  <si>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</si>
  <si>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</si>
  <si>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</si>
  <si>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</si>
  <si>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</si>
  <si>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</si>
  <si>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</si>
  <si>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</si>
  <si>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</si>
  <si>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</si>
  <si>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</si>
  <si>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</si>
  <si>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</si>
  <si>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</si>
  <si>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</si>
  <si>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</si>
  <si>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</si>
  <si>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</si>
  <si>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</si>
  <si>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</si>
  <si>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</si>
  <si>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</si>
  <si>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</si>
  <si>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</si>
  <si>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</si>
  <si>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</si>
  <si>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</si>
  <si>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</si>
  <si>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</si>
  <si>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</si>
  <si>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</si>
  <si>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</si>
  <si>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</si>
  <si>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</si>
  <si>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</si>
  <si>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</si>
  <si>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</si>
  <si>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</si>
  <si>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</si>
  <si>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</si>
  <si>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</si>
  <si>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</si>
  <si>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</si>
  <si>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</si>
  <si>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</si>
  <si>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</si>
  <si>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</si>
  <si>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</si>
  <si>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</si>
  <si>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</si>
  <si>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</si>
  <si>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</si>
  <si>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</si>
  <si>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</si>
  <si>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</si>
  <si>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</si>
  <si>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</si>
  <si>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</si>
  <si>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</si>
  <si>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</si>
  <si>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</si>
  <si>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</si>
  <si>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</si>
  <si>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</si>
  <si>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</si>
  <si>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</si>
  <si>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</si>
  <si>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</si>
  <si>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</si>
  <si>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</si>
  <si>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</si>
  <si>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</si>
  <si>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</si>
  <si>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</si>
  <si>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</si>
  <si>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</si>
  <si>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</si>
  <si>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</si>
  <si>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</si>
  <si>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</si>
  <si>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</si>
  <si>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</si>
  <si>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</si>
  <si>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</si>
  <si>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</si>
  <si>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</si>
  <si>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</si>
  <si>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</si>
  <si>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</si>
  <si>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</si>
  <si>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</si>
  <si>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</si>
  <si>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</si>
  <si>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</si>
  <si>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</si>
  <si>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</si>
  <si>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</si>
  <si>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</si>
  <si>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</si>
  <si>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</si>
  <si>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</si>
  <si>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</si>
  <si>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</si>
  <si>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</si>
  <si>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</si>
  <si>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</si>
  <si>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</si>
  <si>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</si>
  <si>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</si>
  <si>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</si>
  <si>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</si>
  <si>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</si>
  <si>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</si>
  <si>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</si>
  <si>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</si>
  <si>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</si>
  <si>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</si>
  <si>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</si>
  <si>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</si>
  <si>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</si>
  <si>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</si>
  <si>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</si>
  <si>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</si>
  <si>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</si>
  <si>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</si>
  <si>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</si>
  <si>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</si>
  <si>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</si>
  <si>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</si>
  <si>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</si>
  <si>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</si>
  <si>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</si>
  <si>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</si>
  <si>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</si>
  <si>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</si>
  <si>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</si>
  <si>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</si>
  <si>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</si>
  <si>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</si>
  <si>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</si>
  <si>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</si>
  <si>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</si>
  <si>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</si>
  <si>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</si>
  <si>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</si>
  <si>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</si>
  <si>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</si>
  <si>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</si>
  <si>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</si>
  <si>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</si>
  <si>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</si>
  <si>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</si>
  <si>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</si>
  <si>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</si>
  <si>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</si>
  <si>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</si>
  <si>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</si>
  <si>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</si>
  <si>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</si>
  <si>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</si>
  <si>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</si>
  <si>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</si>
  <si>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</si>
  <si>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</si>
  <si>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</si>
  <si>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</si>
  <si>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</si>
  <si>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</si>
  <si>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</si>
  <si>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</si>
  <si>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</si>
  <si>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</si>
  <si>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</si>
  <si>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</si>
  <si>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</si>
  <si>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</si>
  <si>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</si>
  <si>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</si>
  <si>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</si>
  <si>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</si>
  <si>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</si>
  <si>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</si>
  <si>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</si>
  <si>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</si>
  <si>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</si>
  <si>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</si>
  <si>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</si>
  <si>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</si>
  <si>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</si>
  <si>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</si>
  <si>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</si>
  <si>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</si>
  <si>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</si>
  <si>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</si>
  <si>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</si>
  <si>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</si>
  <si>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</si>
  <si>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</si>
  <si>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</si>
  <si>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</si>
  <si>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</si>
  <si>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</si>
  <si>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</si>
  <si>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</si>
  <si>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</si>
  <si>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</si>
  <si>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</si>
  <si>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</si>
  <si>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</si>
  <si>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</si>
  <si>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</si>
  <si>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</si>
  <si>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</si>
  <si>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</si>
  <si>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</si>
  <si>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</si>
  <si>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</si>
  <si>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</si>
  <si>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</si>
  <si>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</si>
  <si>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</si>
  <si>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</si>
  <si>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</si>
  <si>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</si>
  <si>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</si>
  <si>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</si>
  <si>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</si>
  <si>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</si>
  <si>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</si>
  <si>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</si>
  <si>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</si>
  <si>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</si>
  <si>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</si>
  <si>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</si>
  <si>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</si>
  <si>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</si>
  <si>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</si>
  <si>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</si>
  <si>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</si>
  <si>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</si>
  <si>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</si>
  <si>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</si>
  <si>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</si>
  <si>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</si>
  <si>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</si>
  <si>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</si>
  <si>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</si>
  <si>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</si>
  <si>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</si>
  <si>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</si>
  <si>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</si>
  <si>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</si>
  <si>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</si>
  <si>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</si>
  <si>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</si>
  <si>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</si>
  <si>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</si>
  <si>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</si>
  <si>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</si>
  <si>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</si>
  <si>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</si>
  <si>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</si>
  <si>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</si>
  <si>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</si>
  <si>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</si>
  <si>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</si>
  <si>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</si>
  <si>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</si>
  <si>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</si>
  <si>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</si>
  <si>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</si>
  <si>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</si>
  <si>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</si>
  <si>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</si>
  <si>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</si>
  <si>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</si>
  <si>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</si>
  <si>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</si>
  <si>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</si>
  <si>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</si>
  <si>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</si>
  <si>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</si>
  <si>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</si>
  <si>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</si>
  <si>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</si>
  <si>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</si>
  <si>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</si>
  <si>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</si>
  <si>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</si>
  <si>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</si>
  <si>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</si>
  <si>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</si>
  <si>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</si>
  <si>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</si>
  <si>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</si>
  <si>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</si>
  <si>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</si>
  <si>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</si>
  <si>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</si>
  <si>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</si>
  <si>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</si>
  <si>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</si>
  <si>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</si>
  <si>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</si>
  <si>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</si>
  <si>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</si>
  <si>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</si>
  <si>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</si>
  <si>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</si>
  <si>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</si>
  <si>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</si>
  <si>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</si>
  <si>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</si>
  <si>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</si>
  <si>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</si>
  <si>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</si>
  <si>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</si>
  <si>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</si>
  <si>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</si>
  <si>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</si>
  <si>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</si>
  <si>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</si>
  <si>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</si>
  <si>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</si>
  <si>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</si>
  <si>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</si>
  <si>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</si>
  <si>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</si>
  <si>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</si>
  <si>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</si>
  <si>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</si>
  <si>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</si>
  <si>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</si>
  <si>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</si>
  <si>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</si>
  <si>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</si>
  <si>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</si>
  <si>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</si>
  <si>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</si>
  <si>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</si>
  <si>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</si>
  <si>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</si>
  <si>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</si>
  <si>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</si>
  <si>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</si>
  <si>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</si>
  <si>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</si>
  <si>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</si>
  <si>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</si>
  <si>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</si>
  <si>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</si>
  <si>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</si>
  <si>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</si>
  <si>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</si>
  <si>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</si>
  <si>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</si>
  <si>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</si>
  <si>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</si>
  <si>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</si>
  <si>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</si>
  <si>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</si>
  <si>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</si>
  <si>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</si>
  <si>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</si>
  <si>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</si>
  <si>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</si>
  <si>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</si>
  <si>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</si>
  <si>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</si>
  <si>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</si>
  <si>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</si>
  <si>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</si>
  <si>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</si>
  <si>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</si>
  <si>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</si>
  <si>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</si>
  <si>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</si>
  <si>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</si>
  <si>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</si>
  <si>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</si>
  <si>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</si>
  <si>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</si>
  <si>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</si>
  <si>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</si>
  <si>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</si>
  <si>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</si>
  <si>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</si>
  <si>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</si>
  <si>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</si>
  <si>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</si>
  <si>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</si>
  <si>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</si>
  <si>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</si>
  <si>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</si>
  <si>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</si>
  <si>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</si>
  <si>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</si>
  <si>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</si>
  <si>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</si>
  <si>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</si>
  <si>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</si>
  <si>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</si>
  <si>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</si>
  <si>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</si>
  <si>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</si>
  <si>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</si>
  <si>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</si>
  <si>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</si>
  <si>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</si>
  <si>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</si>
  <si>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</si>
  <si>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</si>
  <si>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</si>
  <si>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</si>
  <si>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</si>
  <si>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</si>
  <si>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</si>
  <si>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</si>
  <si>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</si>
  <si>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</si>
  <si>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</si>
  <si>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</si>
  <si>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</si>
  <si>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</si>
  <si>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</si>
  <si>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</si>
  <si>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</si>
  <si>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</si>
  <si>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</si>
  <si>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</si>
  <si>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</si>
  <si>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</si>
  <si>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</si>
  <si>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</si>
  <si>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</si>
  <si>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</si>
  <si>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</si>
  <si>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</si>
  <si>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</si>
  <si>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</si>
  <si>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</si>
  <si>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</si>
  <si>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</si>
  <si>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</si>
  <si>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</si>
  <si>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</si>
  <si>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</si>
  <si>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</si>
  <si>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</si>
  <si>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</si>
  <si>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</si>
  <si>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</si>
  <si>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</si>
  <si>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</si>
  <si>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</si>
  <si>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</si>
  <si>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</si>
  <si>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</si>
  <si>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</si>
  <si>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</si>
  <si>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</si>
  <si>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</si>
  <si>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</si>
  <si>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</si>
  <si>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</si>
  <si>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</si>
  <si>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</si>
  <si>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</si>
  <si>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</si>
  <si>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</si>
  <si>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</si>
  <si>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</si>
  <si>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</si>
  <si>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</si>
  <si>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</si>
  <si>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</si>
  <si>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</si>
  <si>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</si>
  <si>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</si>
  <si>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</si>
  <si>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</si>
  <si>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</si>
  <si>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</si>
  <si>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</si>
  <si>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</si>
  <si>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</si>
  <si>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</si>
  <si>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</si>
  <si>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</si>
  <si>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</si>
  <si>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</si>
  <si>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</si>
  <si>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</si>
  <si>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</si>
  <si>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</si>
  <si>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</si>
  <si>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</si>
  <si>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</si>
  <si>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</si>
  <si>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</si>
  <si>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</si>
  <si>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</si>
  <si>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</si>
  <si>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</si>
  <si>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</si>
  <si>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</si>
  <si>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</si>
  <si>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</si>
  <si>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</si>
  <si>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</si>
  <si>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</si>
  <si>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</si>
  <si>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</si>
  <si>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</si>
  <si>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</si>
  <si>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</si>
  <si>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</si>
  <si>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</si>
  <si>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</si>
  <si>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</si>
  <si>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</si>
  <si>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</si>
  <si>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</si>
  <si>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</si>
  <si>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</si>
  <si>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</si>
  <si>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</si>
  <si>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</si>
  <si>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</si>
  <si>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</si>
  <si>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</si>
  <si>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</si>
  <si>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</si>
  <si>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</si>
  <si>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</si>
  <si>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</si>
  <si>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</si>
  <si>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</si>
  <si>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</si>
  <si>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</si>
  <si>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</si>
  <si>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</si>
  <si>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</si>
  <si>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</si>
  <si>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</si>
  <si>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</si>
  <si>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</si>
  <si>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</si>
  <si>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</si>
  <si>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</si>
  <si>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</si>
  <si>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</si>
  <si>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</si>
  <si>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</si>
  <si>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</si>
  <si>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</si>
  <si>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</si>
  <si>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</si>
  <si>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</si>
  <si>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</si>
  <si>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</si>
  <si>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</si>
  <si>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</si>
  <si>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</si>
  <si>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</si>
  <si>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</si>
  <si>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</si>
  <si>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</si>
  <si>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</si>
  <si>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</si>
  <si>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</si>
  <si>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</si>
  <si>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</si>
  <si>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</si>
  <si>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</si>
  <si>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</si>
  <si>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</si>
  <si>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</si>
  <si>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</si>
  <si>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</si>
  <si>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</si>
  <si>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</si>
  <si>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</si>
  <si>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</si>
  <si>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</si>
  <si>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</si>
  <si>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</si>
  <si>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</si>
  <si>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</si>
  <si>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</si>
  <si>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</si>
  <si>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</si>
  <si>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</si>
  <si>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</si>
  <si>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</si>
  <si>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</si>
  <si>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</si>
  <si>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</si>
  <si>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</si>
  <si>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</si>
  <si>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</si>
  <si>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</si>
  <si>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</si>
  <si>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</si>
  <si>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</si>
  <si>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</si>
  <si>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</si>
  <si>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</si>
  <si>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</si>
  <si>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</si>
  <si>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</si>
  <si>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</si>
  <si>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</si>
  <si>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</si>
  <si>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</si>
  <si>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</si>
  <si>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</si>
  <si>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</si>
  <si>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</si>
  <si>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</si>
  <si>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</si>
  <si>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</si>
  <si>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</si>
  <si>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</si>
  <si>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</si>
  <si>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</si>
  <si>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</si>
  <si>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</si>
  <si>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</si>
  <si>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</si>
  <si>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</si>
  <si>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</si>
  <si>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</si>
  <si>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</si>
  <si>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</si>
  <si>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</si>
  <si>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</si>
  <si>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</si>
  <si>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</si>
  <si>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</si>
  <si>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</si>
  <si>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</si>
  <si>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</si>
  <si>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</si>
  <si>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</si>
  <si>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</si>
  <si>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</si>
  <si>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</si>
  <si>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</si>
  <si>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</si>
  <si>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</si>
  <si>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</si>
  <si>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</si>
  <si>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</si>
  <si>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</si>
  <si>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</si>
  <si>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</si>
  <si>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</si>
  <si>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</si>
  <si>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</si>
  <si>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</si>
  <si>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</si>
  <si>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</si>
  <si>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</si>
  <si>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</si>
  <si>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</si>
  <si>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</si>
  <si>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</si>
  <si>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</si>
  <si>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</si>
  <si>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</si>
  <si>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</si>
  <si>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</si>
  <si>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</si>
  <si>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</si>
  <si>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</si>
  <si>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</si>
  <si>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</si>
  <si>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</si>
  <si>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</si>
  <si>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</si>
  <si>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</si>
  <si>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</si>
  <si>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</si>
  <si>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</si>
  <si>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</si>
  <si>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</si>
  <si>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</si>
  <si>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</si>
  <si>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</si>
  <si>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</si>
  <si>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</si>
  <si>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</si>
  <si>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</si>
  <si>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</si>
  <si>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</si>
  <si>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</si>
  <si>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</si>
  <si>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</si>
  <si>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</si>
  <si>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</si>
  <si>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</si>
  <si>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</si>
  <si>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</si>
  <si>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</si>
  <si>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</si>
  <si>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</si>
  <si>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</si>
  <si>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</si>
  <si>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</si>
  <si>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</si>
  <si>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</si>
  <si>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</si>
  <si>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</si>
  <si>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</si>
  <si>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</si>
  <si>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</si>
  <si>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</si>
  <si>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</si>
  <si>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</si>
  <si>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</si>
  <si>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</si>
  <si>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</si>
  <si>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</si>
  <si>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</si>
  <si>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</si>
  <si>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</si>
  <si>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</si>
  <si>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</si>
  <si>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</si>
  <si>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</si>
  <si>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</si>
  <si>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</si>
  <si>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</si>
  <si>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</si>
  <si>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</si>
  <si>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</si>
  <si>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</si>
  <si>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</si>
  <si>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</si>
  <si>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</si>
  <si>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</si>
  <si>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</si>
  <si>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</si>
  <si>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</si>
  <si>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</si>
  <si>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</si>
  <si>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</si>
  <si>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</si>
  <si>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</si>
  <si>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</si>
  <si>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</si>
  <si>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</si>
  <si>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</si>
  <si>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</si>
  <si>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</si>
  <si>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</si>
  <si>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</si>
  <si>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</si>
  <si>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</si>
  <si>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</si>
  <si>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</si>
  <si>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</si>
  <si>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</si>
  <si>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</si>
  <si>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</si>
  <si>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</si>
  <si>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</si>
  <si>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</si>
  <si>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</si>
  <si>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</si>
  <si>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</si>
  <si>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</si>
  <si>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</si>
  <si>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</si>
  <si>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</si>
  <si>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</si>
  <si>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</si>
  <si>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</si>
  <si>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</si>
  <si>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</si>
  <si>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</si>
  <si>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</si>
  <si>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</si>
  <si>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</si>
  <si>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</si>
  <si>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</si>
  <si>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</si>
  <si>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</si>
  <si>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</si>
  <si>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</si>
  <si>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</si>
  <si>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</si>
  <si>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</si>
  <si>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</si>
  <si>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</si>
  <si>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</si>
  <si>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</si>
  <si>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</si>
  <si>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</si>
  <si>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</si>
  <si>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</si>
  <si>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</si>
  <si>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</si>
  <si>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</si>
  <si>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</si>
  <si>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</si>
  <si>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</si>
  <si>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</si>
  <si>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</si>
  <si>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</si>
  <si>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</si>
  <si>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</si>
  <si>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</si>
  <si>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</si>
  <si>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</si>
  <si>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</si>
  <si>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</si>
  <si>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</si>
  <si>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</si>
  <si>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</si>
  <si>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</si>
  <si>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</si>
  <si>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</si>
  <si>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</si>
  <si>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</si>
  <si>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</si>
  <si>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</si>
  <si>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</si>
  <si>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</si>
  <si>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</si>
  <si>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</si>
  <si>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</si>
  <si>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</si>
  <si>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</si>
  <si>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</si>
  <si>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</si>
  <si>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</si>
  <si>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</si>
  <si>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</si>
  <si>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</si>
  <si>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</si>
  <si>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</si>
  <si>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</si>
  <si>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</si>
  <si>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</si>
  <si>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</si>
  <si>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</si>
  <si>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</si>
  <si>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</si>
  <si>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</si>
  <si>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</si>
  <si>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</si>
  <si>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</si>
  <si>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</si>
  <si>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</si>
  <si>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</si>
  <si>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</si>
  <si>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</si>
  <si>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</si>
  <si>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</si>
  <si>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</si>
  <si>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</si>
  <si>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</si>
  <si>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</si>
  <si>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</si>
  <si>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</si>
  <si>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</si>
  <si>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</si>
  <si>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</si>
  <si>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</si>
  <si>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</si>
  <si>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</si>
  <si>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</si>
  <si>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</si>
  <si>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</si>
  <si>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</si>
  <si>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</si>
  <si>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</si>
  <si>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</si>
  <si>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</si>
  <si>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</si>
  <si>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</si>
  <si>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</si>
  <si>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</si>
  <si>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</si>
  <si>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</si>
  <si>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</si>
  <si>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</si>
  <si>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</si>
  <si>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</si>
  <si>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</si>
  <si>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</si>
  <si>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</si>
  <si>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</si>
  <si>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</si>
  <si>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</si>
  <si>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</si>
  <si>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</si>
  <si>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</si>
  <si>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</si>
  <si>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</si>
  <si>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</si>
  <si>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</si>
  <si>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</si>
  <si>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</si>
  <si>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</si>
  <si>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</si>
  <si>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</si>
  <si>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</si>
  <si>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</si>
  <si>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</si>
  <si>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</si>
  <si>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</si>
  <si>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</si>
  <si>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</si>
  <si>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</si>
  <si>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</si>
  <si>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</si>
  <si>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</si>
  <si>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</si>
  <si>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</si>
  <si>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</si>
  <si>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</si>
  <si>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</si>
  <si>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</si>
  <si>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</si>
  <si>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</si>
  <si>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</si>
  <si>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</si>
  <si>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</si>
  <si>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</si>
  <si>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</si>
  <si>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</si>
  <si>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</si>
  <si>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</si>
  <si>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</si>
  <si>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</si>
  <si>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</si>
  <si>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</si>
  <si>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</si>
  <si>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</si>
  <si>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</si>
  <si>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</si>
  <si>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</si>
  <si>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</si>
  <si>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</si>
  <si>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</si>
  <si>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</si>
  <si>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</si>
  <si>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</si>
  <si>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</si>
  <si>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</si>
  <si>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</si>
  <si>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</si>
  <si>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</si>
  <si>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</si>
  <si>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</si>
  <si>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</si>
  <si>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</si>
  <si>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</si>
  <si>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</si>
  <si>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</si>
  <si>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</si>
  <si>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</si>
  <si>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</si>
  <si>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</si>
  <si>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</si>
  <si>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</si>
  <si>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</si>
  <si>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</si>
  <si>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</si>
  <si>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</si>
  <si>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</si>
  <si>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</si>
  <si>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</si>
  <si>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</si>
  <si>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</si>
  <si>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</si>
  <si>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</si>
  <si>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</si>
  <si>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</si>
  <si>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</si>
  <si>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</si>
  <si>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</si>
  <si>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</si>
  <si>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</si>
  <si>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</si>
  <si>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</si>
  <si>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</si>
  <si>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</si>
  <si>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</si>
  <si>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</si>
  <si>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</si>
  <si>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</si>
  <si>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</si>
  <si>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</si>
  <si>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</si>
  <si>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</si>
  <si>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</si>
  <si>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</si>
  <si>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</si>
  <si>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</si>
  <si>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</si>
  <si>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</si>
  <si>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</si>
  <si>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</si>
  <si>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</si>
  <si>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</si>
  <si>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</si>
  <si>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</si>
  <si>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</si>
  <si>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</si>
  <si>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</si>
  <si>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</si>
  <si>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</si>
  <si>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</si>
  <si>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</si>
  <si>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</si>
  <si>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</si>
  <si>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</si>
  <si>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</si>
  <si>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</si>
  <si>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</si>
  <si>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</si>
  <si>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</si>
  <si>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</si>
  <si>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</si>
  <si>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</si>
  <si>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</si>
  <si>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</si>
  <si>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</si>
  <si>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</si>
  <si>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</si>
  <si>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</si>
  <si>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</si>
  <si>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</si>
  <si>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</si>
  <si>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</si>
  <si>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</si>
  <si>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</si>
  <si>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</si>
  <si>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</si>
  <si>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</si>
  <si>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</si>
  <si>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</si>
  <si>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</si>
  <si>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</si>
  <si>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</si>
  <si>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</si>
  <si>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</si>
  <si>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</si>
  <si>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</si>
  <si>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</si>
  <si>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</si>
  <si>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</si>
  <si>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</si>
  <si>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</si>
  <si>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</si>
  <si>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</si>
  <si>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</si>
  <si>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</si>
  <si>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</si>
  <si>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</si>
  <si>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</si>
  <si>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</si>
  <si>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</si>
  <si>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</si>
  <si>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</si>
  <si>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</si>
  <si>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</si>
  <si>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</si>
  <si>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</si>
  <si>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</si>
  <si>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</si>
  <si>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</si>
  <si>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</si>
  <si>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</si>
  <si>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</si>
  <si>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</si>
  <si>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</si>
  <si>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</si>
  <si>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</si>
  <si>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</si>
  <si>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</si>
  <si>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</si>
  <si>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</si>
  <si>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</si>
  <si>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</si>
  <si>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</si>
  <si>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</si>
  <si>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</si>
  <si>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</si>
  <si>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</si>
  <si>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</si>
  <si>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</si>
  <si>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</si>
  <si>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</si>
  <si>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r>
      <rPr>
        <sz val="12"/>
        <rFont val="宋体"/>
        <family val="3"/>
        <charset val="134"/>
      </rPr>
      <t>办公、地下车库</t>
    </r>
    <r>
      <rPr>
        <sz val="12"/>
        <rFont val="Arial"/>
        <family val="2"/>
      </rPr>
      <t>35.38</t>
    </r>
    <r>
      <rPr>
        <sz val="12"/>
        <rFont val="宋体"/>
        <family val="3"/>
        <charset val="134"/>
      </rPr>
      <t>年</t>
    </r>
    <phoneticPr fontId="6" type="noConversion"/>
  </si>
  <si>
    <t>是</t>
  </si>
  <si>
    <t>否</t>
  </si>
  <si>
    <t>复印件</t>
  </si>
  <si>
    <t>商业项目</t>
  </si>
  <si>
    <t>在建</t>
  </si>
  <si>
    <t>通路</t>
  </si>
  <si>
    <t>通电</t>
  </si>
  <si>
    <t>通讯</t>
  </si>
  <si>
    <t>通上水</t>
  </si>
  <si>
    <t>通下水</t>
  </si>
  <si>
    <t>通热</t>
  </si>
  <si>
    <t>燃气</t>
  </si>
  <si>
    <t>一期1号地</t>
    <phoneticPr fontId="3" type="noConversion"/>
  </si>
  <si>
    <r>
      <rPr>
        <sz val="10"/>
        <color indexed="8"/>
        <rFont val="宋体"/>
        <family val="3"/>
        <charset val="134"/>
      </rPr>
      <t>一期</t>
    </r>
    <r>
      <rPr>
        <sz val="10"/>
        <color indexed="8"/>
        <rFont val="Arial"/>
        <family val="2"/>
      </rPr>
      <t>2</t>
    </r>
    <r>
      <rPr>
        <sz val="10"/>
        <color indexed="8"/>
        <rFont val="宋体"/>
        <family val="3"/>
        <charset val="134"/>
      </rPr>
      <t>号地</t>
    </r>
    <phoneticPr fontId="3" type="noConversion"/>
  </si>
  <si>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</si>
  <si>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</si>
  <si>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</si>
  <si>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</si>
  <si>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</si>
  <si>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</si>
  <si>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</si>
  <si>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</si>
  <si>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</si>
  <si>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</si>
  <si>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</si>
  <si>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</si>
  <si>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</si>
  <si>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</si>
  <si>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</si>
  <si>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</si>
  <si>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</si>
  <si>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</si>
  <si>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</si>
  <si>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</si>
  <si>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</si>
  <si>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</si>
  <si>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</si>
  <si>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</si>
  <si>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</si>
  <si>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</si>
  <si>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</si>
  <si>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</si>
  <si>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</si>
  <si>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</si>
  <si>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</si>
  <si>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</si>
  <si>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</si>
  <si>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</si>
  <si>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</si>
  <si>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</si>
  <si>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</si>
  <si>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</si>
  <si>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</si>
  <si>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</si>
  <si>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</si>
  <si>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</si>
  <si>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</si>
  <si>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</si>
  <si>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</si>
  <si>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</si>
  <si>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</si>
  <si>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</si>
  <si>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</si>
  <si>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</si>
  <si>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</si>
  <si>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</si>
  <si>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</si>
  <si>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</si>
  <si>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</si>
  <si>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</si>
  <si>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</si>
  <si>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</si>
  <si>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</si>
  <si>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</si>
  <si>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</si>
  <si>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</si>
  <si>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</si>
  <si>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</si>
  <si>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</si>
  <si>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</si>
  <si>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</si>
  <si>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</si>
  <si>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</si>
  <si>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</si>
  <si>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</si>
  <si>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</si>
  <si>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</si>
  <si>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</si>
  <si>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</si>
  <si>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</si>
  <si>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</si>
  <si>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</si>
  <si>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</si>
  <si>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</si>
  <si>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</si>
  <si>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</si>
  <si>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</si>
  <si>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</si>
  <si>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</si>
  <si>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</si>
  <si>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</si>
  <si>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</si>
  <si>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</si>
  <si>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</si>
  <si>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</si>
  <si>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</si>
  <si>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</si>
  <si>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</si>
  <si>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</si>
  <si>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</si>
  <si>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</si>
  <si>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</si>
  <si>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</si>
  <si>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</si>
  <si>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</si>
  <si>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</si>
  <si>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</si>
  <si>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</si>
  <si>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</si>
  <si>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</si>
  <si>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</si>
  <si>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</si>
  <si>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</si>
  <si>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</si>
  <si>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</si>
  <si>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</si>
  <si>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</si>
  <si>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</si>
  <si>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</si>
  <si>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</si>
  <si>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</si>
  <si>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</si>
  <si>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</si>
  <si>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</si>
  <si>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</si>
  <si>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</si>
  <si>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</si>
  <si>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</si>
  <si>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</si>
  <si>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</si>
  <si>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</si>
  <si>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</si>
  <si>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</si>
  <si>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</si>
  <si>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</si>
  <si>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</si>
  <si>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</si>
  <si>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</si>
  <si>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</si>
  <si>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</si>
  <si>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</si>
  <si>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</si>
  <si>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</si>
  <si>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</si>
  <si>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</si>
  <si>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</si>
  <si>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</si>
  <si>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</si>
  <si>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</si>
  <si>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</si>
  <si>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</si>
  <si>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</si>
  <si>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</si>
  <si>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</si>
  <si>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</si>
  <si>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</si>
  <si>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</si>
  <si>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</si>
  <si>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</si>
  <si>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</si>
  <si>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</si>
  <si>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</si>
  <si>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</si>
  <si>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</si>
  <si>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</si>
  <si>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</si>
  <si>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</si>
  <si>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</si>
  <si>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</si>
  <si>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</si>
  <si>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</si>
  <si>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</si>
  <si>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</si>
  <si>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</si>
  <si>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</si>
  <si>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</si>
  <si>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</si>
  <si>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</si>
  <si>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</si>
  <si>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</si>
  <si>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</si>
  <si>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</si>
  <si>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</si>
  <si>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</si>
  <si>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</si>
  <si>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</si>
  <si>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</si>
  <si>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</si>
  <si>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</si>
  <si>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</si>
  <si>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</si>
  <si>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</si>
  <si>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</si>
  <si>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</si>
  <si>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</si>
  <si>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</si>
  <si>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</si>
  <si>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</si>
  <si>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</si>
  <si>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</si>
  <si>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</si>
  <si>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</si>
  <si>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</si>
  <si>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</si>
  <si>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</si>
  <si>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</si>
  <si>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</si>
  <si>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</si>
  <si>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</si>
  <si>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</si>
  <si>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</si>
  <si>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</si>
  <si>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</si>
  <si>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</si>
  <si>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</si>
  <si>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</si>
  <si>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</si>
  <si>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</si>
  <si>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</si>
  <si>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</si>
  <si>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</si>
  <si>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</si>
  <si>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</si>
  <si>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</si>
  <si>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</si>
  <si>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</si>
  <si>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</si>
  <si>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</si>
  <si>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</si>
  <si>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</si>
  <si>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</si>
  <si>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</si>
  <si>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</si>
  <si>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</si>
  <si>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</si>
  <si>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</si>
  <si>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</si>
  <si>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</si>
  <si>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</si>
  <si>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</si>
  <si>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</si>
  <si>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</si>
  <si>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</si>
  <si>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</si>
  <si>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</si>
  <si>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</si>
  <si>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</si>
  <si>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</si>
  <si>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</si>
  <si>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</si>
  <si>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t>已全部缴纳</t>
  </si>
  <si>
    <t>项目局部</t>
  </si>
  <si>
    <t>成本比率</t>
  </si>
  <si>
    <t>土地价值</t>
    <phoneticPr fontId="143" type="noConversion"/>
  </si>
  <si>
    <t>土地单价</t>
    <phoneticPr fontId="143" type="noConversion"/>
  </si>
  <si>
    <t>单价修正系数</t>
    <phoneticPr fontId="143" type="noConversion"/>
  </si>
  <si>
    <t>估价方法及结果</t>
  </si>
  <si>
    <t>估价对象及结果</t>
  </si>
  <si>
    <t>测算结果</t>
  </si>
  <si>
    <t>估价结果</t>
  </si>
  <si>
    <r>
      <t>估价对象</t>
    </r>
    <r>
      <rPr>
        <sz val="9"/>
        <color theme="1"/>
        <rFont val="Arial"/>
        <family val="2"/>
      </rPr>
      <t>1</t>
    </r>
  </si>
  <si>
    <t>总价</t>
  </si>
  <si>
    <t>单价</t>
  </si>
  <si>
    <r>
      <t>估价对象</t>
    </r>
    <r>
      <rPr>
        <sz val="9"/>
        <color theme="1"/>
        <rFont val="Arial"/>
        <family val="2"/>
      </rPr>
      <t>2</t>
    </r>
  </si>
  <si>
    <t>汇总评估价值</t>
  </si>
  <si>
    <t>——</t>
    <phoneticPr fontId="143" type="noConversion"/>
  </si>
  <si>
    <t>项目名称</t>
  </si>
  <si>
    <t>建筑面积</t>
  </si>
  <si>
    <t>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</si>
  <si>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</si>
  <si>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</si>
  <si>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</si>
  <si>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</si>
  <si>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</si>
  <si>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</si>
  <si>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</si>
  <si>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零元整</t>
    <phoneticPr fontId="143" type="noConversion"/>
  </si>
  <si>
    <r>
      <rPr>
        <sz val="9"/>
        <color rgb="FF000000"/>
        <rFont val="宋体"/>
        <family val="3"/>
        <charset val="134"/>
      </rPr>
      <t>估价对象</t>
    </r>
    <r>
      <rPr>
        <sz val="9"/>
        <color rgb="FF000000"/>
        <rFont val="Arial"/>
        <family val="2"/>
      </rPr>
      <t>1</t>
    </r>
    <r>
      <rPr>
        <sz val="9"/>
        <color rgb="FF000000"/>
        <rFont val="宋体"/>
        <family val="3"/>
        <charset val="134"/>
      </rPr>
      <t>合计</t>
    </r>
    <phoneticPr fontId="143" type="noConversion"/>
  </si>
  <si>
    <r>
      <t>2</t>
    </r>
    <r>
      <rPr>
        <sz val="9"/>
        <color rgb="FF000000"/>
        <rFont val="宋体"/>
        <family val="3"/>
        <charset val="134"/>
      </rPr>
      <t>合计</t>
    </r>
    <phoneticPr fontId="143" type="noConversion"/>
  </si>
  <si>
    <t>地下室</t>
    <phoneticPr fontId="143" type="noConversion"/>
  </si>
  <si>
    <t>A座</t>
    <phoneticPr fontId="143" type="noConversion"/>
  </si>
  <si>
    <t>B座</t>
    <phoneticPr fontId="143" type="noConversion"/>
  </si>
  <si>
    <t>C座</t>
    <phoneticPr fontId="143" type="noConversion"/>
  </si>
  <si>
    <t>D座</t>
    <phoneticPr fontId="143" type="noConversion"/>
  </si>
  <si>
    <t>E座</t>
    <phoneticPr fontId="143" type="noConversion"/>
  </si>
  <si>
    <t>F座</t>
    <phoneticPr fontId="143" type="noConversion"/>
  </si>
  <si>
    <t>G座</t>
    <phoneticPr fontId="143" type="noConversion"/>
  </si>
  <si>
    <t>消防控制室</t>
    <phoneticPr fontId="143" type="noConversion"/>
  </si>
  <si>
    <t>消防控制室</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</si>
</sst>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
      <b/>
      <sz val="9"/>
      <color theme="1"/>
      <name val="Arial"/>
      <family val="2"/>
    </font>
    <font>
      <sz val="9"/>
      <color theme="1"/>
      <name val="华文细黑"/>
      <family val="3"/>
      <charset val="134"/>
    </font>
    <font>
      <sz val="9"/>
      <color theme="1"/>
      <name val="Arial"/>
      <family val="2"/>
    </font>
    <font>
      <b/>
      <sz val="9"/>
      <color theme="1"/>
      <name val="华文细黑"/>
      <family val="3"/>
      <charset val="134"/>
    </font>
    <font>
      <sz val="9"/>
      <color rgb="FF000000"/>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medium">
        <color rgb="FF404040"/>
      </top>
      <bottom/>
      <diagonal/>
    </border>
    <border>
      <left/>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0" fontId="54" fillId="9" borderId="6" xfId="0" applyNumberFormat="1" applyFont="1" applyFill="1" applyBorder="1" applyAlignment="1" applyProtection="1">
      <alignment horizontal="center" vertical="center" wrapText="1"/>
      <protection locked="0"/>
    </xf>
    <xf numFmtId="0" fontId="259" fillId="0" borderId="169" xfId="0" applyFont="1" applyBorder="1" applyAlignment="1">
      <alignment vertical="center" wrapText="1"/>
    </xf>
    <xf numFmtId="0" fontId="259" fillId="0" borderId="169" xfId="0" applyFont="1" applyBorder="1" applyAlignment="1">
      <alignment horizontal="justify" vertical="center" wrapText="1"/>
    </xf>
    <xf numFmtId="0" fontId="260" fillId="0" borderId="169" xfId="0" applyFont="1" applyBorder="1" applyAlignment="1">
      <alignment horizontal="justify" vertical="center" wrapText="1"/>
    </xf>
    <xf numFmtId="0" fontId="254" fillId="0" borderId="169" xfId="0" applyFont="1" applyBorder="1" applyAlignment="1">
      <alignment horizontal="justify" vertical="center" wrapText="1"/>
    </xf>
    <xf numFmtId="0" fontId="258" fillId="0" borderId="169" xfId="0" applyFont="1" applyBorder="1" applyAlignment="1">
      <alignment vertical="center" wrapText="1"/>
    </xf>
    <xf numFmtId="0" fontId="254" fillId="0" borderId="172" xfId="0" applyFont="1" applyBorder="1" applyAlignment="1">
      <alignment horizontal="justify" vertical="center" wrapText="1"/>
    </xf>
    <xf numFmtId="0" fontId="258" fillId="0" borderId="172" xfId="0" applyFont="1" applyBorder="1" applyAlignment="1">
      <alignment vertical="center" wrapText="1"/>
    </xf>
    <xf numFmtId="0" fontId="259" fillId="0" borderId="170" xfId="0" applyFont="1" applyBorder="1" applyAlignment="1">
      <alignment vertical="center" wrapText="1"/>
    </xf>
    <xf numFmtId="0" fontId="260" fillId="0" borderId="169" xfId="0" applyFont="1" applyBorder="1" applyAlignment="1">
      <alignment vertical="center" wrapText="1"/>
    </xf>
    <xf numFmtId="0" fontId="259" fillId="0" borderId="171" xfId="0" applyFont="1" applyBorder="1" applyAlignment="1">
      <alignment vertical="center" wrapText="1"/>
    </xf>
    <xf numFmtId="0" fontId="260" fillId="0" borderId="172" xfId="0" applyFont="1" applyBorder="1" applyAlignment="1">
      <alignment vertical="center" wrapText="1"/>
    </xf>
    <xf numFmtId="0" fontId="47" fillId="9" borderId="23" xfId="0" applyNumberFormat="1" applyFont="1" applyFill="1" applyBorder="1" applyAlignment="1" applyProtection="1">
      <alignment horizontal="center" vertical="center" wrapText="1"/>
      <protection locked="0"/>
    </xf>
    <xf numFmtId="0" fontId="255" fillId="0" borderId="0" xfId="0" applyFont="1" applyFill="1" applyBorder="1" applyAlignment="1">
      <alignment horizontal="justify" vertical="center"/>
    </xf>
    <xf numFmtId="0" fontId="263" fillId="0" borderId="0" xfId="0" applyFont="1">
      <alignment vertical="center"/>
    </xf>
    <xf numFmtId="0" fontId="254" fillId="0" borderId="0" xfId="0" applyFont="1" applyBorder="1" applyAlignment="1">
      <alignment vertical="center" wrapText="1"/>
    </xf>
    <xf numFmtId="0" fontId="260" fillId="0" borderId="0" xfId="0" applyFont="1" applyBorder="1" applyAlignment="1">
      <alignment horizontal="justify" vertical="center" wrapText="1"/>
    </xf>
    <xf numFmtId="0" fontId="258" fillId="0" borderId="0" xfId="0" applyFont="1" applyBorder="1" applyAlignment="1">
      <alignment vertical="center" wrapText="1"/>
    </xf>
    <xf numFmtId="0" fontId="259" fillId="0" borderId="0" xfId="0" applyFont="1" applyBorder="1" applyAlignment="1">
      <alignment vertical="center" wrapText="1"/>
    </xf>
    <xf numFmtId="0" fontId="260" fillId="0" borderId="0" xfId="0" applyFont="1" applyBorder="1" applyAlignment="1">
      <alignment vertical="center" wrapText="1"/>
    </xf>
    <xf numFmtId="0" fontId="254" fillId="0" borderId="182" xfId="0" applyFont="1" applyBorder="1" applyAlignment="1">
      <alignment horizontal="justify" vertical="center" wrapText="1"/>
    </xf>
    <xf numFmtId="0" fontId="254" fillId="0" borderId="183" xfId="0" applyFont="1" applyBorder="1" applyAlignment="1">
      <alignment horizontal="justify" vertical="center" wrapText="1"/>
    </xf>
    <xf numFmtId="0" fontId="255" fillId="0" borderId="183" xfId="0" applyFont="1" applyBorder="1" applyAlignment="1">
      <alignment horizontal="justify" vertical="center" wrapText="1"/>
    </xf>
    <xf numFmtId="0" fontId="256" fillId="0" borderId="183" xfId="0" applyFont="1" applyBorder="1" applyAlignment="1">
      <alignment horizontal="justify" vertical="center" wrapText="1"/>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0" fontId="256" fillId="0" borderId="1" xfId="0" applyFont="1" applyBorder="1" applyAlignment="1">
      <alignment horizontal="center" vertical="center"/>
    </xf>
    <xf numFmtId="0" fontId="256" fillId="0" borderId="1" xfId="0" applyFont="1" applyBorder="1" applyAlignment="1">
      <alignment horizontal="center" vertical="center" wrapText="1"/>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255" fillId="9" borderId="1" xfId="0" applyFont="1" applyFill="1" applyBorder="1" applyAlignment="1">
      <alignment horizontal="center" vertical="center"/>
    </xf>
    <xf numFmtId="2" fontId="256" fillId="0" borderId="1" xfId="0" applyNumberFormat="1" applyFont="1" applyBorder="1" applyAlignment="1">
      <alignment horizontal="center" vertical="center" wrapText="1"/>
    </xf>
    <xf numFmtId="2" fontId="0" fillId="0" borderId="0" xfId="0" applyNumberFormat="1">
      <alignment vertical="center"/>
    </xf>
    <xf numFmtId="1"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1" xfId="0" applyFont="1" applyFill="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254" fillId="0" borderId="1" xfId="0" applyFont="1" applyBorder="1" applyAlignment="1">
      <alignment horizontal="center" vertical="center"/>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4" fillId="0" borderId="164" xfId="0" applyFont="1" applyBorder="1" applyAlignment="1">
      <alignment horizontal="right" vertical="center" wrapText="1" indent="10"/>
    </xf>
    <xf numFmtId="0" fontId="254" fillId="0" borderId="165" xfId="0" applyFont="1" applyBorder="1" applyAlignment="1">
      <alignment horizontal="right" vertical="center" wrapText="1" indent="10"/>
    </xf>
    <xf numFmtId="0" fontId="254" fillId="0" borderId="166" xfId="0" applyFont="1" applyBorder="1" applyAlignment="1">
      <alignment vertical="center" wrapText="1"/>
    </xf>
    <xf numFmtId="0" fontId="254" fillId="0" borderId="167" xfId="0" applyFont="1" applyBorder="1" applyAlignment="1">
      <alignment vertical="center" wrapText="1"/>
    </xf>
    <xf numFmtId="0" fontId="254" fillId="0" borderId="173" xfId="0" applyFont="1" applyBorder="1" applyAlignment="1">
      <alignment vertical="center" wrapText="1"/>
    </xf>
    <xf numFmtId="0" fontId="254" fillId="0" borderId="168" xfId="0" applyFont="1" applyBorder="1" applyAlignment="1">
      <alignment vertical="center" wrapText="1"/>
    </xf>
    <xf numFmtId="0" fontId="254" fillId="0" borderId="174" xfId="0" applyFont="1" applyBorder="1" applyAlignment="1">
      <alignment vertical="center" wrapText="1"/>
    </xf>
    <xf numFmtId="0" fontId="254" fillId="0" borderId="170" xfId="0" applyFont="1" applyBorder="1" applyAlignment="1">
      <alignment vertical="center" wrapText="1"/>
    </xf>
    <xf numFmtId="0" fontId="259" fillId="0" borderId="175" xfId="0" applyFont="1" applyBorder="1" applyAlignment="1">
      <alignment horizontal="justify" vertical="center" wrapText="1"/>
    </xf>
    <xf numFmtId="0" fontId="259" fillId="0" borderId="170" xfId="0" applyFont="1" applyBorder="1" applyAlignment="1">
      <alignment horizontal="justify" vertical="center" wrapText="1"/>
    </xf>
    <xf numFmtId="0" fontId="254" fillId="0" borderId="175" xfId="0" applyFont="1" applyBorder="1" applyAlignment="1">
      <alignment vertical="center" wrapText="1"/>
    </xf>
    <xf numFmtId="0" fontId="254" fillId="0" borderId="171" xfId="0" applyFont="1" applyBorder="1" applyAlignment="1">
      <alignment vertical="center" wrapText="1"/>
    </xf>
    <xf numFmtId="0" fontId="259" fillId="0" borderId="174" xfId="0" applyFont="1" applyBorder="1" applyAlignment="1">
      <alignment vertical="center" wrapText="1"/>
    </xf>
    <xf numFmtId="0" fontId="259" fillId="0" borderId="170" xfId="0" applyFont="1" applyBorder="1" applyAlignment="1">
      <alignment vertical="center" wrapText="1"/>
    </xf>
    <xf numFmtId="0" fontId="259" fillId="0" borderId="173" xfId="0" applyFont="1" applyBorder="1" applyAlignment="1">
      <alignment vertical="center" wrapText="1"/>
    </xf>
    <xf numFmtId="0" fontId="259" fillId="0" borderId="168" xfId="0" applyFont="1" applyBorder="1" applyAlignment="1">
      <alignment vertical="center" wrapText="1"/>
    </xf>
    <xf numFmtId="0" fontId="259" fillId="0" borderId="176" xfId="0" applyFont="1" applyBorder="1" applyAlignment="1">
      <alignment vertical="center" wrapText="1"/>
    </xf>
    <xf numFmtId="0" fontId="259" fillId="0" borderId="177" xfId="0" applyFont="1" applyBorder="1" applyAlignment="1">
      <alignment vertical="center" wrapText="1"/>
    </xf>
    <xf numFmtId="0" fontId="259" fillId="0" borderId="178" xfId="0" applyFont="1" applyBorder="1" applyAlignment="1">
      <alignment vertical="center" wrapText="1"/>
    </xf>
    <xf numFmtId="182" fontId="259" fillId="0" borderId="176" xfId="0" applyNumberFormat="1" applyFont="1" applyBorder="1" applyAlignment="1">
      <alignment vertical="center" wrapText="1"/>
    </xf>
    <xf numFmtId="182" fontId="259" fillId="0" borderId="178" xfId="0" applyNumberFormat="1" applyFont="1" applyBorder="1" applyAlignment="1">
      <alignment vertical="center" wrapText="1"/>
    </xf>
    <xf numFmtId="0" fontId="259" fillId="0" borderId="179" xfId="0" applyFont="1" applyBorder="1" applyAlignment="1">
      <alignment vertical="center" wrapText="1"/>
    </xf>
    <xf numFmtId="0" fontId="259" fillId="0" borderId="180" xfId="0" applyFont="1" applyBorder="1" applyAlignment="1">
      <alignment vertical="center" wrapText="1"/>
    </xf>
    <xf numFmtId="0" fontId="259" fillId="0" borderId="181" xfId="0" applyFont="1" applyBorder="1" applyAlignment="1">
      <alignment vertical="center" wrapText="1"/>
    </xf>
    <xf numFmtId="0" fontId="260" fillId="0" borderId="176" xfId="0" applyFont="1" applyBorder="1" applyAlignment="1">
      <alignment horizontal="center" vertical="center" wrapText="1"/>
    </xf>
    <xf numFmtId="0" fontId="260" fillId="0" borderId="178" xfId="0" applyFont="1" applyBorder="1" applyAlignment="1">
      <alignment horizontal="center" vertical="center" wrapText="1"/>
    </xf>
    <xf numFmtId="0" fontId="261" fillId="0" borderId="176" xfId="0" applyFont="1" applyBorder="1" applyAlignment="1">
      <alignment vertical="center" wrapText="1"/>
    </xf>
    <xf numFmtId="0" fontId="261" fillId="0" borderId="177" xfId="0" applyFont="1" applyBorder="1" applyAlignment="1">
      <alignment vertical="center" wrapText="1"/>
    </xf>
    <xf numFmtId="0" fontId="261" fillId="0" borderId="178" xfId="0" applyFont="1" applyBorder="1" applyAlignment="1">
      <alignment vertical="center" wrapText="1"/>
    </xf>
    <xf numFmtId="0" fontId="260" fillId="0" borderId="179" xfId="0" applyFont="1" applyBorder="1" applyAlignment="1">
      <alignment vertical="center" wrapText="1"/>
    </xf>
    <xf numFmtId="0" fontId="260" fillId="0" borderId="181" xfId="0" applyFont="1" applyBorder="1" applyAlignment="1">
      <alignmen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0" fillId="0" borderId="0" xfId="0" applyFont="1" applyBorder="1" applyAlignment="1">
      <alignment horizontal="center" vertical="center" wrapText="1"/>
    </xf>
    <xf numFmtId="182" fontId="259" fillId="0" borderId="0" xfId="0" applyNumberFormat="1" applyFont="1" applyBorder="1" applyAlignment="1">
      <alignment vertical="center" wrapText="1"/>
    </xf>
    <xf numFmtId="0" fontId="260" fillId="0" borderId="177" xfId="0" applyFont="1" applyBorder="1" applyAlignment="1">
      <alignment horizontal="center" vertical="center" wrapText="1"/>
    </xf>
    <xf numFmtId="0" fontId="259" fillId="0" borderId="176" xfId="0" applyFont="1" applyBorder="1" applyAlignment="1">
      <alignment horizontal="center" vertical="center" wrapText="1"/>
    </xf>
    <xf numFmtId="0" fontId="259" fillId="0" borderId="177" xfId="0" applyFont="1" applyBorder="1" applyAlignment="1">
      <alignment horizontal="center" vertical="center" wrapText="1"/>
    </xf>
    <xf numFmtId="0" fontId="259" fillId="0" borderId="178" xfId="0" applyFont="1" applyBorder="1" applyAlignment="1">
      <alignment horizontal="center" vertical="center" wrapText="1"/>
    </xf>
    <xf numFmtId="182" fontId="259" fillId="0" borderId="179" xfId="0" applyNumberFormat="1" applyFont="1" applyBorder="1" applyAlignment="1">
      <alignment horizontal="center" vertical="center" wrapText="1"/>
    </xf>
    <xf numFmtId="182" fontId="259" fillId="0" borderId="180" xfId="0" applyNumberFormat="1" applyFont="1" applyBorder="1" applyAlignment="1">
      <alignment horizontal="center" vertical="center" wrapText="1"/>
    </xf>
    <xf numFmtId="182" fontId="259" fillId="0" borderId="181" xfId="0" applyNumberFormat="1" applyFont="1" applyBorder="1" applyAlignment="1">
      <alignment horizontal="center" vertical="center" wrapText="1"/>
    </xf>
    <xf numFmtId="179"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108;&#26399;56&#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Sheet1"/>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110351.68000000001</v>
          </cell>
          <cell r="C14">
            <v>116696</v>
          </cell>
          <cell r="D14">
            <v>62683</v>
          </cell>
        </row>
      </sheetData>
      <sheetData sheetId="18">
        <row r="19">
          <cell r="C19">
            <v>66909</v>
          </cell>
          <cell r="D19">
            <v>58456</v>
          </cell>
        </row>
        <row r="20">
          <cell r="C20">
            <v>6063</v>
          </cell>
          <cell r="D20">
            <v>5297</v>
          </cell>
        </row>
        <row r="118">
          <cell r="D118">
            <v>17802</v>
          </cell>
          <cell r="E118">
            <v>1613</v>
          </cell>
          <cell r="F118">
            <v>44881</v>
          </cell>
          <cell r="G118">
            <v>4067</v>
          </cell>
          <cell r="H118">
            <v>62683</v>
          </cell>
          <cell r="I118">
            <v>5680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74279</v>
      </c>
    </row>
    <row r="21" spans="1:2" s="1592" customFormat="1">
      <c r="A21" s="1590" t="s">
        <v>1231</v>
      </c>
      <c r="B21" s="1591">
        <f ca="1">'预评函-2'!D7</f>
        <v>5016</v>
      </c>
    </row>
    <row r="22" spans="1:2" s="1592" customFormat="1">
      <c r="A22" s="1590" t="s">
        <v>1232</v>
      </c>
      <c r="B22" s="1591" t="str">
        <f ca="1">'预评函-2'!D6</f>
        <v>柒亿肆仟贰佰柒拾玖万元整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74279</v>
      </c>
    </row>
    <row r="31" spans="1:2" s="1592" customFormat="1">
      <c r="A31" s="1590" t="s">
        <v>1270</v>
      </c>
      <c r="B31" s="1591">
        <f ca="1">'预评函-2'!D15</f>
        <v>5016</v>
      </c>
    </row>
    <row r="32" spans="1:2" s="1592" customFormat="1">
      <c r="A32" s="1590" t="s">
        <v>1237</v>
      </c>
      <c r="B32" s="1591" t="str">
        <f ca="1">'预评函-2'!D14</f>
        <v>柒亿肆仟贰佰柒拾玖万元整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148075.10999999999</v>
      </c>
    </row>
    <row r="44" spans="1:2" s="1592" customFormat="1">
      <c r="A44" s="1590" t="s">
        <v>1269</v>
      </c>
      <c r="B44" s="1591" t="str">
        <f>'预评函-3'!C2</f>
        <v>(分摊)土地面积</v>
      </c>
    </row>
    <row r="45" spans="1:2" s="1592" customFormat="1">
      <c r="A45" s="1590" t="s">
        <v>1241</v>
      </c>
      <c r="B45" s="1591">
        <f>'预评函-3'!C4</f>
        <v>164645</v>
      </c>
    </row>
    <row r="46" spans="1:2" s="1592" customFormat="1">
      <c r="A46" s="1590" t="s">
        <v>1267</v>
      </c>
      <c r="B46" s="1591" t="str">
        <f>'预评函-3'!D2</f>
        <v>出让国有建设用地使用权价值</v>
      </c>
    </row>
    <row r="47" spans="1:2" s="1592" customFormat="1">
      <c r="A47" s="1590" t="s">
        <v>1242</v>
      </c>
      <c r="B47" s="1591">
        <f ca="1">'预评函-3'!D4</f>
        <v>26666</v>
      </c>
    </row>
    <row r="48" spans="1:2" s="1592" customFormat="1">
      <c r="A48" s="1590" t="s">
        <v>1243</v>
      </c>
      <c r="B48" s="1591">
        <f ca="1">'预评函-3'!E4</f>
        <v>1801</v>
      </c>
    </row>
    <row r="49" spans="1:2" s="1592" customFormat="1">
      <c r="A49" s="1590" t="s">
        <v>1244</v>
      </c>
      <c r="B49" s="1591" t="str">
        <f ca="1">'预评函-3'!D5</f>
        <v>贰亿陆仟陆佰陆拾陆万元整</v>
      </c>
    </row>
    <row r="50" spans="1:2" s="1592" customFormat="1">
      <c r="A50" s="1590" t="s">
        <v>1268</v>
      </c>
      <c r="B50" s="1591" t="str">
        <f>'预评函-3'!F2</f>
        <v>在建建筑物价值</v>
      </c>
    </row>
    <row r="51" spans="1:2" s="1592" customFormat="1">
      <c r="A51" s="1590" t="s">
        <v>1245</v>
      </c>
      <c r="B51" s="1591">
        <f ca="1">'预评函-3'!F4</f>
        <v>47613</v>
      </c>
    </row>
    <row r="52" spans="1:2" s="1592" customFormat="1">
      <c r="A52" s="1590" t="s">
        <v>1246</v>
      </c>
      <c r="B52" s="1591">
        <f ca="1">'预评函-3'!G4</f>
        <v>3215</v>
      </c>
    </row>
    <row r="53" spans="1:2" s="1592" customFormat="1">
      <c r="A53" s="1590" t="s">
        <v>1274</v>
      </c>
      <c r="B53" s="1591" t="str">
        <f ca="1">'预评函-3'!F5</f>
        <v>肆亿柒仟陆佰壹拾叁万元整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6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63"/>
      <c r="B54" s="2021" t="s">
        <v>861</v>
      </c>
      <c r="C54" s="2018" t="s">
        <v>1277</v>
      </c>
    </row>
    <row r="55" spans="1:4">
      <c r="A55" s="3063"/>
      <c r="B55" s="2021" t="s">
        <v>862</v>
      </c>
      <c r="C55" s="2018" t="s">
        <v>1278</v>
      </c>
    </row>
    <row r="56" spans="1:4">
      <c r="A56" s="3063"/>
      <c r="B56" s="2021" t="s">
        <v>863</v>
      </c>
      <c r="C56" s="2018" t="s">
        <v>1282</v>
      </c>
    </row>
    <row r="57" spans="1:4">
      <c r="A57" s="306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 sqref="F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64"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65"/>
      <c r="D1" s="3065"/>
      <c r="E1" s="3065"/>
      <c r="F1" s="3065"/>
      <c r="G1" s="3065"/>
      <c r="H1" s="3065"/>
      <c r="I1" s="306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2"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3"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4"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67"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68"/>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5"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55985</v>
      </c>
      <c r="F13" s="2075"/>
      <c r="G13" s="2075">
        <v>55985</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33.94</v>
      </c>
      <c r="F15" s="1049" t="str">
        <f>IF(B12="出让",IF(F13="","",ROUNDDOWN(MIN((F13-$D$3)/365,F14),2)),F14)</f>
        <v/>
      </c>
      <c r="G15" s="1049">
        <f>IF(B12="出让",IF(G13="","",ROUNDDOWN(MIN((G13-$D$3)/365,G14),2)),G14)</f>
        <v>33.94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74" t="s">
        <v>3074</v>
      </c>
      <c r="C16" s="3075"/>
      <c r="D16" s="3076"/>
      <c r="E16" s="2081" t="s">
        <v>1798</v>
      </c>
      <c r="F16" s="3077" t="s">
        <v>3076</v>
      </c>
      <c r="G16" s="3078"/>
      <c r="H16" s="3078"/>
      <c r="I16" s="3079"/>
      <c r="J16" s="2028"/>
      <c r="K16" s="2078"/>
      <c r="L16" s="2079"/>
      <c r="M16" s="2079"/>
      <c r="N16" s="2080"/>
      <c r="O16" s="2079"/>
      <c r="P16" s="2080"/>
      <c r="Q16" s="2028"/>
      <c r="R16" s="2028"/>
    </row>
    <row r="17" spans="1:22" ht="18" customHeight="1">
      <c r="A17" s="2082" t="s">
        <v>1799</v>
      </c>
      <c r="B17" s="2034" t="s">
        <v>1800</v>
      </c>
      <c r="C17" s="1054">
        <f>'数据-汇总表'!E3</f>
        <v>148075.10999999999</v>
      </c>
      <c r="D17" s="2083" t="s">
        <v>1801</v>
      </c>
      <c r="E17" s="3080" t="s">
        <v>3112</v>
      </c>
      <c r="F17" s="3075"/>
      <c r="G17" s="3075"/>
      <c r="H17" s="3075"/>
      <c r="I17" s="3076"/>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164645</v>
      </c>
      <c r="D18" s="2086" t="s">
        <v>1801</v>
      </c>
      <c r="E18" s="3081" t="s">
        <v>3075</v>
      </c>
      <c r="F18" s="3082"/>
      <c r="G18" s="3082"/>
      <c r="H18" s="3082"/>
      <c r="I18" s="3083"/>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3077</v>
      </c>
      <c r="D19" s="2088" t="s">
        <v>1806</v>
      </c>
      <c r="E19" s="2089" t="s">
        <v>3078</v>
      </c>
      <c r="F19" s="2090" t="str">
        <f>IF(AND(C19="是",E19="否"),"是否提供他项权证或相关说明","")</f>
        <v>是否提供他项权证或相关说明</v>
      </c>
      <c r="G19" s="2091" t="s">
        <v>3077</v>
      </c>
      <c r="H19" s="2041"/>
      <c r="I19" s="2041"/>
      <c r="J19" s="2041"/>
      <c r="K19" s="2050"/>
      <c r="L19" s="2027"/>
      <c r="M19" s="2027"/>
      <c r="N19" s="2080"/>
      <c r="O19" s="2079"/>
      <c r="P19" s="2080"/>
      <c r="Q19" s="2028"/>
      <c r="R19" s="2028"/>
      <c r="S19" s="2028"/>
      <c r="T19" s="2028"/>
      <c r="U19" s="2028"/>
      <c r="V19" s="2028"/>
    </row>
    <row r="20" spans="1:22" ht="18" customHeight="1">
      <c r="A20" s="2092" t="s">
        <v>1807</v>
      </c>
      <c r="B20" s="3070" t="s">
        <v>1808</v>
      </c>
      <c r="C20" s="3071"/>
      <c r="D20" s="3072" t="s">
        <v>1809</v>
      </c>
      <c r="E20" s="3073"/>
      <c r="F20" s="2093" t="s">
        <v>1810</v>
      </c>
      <c r="G20" s="2041"/>
      <c r="H20" s="2041"/>
      <c r="I20" s="2041"/>
      <c r="J20" s="2041"/>
      <c r="K20" s="3069"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69" t="s">
        <v>3111</v>
      </c>
      <c r="E21" s="2096" t="s">
        <v>3079</v>
      </c>
      <c r="F21" s="2097"/>
      <c r="G21" s="2041"/>
      <c r="H21" s="2041"/>
      <c r="I21" s="2041"/>
      <c r="J21" s="2041"/>
      <c r="K21" s="30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6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85" t="s">
        <v>1820</v>
      </c>
      <c r="B27" s="2059" t="s">
        <v>1821</v>
      </c>
      <c r="C27" s="2114" t="s">
        <v>3080</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85"/>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85"/>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86"/>
      <c r="B30" s="2034" t="s">
        <v>1824</v>
      </c>
      <c r="C30" s="3087"/>
      <c r="D30" s="3088"/>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89" t="s">
        <v>1825</v>
      </c>
      <c r="B31" s="2121" t="s">
        <v>3081</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90"/>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90"/>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3082</v>
      </c>
      <c r="C34" s="2128" t="s">
        <v>3083</v>
      </c>
      <c r="D34" s="2128" t="s">
        <v>3084</v>
      </c>
      <c r="E34" s="2128" t="s">
        <v>3085</v>
      </c>
      <c r="F34" s="2128" t="s">
        <v>3086</v>
      </c>
      <c r="G34" s="2128" t="s">
        <v>3087</v>
      </c>
      <c r="H34" s="2128" t="s">
        <v>3088</v>
      </c>
      <c r="I34" s="2041"/>
      <c r="J34" s="2041"/>
      <c r="K34" s="1794">
        <f>COUNTIF(B34:H34,"——")</f>
        <v>0</v>
      </c>
      <c r="L34" s="2070" t="s">
        <v>1827</v>
      </c>
      <c r="M34" s="2070" t="s">
        <v>1828</v>
      </c>
      <c r="N34" s="2070" t="s">
        <v>1829</v>
      </c>
      <c r="O34" s="2070" t="s">
        <v>1830</v>
      </c>
      <c r="P34" s="2070" t="s">
        <v>1831</v>
      </c>
      <c r="Q34" s="2070" t="s">
        <v>1832</v>
      </c>
      <c r="R34" s="2070" t="s">
        <v>1833</v>
      </c>
      <c r="S34" s="3084" t="s">
        <v>1834</v>
      </c>
      <c r="T34" s="2129" t="str">
        <f>NUMBERSTRING(7-K34,1)&amp;"通"</f>
        <v>七通</v>
      </c>
      <c r="U34" s="2028"/>
      <c r="V34" s="2028"/>
    </row>
    <row r="35" spans="1:22" ht="18" customHeight="1">
      <c r="A35" s="2130"/>
      <c r="B35" s="3091" t="s">
        <v>1835</v>
      </c>
      <c r="C35" s="3091"/>
      <c r="D35" s="3091"/>
      <c r="E35" s="3091"/>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4"/>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面积表!D32+面积表!D33</f>
        <v>164645</v>
      </c>
      <c r="B3" s="14">
        <f>IF(C3="否",G5-AT5,G5)</f>
        <v>148075.10999999999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148075.10999999999</v>
      </c>
      <c r="H5" s="16">
        <f t="shared" ref="H5:AT5" si="0">SUM(H13:H656)</f>
        <v>148075.10999999999</v>
      </c>
      <c r="I5" s="16">
        <f t="shared" si="0"/>
        <v>134999.90999999997</v>
      </c>
      <c r="J5" s="16">
        <f t="shared" si="0"/>
        <v>0</v>
      </c>
      <c r="K5" s="16">
        <f t="shared" si="0"/>
        <v>13075.2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148075.10999999999</v>
      </c>
      <c r="BA5" s="18">
        <f t="shared" si="1"/>
        <v>148075.10999999999</v>
      </c>
      <c r="BB5" s="18">
        <f t="shared" si="1"/>
        <v>134999.90999999997</v>
      </c>
      <c r="BC5" s="18">
        <f t="shared" si="1"/>
        <v>13075.2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164645</v>
      </c>
      <c r="F6" s="16" t="s">
        <v>1</v>
      </c>
      <c r="G6" s="16" t="s">
        <v>2</v>
      </c>
      <c r="H6" s="20">
        <f>SUMIF(I$12:AB$12,"总值",I6:AB6)</f>
        <v>164645</v>
      </c>
      <c r="I6" s="16">
        <f t="shared" ref="I6:AB6" si="2">ROUND($A$3*I5/$B$3,2)</f>
        <v>150106.66</v>
      </c>
      <c r="J6" s="16">
        <f t="shared" si="2"/>
        <v>0</v>
      </c>
      <c r="K6" s="16">
        <f t="shared" si="2"/>
        <v>14538.34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164645</v>
      </c>
      <c r="AZ6" s="16" t="s">
        <v>3</v>
      </c>
      <c r="BA6" s="16">
        <f>ROUND($AY$6*BA5/$AZ$5,2)</f>
        <v>164645</v>
      </c>
      <c r="BB6" s="16">
        <f>ROUND($AY$6*BB5/$AZ$5,2)</f>
        <v>150106.66</v>
      </c>
      <c r="BC6" s="16">
        <f t="shared" ref="BC6:BH6" si="4">ROUND($AY$6*BC5/$AZ$5,2)</f>
        <v>14538.34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3091</v>
      </c>
      <c r="J9" s="981"/>
      <c r="K9" s="2186" t="s">
        <v>3093</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3094</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3092</v>
      </c>
      <c r="J11" s="2198"/>
      <c r="K11" s="2197" t="s">
        <v>3094</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66" t="s">
        <v>3089</v>
      </c>
      <c r="D13" s="2208" t="s">
        <v>3077</v>
      </c>
      <c r="E13" s="16">
        <f>IF($C$3="是",ROUND($A$3*G13/$B$3,2),ROUND($A$3*(G13-AT13)/$B$3,2))</f>
        <v>85041.49</v>
      </c>
      <c r="F13" s="32"/>
      <c r="G13" s="33">
        <f>H13+AC13+AT13</f>
        <v>76482.909999999989</v>
      </c>
      <c r="H13" s="20">
        <f>SUMIF(I$12:AB$12,"总值",I13:AB13)</f>
        <v>76482.909999999989</v>
      </c>
      <c r="I13" s="2209">
        <f>面积表!F30</f>
        <v>70455.509999999995</v>
      </c>
      <c r="J13" s="2209"/>
      <c r="K13" s="2209">
        <f>面积表!G30</f>
        <v>6027.4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一期1号地</v>
      </c>
      <c r="AY13" s="1805">
        <f>ROUND($AY$6*AZ13/$AZ$5,2)</f>
        <v>85041.49</v>
      </c>
      <c r="AZ13" s="16">
        <f>BA13+BL13</f>
        <v>76482.909999999989</v>
      </c>
      <c r="BA13" s="16">
        <f>SUM(BB13:BK13)</f>
        <v>76482.909999999989</v>
      </c>
      <c r="BB13" s="16">
        <f>IF($D13="是",I13-J13,0)</f>
        <v>70455.509999999995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t="s">
        <v>3090</v>
      </c>
      <c r="D14" s="2208" t="s">
        <v>3077</v>
      </c>
      <c r="E14" s="16">
        <f>IF($C$3="是",ROUND($A$3*G14/$B$3,2),ROUND($A$3*(G14-AT14)/$B$3,2))</f>
        <v>79603.509999999995</v>
      </c>
      <c r="F14" s="32"/>
      <c r="G14" s="33">
        <f>H14+AC14+AT14</f>
        <v>71592.2</v>
      </c>
      <c r="H14" s="20">
        <f>SUMIF(I$12:AB$12,"总值",I14:AB14)</f>
        <v>71592.2</v>
      </c>
      <c r="I14" s="2209">
        <f>面积表!F33</f>
        <v>64544.399999999994</v>
      </c>
      <c r="J14" s="2209"/>
      <c r="K14" s="2209">
        <f>面积表!G33</f>
        <v>7047.8</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一期2号地</v>
      </c>
      <c r="AY14" s="1805">
        <f>ROUND($AY$6*AZ14/$AZ$5,2)</f>
        <v>79603.509999999995</v>
      </c>
      <c r="AZ14" s="16">
        <f>BA14+BL14</f>
        <v>71592.2</v>
      </c>
      <c r="BA14" s="16">
        <f>SUM(BB14:BK14)</f>
        <v>71592.2</v>
      </c>
      <c r="BB14" s="16">
        <f>IF($D14="是",I14-J14,0)</f>
        <v>64544.399999999994</v>
      </c>
      <c r="BC14" s="16">
        <f>IF($D14="是",K14-L14,0)</f>
        <v>7047.8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103" t="s">
        <v>1931</v>
      </c>
      <c r="B2" s="3103"/>
      <c r="C2" s="3103"/>
      <c r="D2" s="967" t="s">
        <v>1907</v>
      </c>
      <c r="E2" s="2222" t="s">
        <v>1908</v>
      </c>
      <c r="F2" s="1392"/>
      <c r="G2" s="2223"/>
      <c r="H2" s="2224"/>
      <c r="I2" s="2225" t="s">
        <v>1932</v>
      </c>
      <c r="J2" s="1392"/>
      <c r="K2" s="1392"/>
      <c r="L2" s="1392"/>
      <c r="M2" s="1392"/>
      <c r="N2" s="1427"/>
      <c r="O2" s="1392"/>
      <c r="P2" s="1392"/>
    </row>
    <row r="3" spans="1:16" ht="15.75" thickBot="1">
      <c r="A3" s="3104" t="s">
        <v>1905</v>
      </c>
      <c r="B3" s="3104"/>
      <c r="C3" s="3104"/>
      <c r="D3" s="46">
        <f>'数据-基础表'!AY6</f>
        <v>164645</v>
      </c>
      <c r="E3" s="46">
        <f>'数据-基础表'!AZ5</f>
        <v>148075.10999999999</v>
      </c>
      <c r="F3" s="1392"/>
      <c r="G3" s="1399"/>
      <c r="H3" s="1247" t="s">
        <v>1906</v>
      </c>
      <c r="I3" s="55">
        <f>ROUND('数据-基础表'!B3/'数据-基础表'!A3,2)</f>
        <v>0.9</v>
      </c>
      <c r="J3" s="1392"/>
      <c r="K3" s="1392"/>
      <c r="L3" s="1392"/>
      <c r="M3" s="1392"/>
      <c r="N3" s="1427"/>
      <c r="O3" s="1392"/>
      <c r="P3" s="1392"/>
    </row>
    <row r="4" spans="1:16" ht="15">
      <c r="A4" s="3105"/>
      <c r="B4" s="3106"/>
      <c r="C4" s="3107"/>
      <c r="D4" s="2226" t="s">
        <v>1907</v>
      </c>
      <c r="E4" s="2227" t="s">
        <v>1908</v>
      </c>
      <c r="F4" s="1392"/>
      <c r="G4" s="2228" t="s">
        <v>1933</v>
      </c>
      <c r="H4" s="1247" t="s">
        <v>1913</v>
      </c>
      <c r="I4" s="55">
        <f>ROUND(SUMIF('数据-基础表'!I9:AS9,"地上",'数据-基础表'!I5:AS5)/'数据-基础表'!A3,2)</f>
        <v>0.82</v>
      </c>
      <c r="J4" s="1392"/>
      <c r="K4" s="1392"/>
      <c r="L4" s="1392"/>
      <c r="M4" s="1392"/>
      <c r="N4" s="1427"/>
      <c r="O4" s="1392"/>
      <c r="P4" s="1392"/>
    </row>
    <row r="5" spans="1:16">
      <c r="A5" s="47" t="s">
        <v>1909</v>
      </c>
      <c r="B5" s="3108" t="s">
        <v>1910</v>
      </c>
      <c r="C5" s="3108"/>
      <c r="D5" s="48">
        <f>ROUND($D$3*E5/$E$3,2)</f>
        <v>0</v>
      </c>
      <c r="E5" s="49">
        <f>SUMIF('数据-基础表'!$11:$11,"住宅",'数据-基础表'!$5:$5)</f>
        <v>0</v>
      </c>
      <c r="F5" s="1392"/>
      <c r="G5" s="1399"/>
      <c r="H5" s="1247" t="s">
        <v>1906</v>
      </c>
      <c r="I5" s="55">
        <f>ROUND(E31/D31,2)</f>
        <v>0.9</v>
      </c>
      <c r="J5" s="1392"/>
      <c r="K5" s="1392"/>
      <c r="L5" s="1392"/>
      <c r="M5" s="1392"/>
      <c r="N5" s="1392"/>
      <c r="O5" s="1392"/>
      <c r="P5" s="1392"/>
    </row>
    <row r="6" spans="1:16" ht="15" thickBot="1">
      <c r="A6" s="2229"/>
      <c r="B6" s="3108" t="s">
        <v>1911</v>
      </c>
      <c r="C6" s="3108"/>
      <c r="D6" s="48">
        <f>ROUND($D$3*E6/$E$3,2)</f>
        <v>164645</v>
      </c>
      <c r="E6" s="49">
        <f>E3-E5</f>
        <v>148075.10999999999</v>
      </c>
      <c r="F6" s="1392"/>
      <c r="G6" s="2230" t="s">
        <v>1912</v>
      </c>
      <c r="H6" s="1399" t="s">
        <v>1913</v>
      </c>
      <c r="I6" s="939">
        <f>ROUND(F31/D31,2)</f>
        <v>0.82</v>
      </c>
      <c r="J6" s="1392"/>
      <c r="K6" s="1392"/>
      <c r="L6" s="1392"/>
      <c r="M6" s="1392"/>
      <c r="N6" s="1392"/>
      <c r="O6" s="1392"/>
      <c r="P6" s="1392"/>
    </row>
    <row r="7" spans="1:16" ht="15">
      <c r="A7" s="3100"/>
      <c r="B7" s="3101"/>
      <c r="C7" s="3102"/>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150106.66</v>
      </c>
      <c r="E8" s="51">
        <f>SUMIF('数据-基础表'!BB10:BK10,"地上",'数据-基础表'!BB5:BK5)</f>
        <v>134999.90999999997</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14538.34</v>
      </c>
      <c r="E13" s="51">
        <f>SUMPRODUCT(('数据-基础表'!BB10:BK10="地下")*('数据-基础表'!BB11:BK11="车库")*('数据-基础表'!BB5:BK5))</f>
        <v>13075.2</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164645</v>
      </c>
      <c r="E16" s="53">
        <f>SUM(E8:E15)</f>
        <v>148075.10999999999</v>
      </c>
      <c r="F16" s="1392"/>
      <c r="G16" s="2232"/>
      <c r="H16" s="2235" t="s">
        <v>1935</v>
      </c>
      <c r="I16" s="2236"/>
      <c r="J16" s="1392"/>
      <c r="K16" s="3097" t="s">
        <v>1935</v>
      </c>
      <c r="L16" s="3098"/>
      <c r="M16" s="3098"/>
      <c r="N16" s="3098"/>
      <c r="O16" s="3098"/>
      <c r="P16" s="3099"/>
    </row>
    <row r="17" spans="1:19" ht="15">
      <c r="A17" s="2237" t="s">
        <v>1936</v>
      </c>
      <c r="B17" s="2238" t="s">
        <v>1937</v>
      </c>
      <c r="C17" s="2239" t="s">
        <v>1938</v>
      </c>
      <c r="D17" s="2240" t="s">
        <v>1926</v>
      </c>
      <c r="E17" s="2241" t="s">
        <v>1927</v>
      </c>
      <c r="F17" s="2242"/>
      <c r="G17" s="2243"/>
      <c r="H17" s="2244" t="s">
        <v>1939</v>
      </c>
      <c r="I17" s="2245" t="s">
        <v>1924</v>
      </c>
      <c r="J17" s="1392"/>
      <c r="K17" s="3094" t="s">
        <v>1940</v>
      </c>
      <c r="L17" s="3095"/>
      <c r="M17" s="3096"/>
      <c r="N17" s="3094" t="s">
        <v>1941</v>
      </c>
      <c r="O17" s="3095"/>
      <c r="P17" s="3096"/>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67" t="s">
        <v>3095</v>
      </c>
      <c r="D19" s="48">
        <f>ROUND($D$3*E19/$E$3,2)</f>
        <v>150106.66</v>
      </c>
      <c r="E19" s="56">
        <f t="shared" ref="E19:E26" si="1">SUM(F19:G19)</f>
        <v>134999.90999999997</v>
      </c>
      <c r="F19" s="57">
        <f>'数据-基础表'!I13+'数据-基础表'!I14</f>
        <v>134999.90999999997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150106.66</v>
      </c>
      <c r="S19" s="1248">
        <f t="shared" si="5"/>
        <v>134999.90999999997</v>
      </c>
    </row>
    <row r="20" spans="1:19">
      <c r="A20" s="2258"/>
      <c r="B20" s="50" t="s">
        <v>1953</v>
      </c>
      <c r="C20" s="2967" t="s">
        <v>3096</v>
      </c>
      <c r="D20" s="48">
        <f t="shared" ref="D20:D26" si="6">ROUND($D$3*E20/$E$3,2)</f>
        <v>14538.34</v>
      </c>
      <c r="E20" s="56">
        <f t="shared" si="1"/>
        <v>13075.2</v>
      </c>
      <c r="F20" s="57"/>
      <c r="G20" s="58">
        <f>'数据-基础表'!K13+'数据-基础表'!K14</f>
        <v>13075.2</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14538.34</v>
      </c>
      <c r="S20" s="1248">
        <f t="shared" si="5"/>
        <v>13075.2</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164645</v>
      </c>
      <c r="E27" s="1394">
        <f>IF(SUM(E19:E26)='数据-基础表'!BA5,SUM(E19:E26),IF(F27="地上面积有误","面积有误","地下面积有误"))</f>
        <v>148075.10999999999</v>
      </c>
      <c r="F27" s="1393">
        <f>IF(SUM(F19:F26)=E8,SUM(F19:F26),"地上面积有误")</f>
        <v>134999.90999999997</v>
      </c>
      <c r="G27" s="1395">
        <f>SUM(G19:G26)</f>
        <v>13075.2</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164645</v>
      </c>
      <c r="S27" s="1247">
        <f>IF(SUM(S19:S26)=$E$3,SUM(S19:S26),SUM(S19:S26)&amp;"误差"&amp;ROUND(SUM(S19:S26)-E3,2))</f>
        <v>148075.10999999999</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164645</v>
      </c>
      <c r="E31" s="729">
        <f>E27+E30</f>
        <v>148075.10999999999</v>
      </c>
      <c r="F31" s="730">
        <f>F27+F30</f>
        <v>134999.90999999997</v>
      </c>
      <c r="G31" s="731">
        <f>G27+G30</f>
        <v>13075.2</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tabSelected="1" topLeftCell="B48" zoomScaleNormal="100" workbookViewId="0">
      <selection activeCell="J69" sqref="J69"/>
    </sheetView>
  </sheetViews>
  <sheetFormatPr defaultRowHeight="13.5"/>
  <cols>
    <col min="4" max="4" width="12.875" bestFit="1" customWidth="1"/>
    <col min="5" max="5" width="10.375" customWidth="1"/>
    <col min="6" max="7" width="10.625" bestFit="1" customWidth="1"/>
    <col min="8" max="8" width="10.625" customWidth="1"/>
    <col min="10" max="10" width="11.125" customWidth="1"/>
    <col min="11" max="11" width="9" style="2968"/>
    <col min="12" max="12" width="11.625" bestFit="1" customWidth="1"/>
    <col min="15" max="15" width="12.75" bestFit="1"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8">
      <c r="B17" s="2946">
        <v>601</v>
      </c>
      <c r="C17">
        <f t="shared" si="0"/>
        <v>3338.38</v>
      </c>
    </row>
    <row r="18" spans="1:18">
      <c r="B18" s="2946">
        <v>602</v>
      </c>
      <c r="C18">
        <f t="shared" si="0"/>
        <v>3338.38</v>
      </c>
    </row>
    <row r="19" spans="1:18">
      <c r="B19" s="2946">
        <v>701</v>
      </c>
      <c r="C19">
        <f t="shared" si="0"/>
        <v>3338.38</v>
      </c>
    </row>
    <row r="20" spans="1:18">
      <c r="B20" s="2946">
        <v>702</v>
      </c>
      <c r="C20">
        <f t="shared" si="0"/>
        <v>3338.38</v>
      </c>
    </row>
    <row r="21" spans="1:18">
      <c r="B21" s="2946">
        <v>801</v>
      </c>
      <c r="C21">
        <f t="shared" si="0"/>
        <v>3338.38</v>
      </c>
    </row>
    <row r="22" spans="1:18">
      <c r="B22" s="2946">
        <v>802</v>
      </c>
      <c r="C22">
        <f t="shared" si="0"/>
        <v>3338.38</v>
      </c>
    </row>
    <row r="23" spans="1:18">
      <c r="B23" s="2946">
        <v>901</v>
      </c>
      <c r="C23">
        <f t="shared" si="0"/>
        <v>3338.38</v>
      </c>
    </row>
    <row r="24" spans="1:18">
      <c r="B24" s="2946">
        <v>902</v>
      </c>
      <c r="C24">
        <f t="shared" si="0"/>
        <v>3338.38</v>
      </c>
    </row>
    <row r="25" spans="1:18">
      <c r="A25" s="2946"/>
      <c r="B25" s="2946" t="s">
        <v>3061</v>
      </c>
      <c r="C25">
        <f>SUM(C2:C24)</f>
        <v>68033.059999999983</v>
      </c>
    </row>
    <row r="26" spans="1:18">
      <c r="A26" s="2946"/>
      <c r="L26" s="3407"/>
    </row>
    <row r="27" spans="1:18" ht="14.25" thickBot="1"/>
    <row r="28" spans="1:18">
      <c r="A28" s="3119" t="s">
        <v>3041</v>
      </c>
      <c r="B28" s="3119" t="s">
        <v>3042</v>
      </c>
      <c r="C28" s="2947" t="s">
        <v>3043</v>
      </c>
      <c r="D28" s="3006" t="s">
        <v>3045</v>
      </c>
      <c r="E28" s="3112" t="s">
        <v>3047</v>
      </c>
      <c r="F28" s="3112"/>
      <c r="G28" s="3112"/>
      <c r="H28" s="3112"/>
    </row>
    <row r="29" spans="1:18" ht="14.25" thickBot="1">
      <c r="A29" s="3120"/>
      <c r="B29" s="3120"/>
      <c r="C29" s="2948" t="s">
        <v>3044</v>
      </c>
      <c r="D29" s="3007" t="s">
        <v>3046</v>
      </c>
      <c r="E29" s="3010" t="s">
        <v>37</v>
      </c>
      <c r="F29" s="3010" t="s">
        <v>3048</v>
      </c>
      <c r="G29" s="3011" t="s">
        <v>3049</v>
      </c>
      <c r="H29" s="3011" t="s">
        <v>3375</v>
      </c>
      <c r="I29" s="2946" t="s">
        <v>3063</v>
      </c>
      <c r="J29" s="2946" t="s">
        <v>3062</v>
      </c>
      <c r="P29" s="2946" t="s">
        <v>3340</v>
      </c>
      <c r="Q29" s="2946" t="s">
        <v>3341</v>
      </c>
      <c r="R29" s="2946" t="s">
        <v>3342</v>
      </c>
    </row>
    <row r="30" spans="1:18" ht="39" thickBot="1">
      <c r="A30" s="3121">
        <v>1</v>
      </c>
      <c r="B30" s="2949" t="s">
        <v>3050</v>
      </c>
      <c r="C30" s="3123" t="s">
        <v>3051</v>
      </c>
      <c r="D30" s="3008">
        <v>48650</v>
      </c>
      <c r="E30" s="3109">
        <f>F30+G30+H30</f>
        <v>76482.909999999989</v>
      </c>
      <c r="F30" s="3110">
        <v>70455.509999999995</v>
      </c>
      <c r="G30" s="3111">
        <v>6027.4</v>
      </c>
      <c r="H30" s="3111">
        <v>0</v>
      </c>
      <c r="I30">
        <v>76482.91</v>
      </c>
      <c r="J30">
        <v>99753.79</v>
      </c>
      <c r="K30" s="2968">
        <f>I30-E30</f>
        <v>0</v>
      </c>
      <c r="L30">
        <f>J30-D30-D31</f>
        <v>-0.21000000000640284</v>
      </c>
      <c r="N30">
        <f>72825.81+3657.14</f>
        <v>76482.95</v>
      </c>
      <c r="O30">
        <f>ROUND(F32/D32,2)</f>
        <v>0.71</v>
      </c>
      <c r="P30">
        <f>ROUND(Q30*D32/10000,0)</f>
        <v>10514</v>
      </c>
      <c r="Q30">
        <f>'土地比较法-住宅、综合'!C47</f>
        <v>1054</v>
      </c>
      <c r="R30">
        <v>1</v>
      </c>
    </row>
    <row r="31" spans="1:18" ht="39" thickBot="1">
      <c r="A31" s="3122"/>
      <c r="B31" s="2949" t="s">
        <v>3052</v>
      </c>
      <c r="C31" s="3124"/>
      <c r="D31" s="3008">
        <v>51104</v>
      </c>
      <c r="E31" s="3109"/>
      <c r="F31" s="3110"/>
      <c r="G31" s="3111"/>
      <c r="H31" s="3111"/>
    </row>
    <row r="32" spans="1:18" ht="14.25" thickBot="1">
      <c r="A32" s="3113" t="s">
        <v>40</v>
      </c>
      <c r="B32" s="3114"/>
      <c r="C32" s="3115"/>
      <c r="D32" s="3009">
        <f>SUM(D30:D31)</f>
        <v>99754</v>
      </c>
      <c r="E32" s="3012">
        <f>E30</f>
        <v>76482.909999999989</v>
      </c>
      <c r="F32" s="3012">
        <f>F30</f>
        <v>70455.509999999995</v>
      </c>
      <c r="G32" s="3013">
        <f>G30</f>
        <v>6027.4</v>
      </c>
      <c r="H32" s="3013">
        <v>0</v>
      </c>
    </row>
    <row r="33" spans="1:18" ht="39" thickBot="1">
      <c r="A33" s="2950">
        <v>2</v>
      </c>
      <c r="B33" s="2949" t="s">
        <v>3053</v>
      </c>
      <c r="C33" s="2951" t="s">
        <v>3054</v>
      </c>
      <c r="D33" s="3008">
        <v>64891</v>
      </c>
      <c r="E33" s="3014">
        <f>F33+G33+H33</f>
        <v>71592.2</v>
      </c>
      <c r="F33" s="3014">
        <f>71592.2-G33</f>
        <v>64544.399999999994</v>
      </c>
      <c r="G33" s="3015">
        <v>7047.8</v>
      </c>
      <c r="H33" s="3015">
        <v>0</v>
      </c>
      <c r="I33" s="2952">
        <v>71592.2</v>
      </c>
      <c r="J33" s="2952">
        <v>40909.230000000003</v>
      </c>
      <c r="K33" s="2968">
        <f>I33-E33</f>
        <v>0</v>
      </c>
      <c r="L33">
        <f>J33-D33</f>
        <v>-23981.769999999997</v>
      </c>
      <c r="N33">
        <v>71592.2</v>
      </c>
      <c r="O33">
        <f>ROUND(F33/D33,2)</f>
        <v>0.99</v>
      </c>
      <c r="P33">
        <f>ROUND(Q33*D33/10000,0)</f>
        <v>6840</v>
      </c>
      <c r="Q33">
        <f>ROUND(Q30*R33,0)</f>
        <v>1054</v>
      </c>
      <c r="R33">
        <v>1</v>
      </c>
    </row>
    <row r="34" spans="1:18" ht="39" thickBot="1">
      <c r="A34" s="2950">
        <v>3</v>
      </c>
      <c r="B34" s="2949" t="s">
        <v>3055</v>
      </c>
      <c r="C34" s="2951" t="s">
        <v>3056</v>
      </c>
      <c r="D34" s="3008">
        <v>45153</v>
      </c>
      <c r="E34" s="3016">
        <f>F34+G34+H34</f>
        <v>67380.210000000006</v>
      </c>
      <c r="F34" s="3014">
        <f>SUM(N46:N52)</f>
        <v>60851.190000000017</v>
      </c>
      <c r="G34" s="3015">
        <v>6462.59</v>
      </c>
      <c r="H34" s="3015">
        <v>66.430000000000007</v>
      </c>
      <c r="O34">
        <f>ROUND(F34/D34,2)</f>
        <v>1.35</v>
      </c>
    </row>
    <row r="35" spans="1:18" ht="39" thickBot="1">
      <c r="A35" s="2950">
        <v>4</v>
      </c>
      <c r="B35" s="2949" t="s">
        <v>3057</v>
      </c>
      <c r="C35" s="2951" t="s">
        <v>3058</v>
      </c>
      <c r="D35" s="3008">
        <v>71543</v>
      </c>
      <c r="E35" s="3014">
        <f>F35+G35+H35</f>
        <v>42971.47</v>
      </c>
      <c r="F35" s="3014">
        <f>42971.47-G35</f>
        <v>37122.11</v>
      </c>
      <c r="G35" s="3015">
        <v>5849.36</v>
      </c>
      <c r="H35" s="3015">
        <v>0</v>
      </c>
      <c r="I35" s="2952">
        <v>42971.47</v>
      </c>
      <c r="J35" s="2952">
        <v>23331.26</v>
      </c>
      <c r="K35" s="2968">
        <f>I35-E35</f>
        <v>0</v>
      </c>
      <c r="L35">
        <f>J35-D35</f>
        <v>-48211.740000000005</v>
      </c>
      <c r="N35">
        <v>42971.47</v>
      </c>
      <c r="O35">
        <f>ROUND(F35/D35,2)</f>
        <v>0.52</v>
      </c>
    </row>
    <row r="36" spans="1:18" ht="14.25" thickBot="1">
      <c r="A36" s="3116" t="s">
        <v>37</v>
      </c>
      <c r="B36" s="3117"/>
      <c r="C36" s="3118"/>
      <c r="D36" s="3009">
        <f>SUM(D32:D35)</f>
        <v>281341</v>
      </c>
      <c r="E36" s="3013">
        <f>SUM(E32:E35)</f>
        <v>258426.79</v>
      </c>
      <c r="F36" s="3013">
        <f>SUM(F32:F35)</f>
        <v>232973.20999999996</v>
      </c>
      <c r="G36" s="3017">
        <f>SUM(G32:G35)</f>
        <v>25387.15</v>
      </c>
      <c r="H36" s="3017">
        <f>SUM(H32:H35)</f>
        <v>66.430000000000007</v>
      </c>
    </row>
    <row r="38" spans="1:18" ht="23.25">
      <c r="C38" s="2999" t="s">
        <v>3364</v>
      </c>
      <c r="D38" s="3019">
        <f>D32+D33</f>
        <v>164645</v>
      </c>
      <c r="E38">
        <f>E32+E33</f>
        <v>148075.10999999999</v>
      </c>
      <c r="F38">
        <f>F32+F33</f>
        <v>134999.90999999997</v>
      </c>
      <c r="G38" s="3018">
        <f>G32+G33</f>
        <v>13075.2</v>
      </c>
      <c r="J38">
        <f>F38/E38</f>
        <v>0.91169886687911283</v>
      </c>
    </row>
    <row r="39" spans="1:18">
      <c r="C39" s="2999" t="s">
        <v>3365</v>
      </c>
      <c r="D39" s="3019">
        <f>D34+D35</f>
        <v>116696</v>
      </c>
      <c r="E39">
        <f>E34+E35</f>
        <v>110351.68000000001</v>
      </c>
      <c r="F39" s="3018">
        <f>F34+F35</f>
        <v>97973.300000000017</v>
      </c>
      <c r="G39">
        <f>G34+G35</f>
        <v>12311.95</v>
      </c>
      <c r="J39">
        <f>F39/E39</f>
        <v>0.88782789713758781</v>
      </c>
    </row>
    <row r="40" spans="1:18">
      <c r="J40">
        <f>F36/D36</f>
        <v>0.82808126081872169</v>
      </c>
    </row>
    <row r="41" spans="1:18">
      <c r="F41" s="3407">
        <f>F39+H34</f>
        <v>98039.73000000001</v>
      </c>
    </row>
    <row r="43" spans="1:18" ht="14.25" thickBot="1"/>
    <row r="44" spans="1:18" ht="14.25" thickTop="1">
      <c r="C44" s="3125" t="s">
        <v>3343</v>
      </c>
      <c r="D44" s="3126"/>
      <c r="E44" s="3129" t="s">
        <v>3345</v>
      </c>
      <c r="F44" s="3130"/>
      <c r="G44" s="3131" t="s">
        <v>3346</v>
      </c>
      <c r="H44" s="3001"/>
    </row>
    <row r="45" spans="1:18">
      <c r="C45" s="3127" t="s">
        <v>3344</v>
      </c>
      <c r="D45" s="3128"/>
      <c r="E45" s="2987" t="s">
        <v>3109</v>
      </c>
      <c r="F45" s="2987" t="s">
        <v>3110</v>
      </c>
      <c r="G45" s="3132"/>
      <c r="H45" s="3001"/>
      <c r="M45" s="2946" t="s">
        <v>3366</v>
      </c>
      <c r="N45">
        <v>6462.59</v>
      </c>
    </row>
    <row r="46" spans="1:18">
      <c r="C46" s="3133" t="s">
        <v>3347</v>
      </c>
      <c r="D46" s="2988" t="s">
        <v>3348</v>
      </c>
      <c r="E46" s="2989">
        <f ca="1">结果表!C19</f>
        <v>74859</v>
      </c>
      <c r="F46" s="2989">
        <f ca="1">结果表!D19</f>
        <v>73699</v>
      </c>
      <c r="G46" s="2989">
        <f ca="1">结果表!G19</f>
        <v>74279</v>
      </c>
      <c r="H46" s="3002"/>
      <c r="M46" s="2946" t="s">
        <v>3367</v>
      </c>
      <c r="N46">
        <v>9274.43</v>
      </c>
    </row>
    <row r="47" spans="1:18">
      <c r="C47" s="3134"/>
      <c r="D47" s="2988" t="s">
        <v>3349</v>
      </c>
      <c r="E47" s="2989">
        <f ca="1">结果表!C20</f>
        <v>5055</v>
      </c>
      <c r="F47" s="2989">
        <f ca="1">结果表!D20</f>
        <v>4977</v>
      </c>
      <c r="G47" s="2989">
        <f ca="1">系统读取表!E14</f>
        <v>5016</v>
      </c>
      <c r="H47" s="3002"/>
      <c r="M47" s="2946" t="s">
        <v>3368</v>
      </c>
      <c r="N47">
        <v>9274.4500000000007</v>
      </c>
    </row>
    <row r="48" spans="1:18">
      <c r="C48" s="3133" t="s">
        <v>3350</v>
      </c>
      <c r="D48" s="2988" t="s">
        <v>3348</v>
      </c>
      <c r="E48" s="2989">
        <f ca="1">[1]结果表!$C$19</f>
        <v>66909</v>
      </c>
      <c r="F48" s="2989">
        <f ca="1">[1]结果表!$D$19</f>
        <v>58456</v>
      </c>
      <c r="G48" s="2989">
        <f ca="1">系统读取表!D15</f>
        <v>62683</v>
      </c>
      <c r="H48" s="3002"/>
      <c r="M48" s="2946" t="s">
        <v>3369</v>
      </c>
      <c r="N48">
        <v>9274.24</v>
      </c>
    </row>
    <row r="49" spans="1:14">
      <c r="C49" s="3134"/>
      <c r="D49" s="2988" t="s">
        <v>3349</v>
      </c>
      <c r="E49" s="2989">
        <f ca="1">[1]结果表!$C$20</f>
        <v>6063</v>
      </c>
      <c r="F49" s="2989">
        <f ca="1">[1]结果表!$D$20</f>
        <v>5297</v>
      </c>
      <c r="G49" s="2989">
        <f ca="1">系统读取表!E15</f>
        <v>5680</v>
      </c>
      <c r="H49" s="3002"/>
      <c r="M49" s="2946" t="s">
        <v>3370</v>
      </c>
      <c r="N49">
        <v>9274.4500000000007</v>
      </c>
    </row>
    <row r="50" spans="1:14">
      <c r="C50" s="3135" t="s">
        <v>3351</v>
      </c>
      <c r="D50" s="2990" t="s">
        <v>3348</v>
      </c>
      <c r="E50" s="2991">
        <f ca="1">E46+E48</f>
        <v>141768</v>
      </c>
      <c r="F50" s="2991">
        <f ca="1">F46+F48</f>
        <v>132155</v>
      </c>
      <c r="G50" s="2991">
        <f ca="1">G46+G48</f>
        <v>136962</v>
      </c>
      <c r="H50" s="3003"/>
      <c r="M50" s="2946" t="s">
        <v>3371</v>
      </c>
      <c r="N50">
        <v>11200.8</v>
      </c>
    </row>
    <row r="51" spans="1:14" ht="14.25" thickBot="1">
      <c r="C51" s="3136"/>
      <c r="D51" s="2992" t="s">
        <v>3349</v>
      </c>
      <c r="E51" s="2993" t="s">
        <v>3352</v>
      </c>
      <c r="F51" s="2993" t="s">
        <v>3352</v>
      </c>
      <c r="G51" s="2993"/>
      <c r="H51" s="3003"/>
      <c r="M51" s="2946" t="s">
        <v>3372</v>
      </c>
      <c r="N51">
        <v>1351.98</v>
      </c>
    </row>
    <row r="52" spans="1:14" ht="15" thickTop="1" thickBot="1">
      <c r="M52" s="2946" t="s">
        <v>3373</v>
      </c>
      <c r="N52">
        <v>11200.84</v>
      </c>
    </row>
    <row r="53" spans="1:14" ht="25.5" customHeight="1" thickTop="1">
      <c r="A53" s="3137" t="s">
        <v>3353</v>
      </c>
      <c r="B53" s="3137" t="s">
        <v>3354</v>
      </c>
      <c r="C53" s="3137" t="s">
        <v>3355</v>
      </c>
      <c r="D53" s="3139" t="s">
        <v>3356</v>
      </c>
      <c r="E53" s="3140"/>
      <c r="F53" s="3139" t="s">
        <v>3357</v>
      </c>
      <c r="G53" s="3140"/>
      <c r="H53" s="3139" t="s">
        <v>3358</v>
      </c>
      <c r="I53" s="3140"/>
      <c r="J53" s="3004"/>
      <c r="M53" s="2946" t="s">
        <v>3374</v>
      </c>
      <c r="N53">
        <v>66.430000000000007</v>
      </c>
    </row>
    <row r="54" spans="1:14">
      <c r="A54" s="3138"/>
      <c r="B54" s="3138"/>
      <c r="C54" s="3138"/>
      <c r="D54" s="2987" t="s">
        <v>3348</v>
      </c>
      <c r="E54" s="2987" t="s">
        <v>3359</v>
      </c>
      <c r="F54" s="2987" t="s">
        <v>3360</v>
      </c>
      <c r="G54" s="2987" t="s">
        <v>3359</v>
      </c>
      <c r="H54" s="2987" t="s">
        <v>3360</v>
      </c>
      <c r="I54" s="2987" t="s">
        <v>3359</v>
      </c>
      <c r="J54" s="3004"/>
      <c r="N54">
        <f>SUM(N45:N53)</f>
        <v>67380.210000000006</v>
      </c>
    </row>
    <row r="55" spans="1:14">
      <c r="A55" s="2994" t="s">
        <v>3347</v>
      </c>
      <c r="B55" s="2995">
        <v>148075.10999999999</v>
      </c>
      <c r="C55" s="2995">
        <v>164645</v>
      </c>
      <c r="D55" s="2995">
        <f ca="1">结果表!D118</f>
        <v>26666</v>
      </c>
      <c r="E55" s="2995">
        <f ca="1">结果表!E118</f>
        <v>1801</v>
      </c>
      <c r="F55" s="2995">
        <f ca="1">结果表!F118</f>
        <v>47613</v>
      </c>
      <c r="G55" s="2995">
        <f ca="1">结果表!G118</f>
        <v>3215</v>
      </c>
      <c r="H55" s="2995">
        <f ca="1">结果表!H118</f>
        <v>74279</v>
      </c>
      <c r="I55" s="2995">
        <f ca="1">结果表!I118</f>
        <v>5016</v>
      </c>
      <c r="J55" s="3005"/>
    </row>
    <row r="56" spans="1:14">
      <c r="A56" s="2994" t="s">
        <v>3350</v>
      </c>
      <c r="B56" s="2995">
        <v>111004.53</v>
      </c>
      <c r="C56" s="2995">
        <v>116696</v>
      </c>
      <c r="D56" s="2995">
        <f ca="1">[1]结果表!$D$118</f>
        <v>17802</v>
      </c>
      <c r="E56" s="2995">
        <f ca="1">[1]结果表!$E$118</f>
        <v>1613</v>
      </c>
      <c r="F56" s="2995">
        <f ca="1">[1]结果表!$F$118</f>
        <v>44881</v>
      </c>
      <c r="G56" s="2995">
        <f ca="1">[1]结果表!$G$118</f>
        <v>4067</v>
      </c>
      <c r="H56" s="2995">
        <f ca="1">[1]结果表!$H$118</f>
        <v>62683</v>
      </c>
      <c r="I56" s="2995">
        <f ca="1">[1]结果表!$I$118</f>
        <v>5680</v>
      </c>
      <c r="J56" s="3005"/>
    </row>
    <row r="57" spans="1:14">
      <c r="A57" s="2994" t="s">
        <v>37</v>
      </c>
      <c r="B57" s="2995">
        <f>B55+B56</f>
        <v>259079.63999999998</v>
      </c>
      <c r="C57" s="2995">
        <f>C55+C56</f>
        <v>281341</v>
      </c>
      <c r="D57" s="3149">
        <f ca="1">D55+D56</f>
        <v>44468</v>
      </c>
      <c r="E57" s="3150"/>
      <c r="F57" s="3149">
        <f ca="1">F55+F56</f>
        <v>92494</v>
      </c>
      <c r="G57" s="3150"/>
      <c r="H57" s="3149">
        <f ca="1">H55+H56</f>
        <v>136962</v>
      </c>
      <c r="I57" s="3150"/>
      <c r="J57" s="3398"/>
    </row>
    <row r="58" spans="1:14">
      <c r="A58" s="3141" t="s">
        <v>3361</v>
      </c>
      <c r="B58" s="3142"/>
      <c r="C58" s="3143"/>
      <c r="D58" s="3144">
        <f ca="1">D57*10000</f>
        <v>444680000</v>
      </c>
      <c r="E58" s="3145"/>
      <c r="F58" s="3144">
        <f t="shared" ref="F58" ca="1" si="1">F57*10000</f>
        <v>924940000</v>
      </c>
      <c r="G58" s="3145"/>
      <c r="H58" s="3144">
        <f ca="1">H57*10000</f>
        <v>1369620000</v>
      </c>
      <c r="I58" s="3145"/>
      <c r="J58" s="3399"/>
    </row>
    <row r="59" spans="1:14">
      <c r="A59" s="3151" t="s">
        <v>3362</v>
      </c>
      <c r="B59" s="3152"/>
      <c r="C59" s="3153"/>
      <c r="D59" s="3149">
        <v>0</v>
      </c>
      <c r="E59" s="3400"/>
      <c r="F59" s="3400"/>
      <c r="G59" s="3400"/>
      <c r="H59" s="3400"/>
      <c r="I59" s="3150"/>
      <c r="J59" s="3005"/>
    </row>
    <row r="60" spans="1:14">
      <c r="A60" s="3141" t="s">
        <v>3361</v>
      </c>
      <c r="B60" s="3142"/>
      <c r="C60" s="3143"/>
      <c r="D60" s="3401" t="s">
        <v>3363</v>
      </c>
      <c r="E60" s="3402"/>
      <c r="F60" s="3402"/>
      <c r="G60" s="3402"/>
      <c r="H60" s="3402"/>
      <c r="I60" s="3403"/>
      <c r="J60" s="3004"/>
    </row>
    <row r="61" spans="1:14">
      <c r="A61" s="3151" t="s">
        <v>3069</v>
      </c>
      <c r="B61" s="3152"/>
      <c r="C61" s="3153"/>
      <c r="D61" s="3149">
        <f ca="1">G50</f>
        <v>136962</v>
      </c>
      <c r="E61" s="3400"/>
      <c r="F61" s="3400"/>
      <c r="G61" s="3400"/>
      <c r="H61" s="3400"/>
      <c r="I61" s="3150"/>
      <c r="J61" s="3005"/>
    </row>
    <row r="62" spans="1:14" ht="14.25" thickBot="1">
      <c r="A62" s="3146" t="s">
        <v>3361</v>
      </c>
      <c r="B62" s="3147"/>
      <c r="C62" s="3148"/>
      <c r="D62" s="3404">
        <f ca="1">D61*10000</f>
        <v>1369620000</v>
      </c>
      <c r="E62" s="3405"/>
      <c r="F62" s="3405"/>
      <c r="G62" s="3405"/>
      <c r="H62" s="3405"/>
      <c r="I62" s="3406"/>
      <c r="J62" s="3399"/>
    </row>
    <row r="63" spans="1:14" ht="14.25" thickTop="1"/>
    <row r="65" spans="3:13" ht="14.25" thickBot="1"/>
    <row r="66" spans="3:13" ht="14.25" thickTop="1">
      <c r="C66" s="3137" t="s">
        <v>3353</v>
      </c>
      <c r="D66" s="3137" t="s">
        <v>3047</v>
      </c>
      <c r="E66" s="3137" t="s">
        <v>3355</v>
      </c>
      <c r="F66" s="3139" t="s">
        <v>3358</v>
      </c>
      <c r="G66" s="3140"/>
      <c r="H66" s="3004"/>
    </row>
    <row r="67" spans="3:13">
      <c r="C67" s="3138"/>
      <c r="D67" s="3138"/>
      <c r="E67" s="3138"/>
      <c r="F67" s="2987" t="s">
        <v>3360</v>
      </c>
      <c r="G67" s="2987" t="s">
        <v>3359</v>
      </c>
      <c r="H67" s="3004"/>
    </row>
    <row r="68" spans="3:13">
      <c r="C68" s="2994">
        <v>1</v>
      </c>
      <c r="D68" s="2995">
        <f>E32</f>
        <v>76482.909999999989</v>
      </c>
      <c r="E68" s="2995">
        <f>D32</f>
        <v>99754</v>
      </c>
      <c r="F68" s="2995">
        <f ca="1">ROUND(D68/(D68+D69)*系统读取表!D14,0)</f>
        <v>38366</v>
      </c>
      <c r="G68" s="2995">
        <f ca="1">ROUND(F68/D68*10000,0)</f>
        <v>5016</v>
      </c>
      <c r="H68" s="3005"/>
    </row>
    <row r="69" spans="3:13">
      <c r="C69" s="2994">
        <v>2</v>
      </c>
      <c r="D69" s="2995">
        <f>E33</f>
        <v>71592.2</v>
      </c>
      <c r="E69" s="2995">
        <f>D33</f>
        <v>64891</v>
      </c>
      <c r="F69" s="2995">
        <f ca="1">系统读取表!D14-面积表!F68</f>
        <v>35913</v>
      </c>
      <c r="G69" s="2995">
        <f t="shared" ref="G69:G70" ca="1" si="2">ROUND(F69/D69*10000,0)</f>
        <v>5016</v>
      </c>
      <c r="H69" s="3005"/>
    </row>
    <row r="70" spans="3:13">
      <c r="C70" s="2994">
        <v>5</v>
      </c>
      <c r="D70" s="2995">
        <f>E34</f>
        <v>67380.210000000006</v>
      </c>
      <c r="E70" s="2995">
        <f>D34</f>
        <v>45153</v>
      </c>
      <c r="F70" s="2995">
        <f ca="1">ROUND(D70/(D70+D71)*系统读取表!D15,0)</f>
        <v>38274</v>
      </c>
      <c r="G70" s="2995">
        <f ca="1">ROUND(F70/D70*10000,0)</f>
        <v>5680</v>
      </c>
      <c r="H70" s="3005"/>
    </row>
    <row r="71" spans="3:13">
      <c r="C71" s="2994">
        <v>6</v>
      </c>
      <c r="D71" s="2995">
        <f>E35</f>
        <v>42971.47</v>
      </c>
      <c r="E71" s="2995">
        <f>D35</f>
        <v>71543</v>
      </c>
      <c r="F71" s="2995">
        <f ca="1">系统读取表!D15-面积表!F70</f>
        <v>24409</v>
      </c>
      <c r="G71" s="2995">
        <f ca="1">ROUND(F71/D71*10000,0)</f>
        <v>5680</v>
      </c>
      <c r="H71" s="3005"/>
      <c r="M71">
        <f>76482.91/(71592.2+76482.91)*74279</f>
        <v>38366.164792246323</v>
      </c>
    </row>
    <row r="72" spans="3:13" ht="14.25" thickBot="1">
      <c r="C72" s="2996" t="s">
        <v>37</v>
      </c>
      <c r="D72" s="2997">
        <f>SUM(D68:D71)</f>
        <v>258426.79</v>
      </c>
      <c r="E72" s="2997">
        <f>SUM(E68:E71)</f>
        <v>281341</v>
      </c>
      <c r="F72" s="3154">
        <f ca="1">F68+F69+F70+F71</f>
        <v>136962</v>
      </c>
      <c r="G72" s="3155"/>
      <c r="H72" s="3005"/>
    </row>
    <row r="73" spans="3:13" ht="14.25" thickTop="1"/>
    <row r="76" spans="3:13">
      <c r="D76" s="3000">
        <f>68033.06/(68033.06+42971.47)*62697</f>
        <v>38426.07831247968</v>
      </c>
    </row>
  </sheetData>
  <mergeCells count="44">
    <mergeCell ref="C66:C67"/>
    <mergeCell ref="D66:D67"/>
    <mergeCell ref="E66:E67"/>
    <mergeCell ref="F66:G66"/>
    <mergeCell ref="F72:G72"/>
    <mergeCell ref="A62:C62"/>
    <mergeCell ref="D57:E57"/>
    <mergeCell ref="F57:G57"/>
    <mergeCell ref="H57:I57"/>
    <mergeCell ref="A59:C59"/>
    <mergeCell ref="A60:C60"/>
    <mergeCell ref="A61:C61"/>
    <mergeCell ref="D59:I59"/>
    <mergeCell ref="D60:I60"/>
    <mergeCell ref="D61:I61"/>
    <mergeCell ref="D62:I62"/>
    <mergeCell ref="D53:E53"/>
    <mergeCell ref="F53:G53"/>
    <mergeCell ref="H53:I53"/>
    <mergeCell ref="A58:C58"/>
    <mergeCell ref="D58:E58"/>
    <mergeCell ref="F58:G58"/>
    <mergeCell ref="H58:I58"/>
    <mergeCell ref="C48:C49"/>
    <mergeCell ref="C50:C51"/>
    <mergeCell ref="A53:A54"/>
    <mergeCell ref="B53:B54"/>
    <mergeCell ref="C53:C54"/>
    <mergeCell ref="C44:D44"/>
    <mergeCell ref="C45:D45"/>
    <mergeCell ref="E44:F44"/>
    <mergeCell ref="G44:G45"/>
    <mergeCell ref="C46:C47"/>
    <mergeCell ref="A32:C32"/>
    <mergeCell ref="A36:C36"/>
    <mergeCell ref="A28:A29"/>
    <mergeCell ref="B28:B29"/>
    <mergeCell ref="A30:A31"/>
    <mergeCell ref="C30:C31"/>
    <mergeCell ref="E30:E31"/>
    <mergeCell ref="F30:F31"/>
    <mergeCell ref="G30:G31"/>
    <mergeCell ref="E28:H28"/>
    <mergeCell ref="H30:H31"/>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55985</v>
      </c>
      <c r="F6" s="72">
        <f>SUMIF(项目基本情况!D$12:I$12,C6,项目基本情况!D$15:I$15)</f>
        <v>33.94</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134999.90999999997</v>
      </c>
      <c r="L6" s="803">
        <v>2100</v>
      </c>
      <c r="M6" s="75">
        <f t="shared" ref="M6:M14" si="1">ROUND(K6*L6/10000,0)</f>
        <v>28350</v>
      </c>
      <c r="N6" s="801">
        <v>0.98</v>
      </c>
      <c r="O6" s="75">
        <f>IF($N$5="成新度","——",ROUND(M6*N6,0))</f>
        <v>27783</v>
      </c>
      <c r="P6" s="76">
        <f>IF($N$5="成新度","——",M6-O6)</f>
        <v>567</v>
      </c>
      <c r="Q6" s="804">
        <v>0.2</v>
      </c>
      <c r="R6" s="77">
        <f ca="1">SUMIF('数据-汇总表'!C$19:C$33,A6,'数据-汇总表'!R$19:R$27)</f>
        <v>150106.66</v>
      </c>
      <c r="S6" s="54">
        <f>IF('数据-汇总表'!$I$17="按面积比例",SUMIF('数据-汇总表'!C$19:C$33,A6,'数据-汇总表'!K$19:K$33),SUMIF('数据-汇总表'!C$19:C$33,A6,'数据-汇总表'!N$19:N$33))</f>
        <v>0</v>
      </c>
      <c r="T6" s="1443">
        <f>ROUND($L$14*S6/10000,0)</f>
        <v>0</v>
      </c>
      <c r="U6" s="78">
        <v>1.5</v>
      </c>
      <c r="V6" s="79">
        <v>1.4999999999999999E-2</v>
      </c>
      <c r="W6" s="79">
        <v>0.12</v>
      </c>
      <c r="X6" s="1261"/>
      <c r="Y6" s="80">
        <v>1</v>
      </c>
      <c r="Z6" s="81"/>
      <c r="AA6" s="74"/>
      <c r="AB6" s="74"/>
      <c r="AC6" s="1261"/>
      <c r="AD6" s="82"/>
      <c r="AE6" s="1262">
        <f ca="1">IF(AN6="",0,SUMIF(INDIRECT("'"&amp;AN6&amp;"'"&amp;"!E:E"),$AE$5,INDIRECT("'"&amp;AN6&amp;"'"&amp;"!F:F")))</f>
        <v>33.739999999999995</v>
      </c>
      <c r="AF6" s="1803"/>
      <c r="AG6" s="147">
        <f>IF(AF6="",0,AE6-AF6)</f>
        <v>0</v>
      </c>
      <c r="AH6" s="83"/>
      <c r="AI6" s="85">
        <v>365</v>
      </c>
      <c r="AJ6" s="86"/>
      <c r="AK6" s="87">
        <v>1.4999999999999999E-2</v>
      </c>
      <c r="AL6" s="88">
        <v>1.5E-3</v>
      </c>
      <c r="AM6" s="89">
        <v>0.01</v>
      </c>
      <c r="AN6" s="2304" t="s">
        <v>3103</v>
      </c>
      <c r="AO6" s="55">
        <f ca="1">SUMIF(INDIRECT("'"&amp;AN6&amp;"'"&amp;"!A:A"),"总价",INDIRECT("'"&amp;AN6&amp;"'"&amp;"!B:B"))</f>
        <v>80673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3094</v>
      </c>
      <c r="D7" s="1051">
        <f>SUMIF(项目基本情况!D$12:I$12,C7,项目基本情况!D$14:I$14)</f>
        <v>40</v>
      </c>
      <c r="E7" s="1048">
        <f>IF(B7="","",SUMIF(项目基本情况!D$12:I$12,C7,项目基本情况!D$13:I$13))</f>
        <v>55985</v>
      </c>
      <c r="F7" s="72">
        <f>SUMIF(项目基本情况!D$12:I$12,C7,项目基本情况!D$15:I$15)</f>
        <v>33.94</v>
      </c>
      <c r="G7" s="73">
        <f t="shared" si="0"/>
        <v>0.92900000000000005</v>
      </c>
      <c r="H7" s="802">
        <v>0.04</v>
      </c>
      <c r="I7" s="802">
        <v>0.05</v>
      </c>
      <c r="J7" s="74">
        <v>8.5000000000000006E-2</v>
      </c>
      <c r="K7" s="1251">
        <f>SUMIF('数据-汇总表'!C$19:C$33,A7,'数据-汇总表'!E$19:E$33)</f>
        <v>13075.2</v>
      </c>
      <c r="L7" s="803">
        <v>1600</v>
      </c>
      <c r="M7" s="75">
        <f t="shared" si="1"/>
        <v>2092</v>
      </c>
      <c r="N7" s="801">
        <f>N6</f>
        <v>0.98</v>
      </c>
      <c r="O7" s="75">
        <f t="shared" ref="O7:O14" si="3">IF($N$5="成新度","——",ROUND(M7*N7,0))</f>
        <v>2050</v>
      </c>
      <c r="P7" s="76">
        <f t="shared" ref="P7:P14" si="4">IF($N$5="成新度","——",M7-O7)</f>
        <v>42</v>
      </c>
      <c r="Q7" s="804">
        <v>0.05</v>
      </c>
      <c r="R7" s="77">
        <f ca="1">SUMIF('数据-汇总表'!C$19:C$33,A7,'数据-汇总表'!R$19:R$27)</f>
        <v>14538.34</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33.739999999999995</v>
      </c>
      <c r="AF7" s="1803"/>
      <c r="AG7" s="147">
        <f t="shared" ref="AG7:AG13" si="7">IF(AF7="",0,AE7-AF7)</f>
        <v>0</v>
      </c>
      <c r="AH7" s="83"/>
      <c r="AI7" s="85">
        <v>365</v>
      </c>
      <c r="AJ7" s="86"/>
      <c r="AK7" s="87">
        <v>1.4999999999999999E-2</v>
      </c>
      <c r="AL7" s="88">
        <v>1.5E-3</v>
      </c>
      <c r="AM7" s="89">
        <v>0.01</v>
      </c>
      <c r="AN7" s="2304" t="s">
        <v>3106</v>
      </c>
      <c r="AO7" s="55">
        <f t="shared" ref="AO7:AO13" ca="1" si="8">SUMIF(INDIRECT("'"&amp;AN7&amp;"'"&amp;"!A:A"),"总价",INDIRECT("'"&amp;AN7&amp;"'"&amp;"!B:B"))</f>
        <v>2282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4.4999999999999998E-2</v>
      </c>
      <c r="I16" s="100"/>
      <c r="J16" s="100"/>
      <c r="K16" s="101">
        <f>SUM(K6:K15)</f>
        <v>148075.10999999999</v>
      </c>
      <c r="L16" s="102">
        <f>ROUND(M16*10000/SUM(K6:K14),0)</f>
        <v>2056</v>
      </c>
      <c r="M16" s="102">
        <f>SUM(M6:M14)</f>
        <v>30442</v>
      </c>
      <c r="N16" s="103">
        <f>ROUND(SUMPRODUCT(M6:M14,N6:N14)/M16,3)</f>
        <v>0.98</v>
      </c>
      <c r="O16" s="102">
        <f>SUM(O6:O14)</f>
        <v>29833</v>
      </c>
      <c r="P16" s="102">
        <f>SUM(P6:P14)</f>
        <v>609</v>
      </c>
      <c r="Q16" s="104">
        <f>ROUND(SUMPRODUCT(Q6:Q13,K6:K13)/SUMPRODUCT((Q6:Q13&gt;0)*(K6:K13)),2)</f>
        <v>0.19</v>
      </c>
      <c r="R16" s="1255">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592</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56" t="s">
        <v>2077</v>
      </c>
      <c r="B1" s="3157"/>
      <c r="C1" s="3157"/>
      <c r="D1" s="3157"/>
      <c r="E1" s="3157"/>
      <c r="F1" s="3157"/>
      <c r="G1" s="315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0" t="s">
        <v>3114</v>
      </c>
      <c r="D4" s="2366"/>
      <c r="E4" s="2369"/>
      <c r="F4" s="42" t="s">
        <v>2084</v>
      </c>
      <c r="G4" s="2370"/>
      <c r="H4" s="2363"/>
      <c r="I4" s="2363"/>
      <c r="J4" s="2363"/>
      <c r="K4" s="2363"/>
      <c r="L4" s="2363"/>
      <c r="M4" s="2363"/>
      <c r="N4" s="2363"/>
      <c r="O4" s="2363"/>
      <c r="P4" s="2363"/>
      <c r="Q4" s="2363"/>
      <c r="R4" s="2363"/>
    </row>
    <row r="5" spans="1:29" ht="15">
      <c r="A5" s="431"/>
      <c r="B5" s="1794" t="s">
        <v>2085</v>
      </c>
      <c r="C5" s="2970" t="s">
        <v>3114</v>
      </c>
      <c r="D5" s="2366"/>
      <c r="E5" s="2369"/>
      <c r="F5" s="1794" t="s">
        <v>2086</v>
      </c>
      <c r="G5" s="2370"/>
      <c r="H5" s="2363"/>
      <c r="I5" s="2363"/>
      <c r="J5" s="2363"/>
      <c r="K5" s="2363"/>
      <c r="L5" s="2363"/>
      <c r="M5" s="2363"/>
      <c r="N5" s="2363"/>
      <c r="O5" s="2363"/>
      <c r="P5" s="2363"/>
      <c r="Q5" s="2363"/>
      <c r="R5" s="2363"/>
    </row>
    <row r="6" spans="1:29" ht="15">
      <c r="A6" s="431"/>
      <c r="B6" s="1794" t="s">
        <v>2087</v>
      </c>
      <c r="C6" s="2971" t="s">
        <v>3116</v>
      </c>
      <c r="D6" s="2366"/>
      <c r="E6" s="2369"/>
      <c r="F6" s="1794" t="s">
        <v>2088</v>
      </c>
      <c r="G6" s="2370"/>
      <c r="H6" s="2363"/>
      <c r="I6" s="2363"/>
      <c r="J6" s="2363"/>
      <c r="K6" s="2363"/>
      <c r="L6" s="2363"/>
      <c r="M6" s="2363"/>
      <c r="N6" s="2363"/>
      <c r="O6" s="2363"/>
      <c r="P6" s="2363"/>
      <c r="Q6" s="2363"/>
      <c r="R6" s="2363"/>
    </row>
    <row r="7" spans="1:29" ht="15.75" thickBot="1">
      <c r="A7" s="431"/>
      <c r="B7" s="1794" t="s">
        <v>2086</v>
      </c>
      <c r="C7" s="2971" t="s">
        <v>3117</v>
      </c>
      <c r="D7" s="2371"/>
      <c r="E7" s="2372"/>
      <c r="F7" s="2373" t="s">
        <v>2089</v>
      </c>
      <c r="G7" s="2374"/>
      <c r="H7" s="2363"/>
      <c r="I7" s="2363"/>
      <c r="J7" s="2363"/>
      <c r="K7" s="2363"/>
      <c r="L7" s="2363"/>
      <c r="M7" s="2363"/>
      <c r="N7" s="2363"/>
      <c r="O7" s="2363"/>
      <c r="P7" s="2363"/>
      <c r="Q7" s="2363"/>
      <c r="R7" s="2363"/>
    </row>
    <row r="8" spans="1:29" ht="15">
      <c r="A8" s="431"/>
      <c r="B8" s="1794" t="s">
        <v>2088</v>
      </c>
      <c r="C8" s="2971" t="s">
        <v>3119</v>
      </c>
      <c r="D8" s="2371"/>
      <c r="E8" s="2371"/>
      <c r="F8" s="1133"/>
      <c r="G8" s="1133"/>
      <c r="H8" s="2363"/>
      <c r="I8" s="2363"/>
      <c r="J8" s="2363"/>
      <c r="K8" s="2363"/>
      <c r="L8" s="2363"/>
      <c r="M8" s="2363"/>
      <c r="N8" s="2363"/>
      <c r="O8" s="2363"/>
      <c r="P8" s="2363"/>
      <c r="Q8" s="2363"/>
      <c r="R8" s="2363"/>
    </row>
    <row r="9" spans="1:29" ht="15">
      <c r="A9" s="431"/>
      <c r="B9" s="1794" t="s">
        <v>2090</v>
      </c>
      <c r="C9" s="2970" t="s">
        <v>3117</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2" t="s">
        <v>3120</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258426.78999999998</v>
      </c>
      <c r="C1" s="1741"/>
      <c r="D1" s="1741"/>
      <c r="E1" s="1741"/>
      <c r="F1" s="1741"/>
      <c r="G1" s="1739"/>
    </row>
    <row r="2" spans="1:10" ht="16.5">
      <c r="A2" s="1742" t="s">
        <v>1349</v>
      </c>
      <c r="B2" s="1742">
        <f>SUM(C14:C23)</f>
        <v>281341</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136962</v>
      </c>
      <c r="C5" s="1742">
        <f ca="1">ROUND(B5*10000/$B$1,0)</f>
        <v>5300</v>
      </c>
      <c r="D5" s="1742">
        <f ca="1">ROUND(B5*10000/$B$2,0)</f>
        <v>4868</v>
      </c>
      <c r="E5" s="1741"/>
      <c r="F5" s="1739"/>
      <c r="G5" s="1739"/>
    </row>
    <row r="6" spans="1:10" ht="16.5">
      <c r="A6" s="1742" t="s">
        <v>1352</v>
      </c>
      <c r="B6" s="1742">
        <f ca="1">SUM(G14:G23)</f>
        <v>136962</v>
      </c>
      <c r="C6" s="1742">
        <f ca="1">ROUND(B6*10000/$B$1,0)</f>
        <v>5300</v>
      </c>
      <c r="D6" s="1742">
        <f ca="1">ROUND(B6*10000/$B$2,0)</f>
        <v>4868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148075.10999999999</v>
      </c>
      <c r="C14" s="1740">
        <f>结果表!C118</f>
        <v>164645</v>
      </c>
      <c r="D14" s="1740">
        <f ca="1">结果表!H118</f>
        <v>74279</v>
      </c>
      <c r="E14" s="1740">
        <f ca="1">ROUND(D14*10000/B14,0)</f>
        <v>5016</v>
      </c>
      <c r="F14" s="1740">
        <f ca="1">ROUND(D14*10000/C14,0)</f>
        <v>4511</v>
      </c>
      <c r="G14" s="1740">
        <f ca="1">结果表!D122</f>
        <v>74279</v>
      </c>
      <c r="H14" s="1740" t="str">
        <f>结果表!D124</f>
        <v>——</v>
      </c>
      <c r="I14" s="1740" t="str">
        <f>结果表!D126</f>
        <v>——</v>
      </c>
      <c r="J14" s="1739"/>
    </row>
    <row r="15" spans="1:10" ht="16.5">
      <c r="A15" s="1738" t="s">
        <v>1345</v>
      </c>
      <c r="B15" s="1745">
        <f>[1]系统读取表!$B$14</f>
        <v>110351.68000000001</v>
      </c>
      <c r="C15" s="1745">
        <f>[1]系统读取表!$C$14</f>
        <v>116696</v>
      </c>
      <c r="D15" s="1745">
        <f ca="1">[1]系统读取表!$D$14</f>
        <v>62683</v>
      </c>
      <c r="E15" s="1740">
        <f t="shared" ref="E15:E23" ca="1" si="0">ROUND(D15*10000/B15,0)</f>
        <v>5680</v>
      </c>
      <c r="F15" s="1740">
        <f t="shared" ref="F15:F23" ca="1" si="1">ROUND(D15*10000/C15,0)</f>
        <v>5371</v>
      </c>
      <c r="G15" s="1746">
        <f ca="1">D15</f>
        <v>62683</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18" sqref="F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3338</v>
      </c>
    </row>
    <row r="2" spans="1:12" ht="21.75" customHeight="1" thickBot="1">
      <c r="A2" s="3230" t="str">
        <f>项目基本情况!S2</f>
        <v>一期1、2号地出让国有建设用地使用权及在建建筑物房地产</v>
      </c>
      <c r="B2" s="3231"/>
      <c r="C2" s="3231"/>
      <c r="D2" s="3231"/>
      <c r="E2" s="3231"/>
      <c r="F2" s="3231"/>
      <c r="G2" s="3231"/>
      <c r="H2" s="3231"/>
      <c r="I2" s="3232"/>
    </row>
    <row r="3" spans="1:12" ht="12.75">
      <c r="A3" s="3233" t="s">
        <v>2108</v>
      </c>
      <c r="B3" s="3234"/>
      <c r="C3" s="3234"/>
      <c r="D3" s="3234"/>
      <c r="E3" s="3234"/>
      <c r="F3" s="3234"/>
      <c r="G3" s="3234"/>
      <c r="H3" s="3234"/>
      <c r="I3" s="3234"/>
    </row>
    <row r="4" spans="1:12" ht="14.25">
      <c r="A4" s="2419" t="s">
        <v>2109</v>
      </c>
      <c r="B4" s="2420" t="s">
        <v>2110</v>
      </c>
      <c r="C4" s="2421" t="s">
        <v>3109</v>
      </c>
      <c r="D4" s="2421" t="s">
        <v>3110</v>
      </c>
      <c r="E4" s="3214" t="s">
        <v>2111</v>
      </c>
      <c r="F4" s="3227"/>
      <c r="G4" s="3227"/>
      <c r="H4" s="3227"/>
      <c r="I4" s="321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205" t="s">
        <v>2112</v>
      </c>
      <c r="B5" s="3084">
        <v>25</v>
      </c>
      <c r="C5" s="3235"/>
      <c r="D5" s="3223"/>
      <c r="E5" s="140" t="s">
        <v>2113</v>
      </c>
      <c r="F5" s="2423"/>
      <c r="G5" s="2423"/>
      <c r="H5" s="2423"/>
      <c r="I5" s="1830"/>
    </row>
    <row r="6" spans="1:12" ht="12.75">
      <c r="A6" s="3205"/>
      <c r="B6" s="3084"/>
      <c r="C6" s="3237"/>
      <c r="D6" s="3223"/>
      <c r="E6" s="140" t="s">
        <v>2114</v>
      </c>
      <c r="F6" s="2423"/>
      <c r="G6" s="2423"/>
      <c r="H6" s="2423"/>
      <c r="I6" s="1830"/>
    </row>
    <row r="7" spans="1:12" ht="12.75">
      <c r="A7" s="3205"/>
      <c r="B7" s="3084"/>
      <c r="C7" s="3236"/>
      <c r="D7" s="3223"/>
      <c r="E7" s="140" t="s">
        <v>2115</v>
      </c>
      <c r="F7" s="2423"/>
      <c r="G7" s="2423"/>
      <c r="H7" s="2423"/>
      <c r="I7" s="1830"/>
    </row>
    <row r="8" spans="1:12" ht="12.75">
      <c r="A8" s="3205" t="s">
        <v>2116</v>
      </c>
      <c r="B8" s="3084">
        <v>15</v>
      </c>
      <c r="C8" s="3235"/>
      <c r="D8" s="3223"/>
      <c r="E8" s="140" t="s">
        <v>2117</v>
      </c>
      <c r="F8" s="2423"/>
      <c r="G8" s="2423"/>
      <c r="H8" s="2423"/>
      <c r="I8" s="1830"/>
    </row>
    <row r="9" spans="1:12" ht="12.75">
      <c r="A9" s="3205"/>
      <c r="B9" s="3084"/>
      <c r="C9" s="3236"/>
      <c r="D9" s="3223"/>
      <c r="E9" s="140" t="s">
        <v>2118</v>
      </c>
      <c r="F9" s="2423"/>
      <c r="G9" s="2423"/>
      <c r="H9" s="2423"/>
      <c r="I9" s="1830"/>
    </row>
    <row r="10" spans="1:12" ht="12.75">
      <c r="A10" s="3205" t="s">
        <v>2119</v>
      </c>
      <c r="B10" s="3084">
        <v>15</v>
      </c>
      <c r="C10" s="3235"/>
      <c r="D10" s="3223"/>
      <c r="E10" s="140" t="s">
        <v>2120</v>
      </c>
      <c r="F10" s="2423"/>
      <c r="G10" s="2423"/>
      <c r="H10" s="2423"/>
      <c r="I10" s="1830"/>
    </row>
    <row r="11" spans="1:12" ht="12.75">
      <c r="A11" s="3205"/>
      <c r="B11" s="3084"/>
      <c r="C11" s="3236"/>
      <c r="D11" s="3223"/>
      <c r="E11" s="140" t="s">
        <v>2121</v>
      </c>
      <c r="F11" s="2423"/>
      <c r="G11" s="2423"/>
      <c r="H11" s="2423"/>
      <c r="I11" s="1830"/>
    </row>
    <row r="12" spans="1:12" ht="12.75">
      <c r="A12" s="3205" t="s">
        <v>2122</v>
      </c>
      <c r="B12" s="3084">
        <v>15</v>
      </c>
      <c r="C12" s="3235"/>
      <c r="D12" s="3223"/>
      <c r="E12" s="140" t="s">
        <v>2123</v>
      </c>
      <c r="F12" s="2423"/>
      <c r="G12" s="2423"/>
      <c r="H12" s="2423"/>
      <c r="I12" s="1830"/>
    </row>
    <row r="13" spans="1:12" ht="12.75">
      <c r="A13" s="3205"/>
      <c r="B13" s="3084"/>
      <c r="C13" s="3236"/>
      <c r="D13" s="3223"/>
      <c r="E13" s="140" t="s">
        <v>2124</v>
      </c>
      <c r="F13" s="2423"/>
      <c r="G13" s="2423"/>
      <c r="H13" s="2423"/>
      <c r="I13" s="1830"/>
    </row>
    <row r="14" spans="1:12" ht="12.75">
      <c r="A14" s="3205" t="s">
        <v>2125</v>
      </c>
      <c r="B14" s="3084">
        <v>30</v>
      </c>
      <c r="C14" s="3235">
        <v>5</v>
      </c>
      <c r="D14" s="3223">
        <v>5</v>
      </c>
      <c r="E14" s="140" t="s">
        <v>2126</v>
      </c>
      <c r="F14" s="2423"/>
      <c r="G14" s="2423"/>
      <c r="H14" s="2423"/>
      <c r="I14" s="1830"/>
    </row>
    <row r="15" spans="1:12" ht="12.75">
      <c r="A15" s="3205"/>
      <c r="B15" s="3084"/>
      <c r="C15" s="3237"/>
      <c r="D15" s="3223"/>
      <c r="E15" s="140" t="s">
        <v>2127</v>
      </c>
      <c r="F15" s="2423"/>
      <c r="G15" s="2423"/>
      <c r="H15" s="2423"/>
      <c r="I15" s="1830"/>
    </row>
    <row r="16" spans="1:12" ht="12.75">
      <c r="A16" s="3205"/>
      <c r="B16" s="3084"/>
      <c r="C16" s="3236"/>
      <c r="D16" s="3223"/>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148075.10999999999</v>
      </c>
      <c r="M18" s="2422">
        <f>IF(C1="",'数据-汇总表'!E3,SUMIF(项目类型,C1,'数据-汇总表'!E17:E26))</f>
        <v>148075.10999999999</v>
      </c>
    </row>
    <row r="19" spans="1:35" ht="15">
      <c r="A19" s="2428" t="s">
        <v>2134</v>
      </c>
      <c r="B19" s="2429" t="s">
        <v>2135</v>
      </c>
      <c r="C19" s="143">
        <f ca="1">SUMIF(INDIRECT("'"&amp;C4&amp;"'"&amp;"!A:A"),结果表!B19,INDIRECT("'"&amp;C4&amp;"'"&amp;"!B:B"))</f>
        <v>74859</v>
      </c>
      <c r="D19" s="144">
        <f ca="1">SUMIF(INDIRECT("'"&amp;D4&amp;"'"&amp;"!A:A"),结果表!B19,INDIRECT("'"&amp;D4&amp;"'"&amp;"!B:B"))</f>
        <v>73699</v>
      </c>
      <c r="E19" s="2428" t="s">
        <v>2136</v>
      </c>
      <c r="F19" s="2429" t="s">
        <v>2135</v>
      </c>
      <c r="G19" s="145">
        <f ca="1">ROUND(C19*$C$18+D19*$D$18,0)</f>
        <v>74279</v>
      </c>
      <c r="H19" s="2430" t="s">
        <v>2137</v>
      </c>
      <c r="I19" s="138"/>
      <c r="K19" s="2422" t="s">
        <v>2138</v>
      </c>
      <c r="L19" s="2422">
        <f>IF(C1="",'数据-汇总表'!D3,SUMIF(项目类型,C1,'数据-汇总表'!D17:D26)+SUMIF(项目类型,C1,'数据-汇总表'!H17:H27))</f>
        <v>164645</v>
      </c>
      <c r="M19" s="2422">
        <f>IF(C1="",'数据-汇总表'!D3,SUMIF(项目类型,C1,'数据-汇总表'!D17:D26))</f>
        <v>164645</v>
      </c>
    </row>
    <row r="20" spans="1:35" ht="15">
      <c r="A20" s="2431"/>
      <c r="B20" s="1247" t="s">
        <v>2139</v>
      </c>
      <c r="C20" s="146">
        <f ca="1">SUMIF(INDIRECT("'"&amp;C4&amp;"'"&amp;"!A:A"),结果表!B20,INDIRECT("'"&amp;C4&amp;"'"&amp;"!B:B"))</f>
        <v>5055</v>
      </c>
      <c r="D20" s="147">
        <f ca="1">SUMIF(INDIRECT("'"&amp;D4&amp;"'"&amp;"!A:A"),结果表!B20,INDIRECT("'"&amp;D4&amp;"'"&amp;"!B:B"))</f>
        <v>4977</v>
      </c>
      <c r="E20" s="2431"/>
      <c r="F20" s="1247" t="s">
        <v>2139</v>
      </c>
      <c r="G20" s="148">
        <f ca="1">ROUND(C20*$C$18+D20*$D$18,0)</f>
        <v>5016</v>
      </c>
      <c r="H20" s="980" t="s">
        <v>2140</v>
      </c>
      <c r="I20" s="138"/>
    </row>
    <row r="21" spans="1:35" ht="15" customHeight="1" thickBot="1">
      <c r="A21" s="1000"/>
      <c r="B21" s="2432" t="s">
        <v>2141</v>
      </c>
      <c r="C21" s="789">
        <f ca="1">ROUND(C19*10000/L19,0)</f>
        <v>4547</v>
      </c>
      <c r="D21" s="790">
        <f ca="1">ROUND(D19*10000/L19,0)</f>
        <v>4476</v>
      </c>
      <c r="E21" s="1000"/>
      <c r="F21" s="2432" t="s">
        <v>2141</v>
      </c>
      <c r="G21" s="149">
        <f ca="1">ROUND(G19*10000/L19,0)</f>
        <v>4511</v>
      </c>
      <c r="H21" s="2433" t="s">
        <v>2140</v>
      </c>
      <c r="I21" s="138"/>
    </row>
    <row r="22" spans="1:35" ht="15" thickBot="1">
      <c r="A22" s="2276" t="s">
        <v>2142</v>
      </c>
      <c r="B22" s="2434"/>
      <c r="C22" s="2435"/>
      <c r="D22" s="791">
        <f ca="1">IF(C19&lt;D19,D19/C19-1,C19/D19-1)</f>
        <v>1.5739697960623689E-2</v>
      </c>
      <c r="E22" s="138"/>
      <c r="F22" s="138"/>
      <c r="G22" s="138"/>
      <c r="H22" s="138"/>
      <c r="I22" s="138"/>
    </row>
    <row r="23" spans="1:35" ht="13.5" thickBot="1">
      <c r="A23" s="2412"/>
      <c r="B23" s="2412"/>
      <c r="C23" s="2412"/>
      <c r="D23" s="2412"/>
      <c r="E23" s="138"/>
      <c r="F23" s="138"/>
      <c r="G23" s="138"/>
      <c r="H23" s="138"/>
      <c r="I23" s="138"/>
    </row>
    <row r="24" spans="1:35" ht="14.25">
      <c r="A24" s="3244" t="s">
        <v>2143</v>
      </c>
      <c r="B24" s="2429" t="s">
        <v>2135</v>
      </c>
      <c r="C24" s="145">
        <f>IF(B30=0,0,D30)</f>
        <v>0</v>
      </c>
      <c r="D24" s="2436"/>
      <c r="E24" s="138"/>
      <c r="F24" s="138"/>
      <c r="G24" s="138"/>
      <c r="H24" s="138"/>
      <c r="I24" s="138"/>
    </row>
    <row r="25" spans="1:35" ht="14.25">
      <c r="A25" s="3245"/>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c r="J29" s="2985"/>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74279</v>
      </c>
      <c r="D32" s="2443" t="s">
        <v>2150</v>
      </c>
      <c r="E32" s="138"/>
      <c r="F32" s="138"/>
      <c r="G32" s="138"/>
      <c r="H32" s="138"/>
      <c r="I32" s="138"/>
    </row>
    <row r="33" spans="1:15" ht="15">
      <c r="A33" s="957" t="s">
        <v>2151</v>
      </c>
      <c r="B33" s="2444"/>
      <c r="C33" s="2445" t="s">
        <v>3339</v>
      </c>
      <c r="D33" s="2446" t="s">
        <v>3109</v>
      </c>
      <c r="E33" s="2447" t="s">
        <v>2152</v>
      </c>
      <c r="F33" s="2448" t="str">
        <f>IF(D32="楼面单价","取值（单价）","取值（总价）")</f>
        <v>取值（总价）</v>
      </c>
      <c r="G33" s="138"/>
      <c r="H33" s="138"/>
      <c r="I33" s="138"/>
    </row>
    <row r="34" spans="1:15" ht="15">
      <c r="A34" s="2449"/>
      <c r="B34" s="2450" t="s">
        <v>2153</v>
      </c>
      <c r="C34" s="157">
        <f ca="1">IF(C33="自定义",F34,C32-C35)</f>
        <v>26666</v>
      </c>
      <c r="D34" s="1055">
        <f ca="1">IF(C33="自定义",ROUND(C34/C32,3),IF(C33="收益比率",SUMIF(INDIRECT("'"&amp;D33&amp;"'"&amp;"!b:b"),"土地收益比率",INDIRECT("'"&amp;D33&amp;"'"&amp;"!c:c")),SUMIF(INDIRECT("'"&amp;D33&amp;"'"&amp;"!b:b"),"土地成本比率",INDIRECT("'"&amp;D33&amp;"'"&amp;"!c:c"))))</f>
        <v>0.35899999999999999</v>
      </c>
      <c r="E34" s="2451" t="s">
        <v>2154</v>
      </c>
      <c r="F34" s="1735"/>
      <c r="G34" s="138"/>
      <c r="H34" s="138"/>
      <c r="I34" s="138"/>
    </row>
    <row r="35" spans="1:15" ht="15.75" thickBot="1">
      <c r="A35" s="2452"/>
      <c r="B35" s="2453" t="s">
        <v>2155</v>
      </c>
      <c r="C35" s="1441">
        <f ca="1">IF(C33="自定义",F35,ROUND(C32*D35,0))</f>
        <v>47613</v>
      </c>
      <c r="D35" s="1442">
        <f ca="1">IF(C33="自定义",ROUND(C35/C32,3),IF(C33="收益比率",SUMIF(INDIRECT("'"&amp;D33&amp;"'"&amp;"!b:b"),"建筑物收益比率",INDIRECT("'"&amp;D33&amp;"'"&amp;"!c:c")),SUMIF(INDIRECT("'"&amp;D33&amp;"'"&amp;"!b:b"),"建筑物成本比率",INDIRECT("'"&amp;D33&amp;"'"&amp;"!c:c"))))</f>
        <v>0.64100000000000001</v>
      </c>
      <c r="E35" s="2454" t="s">
        <v>2156</v>
      </c>
      <c r="F35" s="163"/>
      <c r="G35" s="138"/>
      <c r="H35" s="138"/>
      <c r="I35" s="138"/>
    </row>
    <row r="36" spans="1:15" ht="15.75" thickBot="1">
      <c r="A36" s="3224" t="s">
        <v>2157</v>
      </c>
      <c r="B36" s="2455" t="s">
        <v>2158</v>
      </c>
      <c r="C36" s="154"/>
      <c r="D36" s="2456"/>
      <c r="E36" s="2457"/>
      <c r="F36" s="2458"/>
      <c r="G36" s="138"/>
      <c r="H36" s="138"/>
      <c r="I36" s="138"/>
    </row>
    <row r="37" spans="1:15" ht="15.75" thickBot="1">
      <c r="A37" s="3225"/>
      <c r="B37" s="2262" t="s">
        <v>2159</v>
      </c>
      <c r="C37" s="156"/>
      <c r="D37" s="1392"/>
      <c r="E37" s="1392"/>
      <c r="F37" s="2458"/>
      <c r="G37" s="138"/>
      <c r="H37" s="138"/>
      <c r="I37" s="138"/>
    </row>
    <row r="38" spans="1:15" ht="15.75" thickBot="1">
      <c r="A38" s="3226"/>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241" t="s">
        <v>2171</v>
      </c>
      <c r="B45" s="3242"/>
      <c r="C45" s="3243"/>
      <c r="D45" s="164">
        <f ca="1">ROUND(H101*F45,0)</f>
        <v>74279</v>
      </c>
      <c r="E45" s="165" t="s">
        <v>2172</v>
      </c>
      <c r="F45" s="166">
        <v>1</v>
      </c>
      <c r="G45" s="167" t="s">
        <v>2173</v>
      </c>
      <c r="H45" s="138"/>
      <c r="I45" s="138"/>
      <c r="J45" s="3160" t="s">
        <v>2174</v>
      </c>
      <c r="K45" s="3160"/>
      <c r="L45" s="3160"/>
      <c r="M45" s="3160"/>
      <c r="N45" s="3160"/>
      <c r="O45" s="3160"/>
    </row>
    <row r="46" spans="1:15" ht="14.25" customHeight="1">
      <c r="A46" s="3238" t="s">
        <v>2175</v>
      </c>
      <c r="B46" s="3239"/>
      <c r="C46" s="3239"/>
      <c r="D46" s="3239"/>
      <c r="E46" s="3239"/>
      <c r="F46" s="3239"/>
      <c r="G46" s="3240"/>
      <c r="H46" s="2474"/>
      <c r="I46" s="168"/>
      <c r="J46" s="1808">
        <v>1</v>
      </c>
      <c r="K46" s="3160" t="s">
        <v>2176</v>
      </c>
      <c r="L46" s="3160"/>
      <c r="M46" s="3161"/>
      <c r="N46" s="3161"/>
      <c r="O46" s="3161"/>
    </row>
    <row r="47" spans="1:15" ht="12" customHeight="1">
      <c r="A47" s="169" t="s">
        <v>2177</v>
      </c>
      <c r="B47" s="170"/>
      <c r="C47" s="171"/>
      <c r="D47" s="172" t="s">
        <v>2178</v>
      </c>
      <c r="E47" s="24" t="s">
        <v>2179</v>
      </c>
      <c r="F47" s="173" t="s">
        <v>2180</v>
      </c>
      <c r="G47" s="174" t="s">
        <v>2181</v>
      </c>
      <c r="H47" s="2474"/>
      <c r="I47" s="168"/>
      <c r="J47" s="1808">
        <v>2</v>
      </c>
      <c r="K47" s="3160" t="s">
        <v>2182</v>
      </c>
      <c r="L47" s="3160"/>
      <c r="M47" s="3162">
        <f>'数据-取费表'!B2</f>
        <v>43594</v>
      </c>
      <c r="N47" s="3162"/>
      <c r="O47" s="3162"/>
    </row>
    <row r="48" spans="1:15" ht="25.5">
      <c r="A48" s="3228" t="s">
        <v>2183</v>
      </c>
      <c r="B48" s="3229"/>
      <c r="C48" s="3229"/>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160" t="s">
        <v>2186</v>
      </c>
      <c r="L48" s="3160"/>
      <c r="M48" s="3163">
        <f ca="1">H101</f>
        <v>74279</v>
      </c>
      <c r="N48" s="3163"/>
      <c r="O48" s="3163"/>
    </row>
    <row r="49" spans="1:35" ht="25.5" customHeight="1">
      <c r="A49" s="176" t="s">
        <v>2187</v>
      </c>
      <c r="B49" s="3208" t="s">
        <v>2188</v>
      </c>
      <c r="C49" s="3208"/>
      <c r="D49" s="177">
        <v>0</v>
      </c>
      <c r="E49" s="23" t="s">
        <v>2189</v>
      </c>
      <c r="F49" s="28" t="s">
        <v>34</v>
      </c>
      <c r="G49" s="3189"/>
      <c r="H49" s="138"/>
      <c r="I49" s="2477"/>
      <c r="J49" s="1808">
        <v>4</v>
      </c>
      <c r="K49" s="3160" t="str">
        <f>IF(项目基本情况!E8="房地产抵押价值","房地产抵押价值","抵押担保权已注销时的房地产抵押价值")</f>
        <v>房地产抵押价值</v>
      </c>
      <c r="L49" s="3160"/>
      <c r="M49" s="3163">
        <f ca="1">IF(项目基本情况!E8="房地产抵押价值",H107,H109)</f>
        <v>74279</v>
      </c>
      <c r="N49" s="3163"/>
      <c r="O49" s="3163"/>
    </row>
    <row r="50" spans="1:35" ht="25.5" customHeight="1">
      <c r="A50" s="178"/>
      <c r="B50" s="3208" t="s">
        <v>2190</v>
      </c>
      <c r="C50" s="3208"/>
      <c r="D50" s="179"/>
      <c r="E50" s="31"/>
      <c r="F50" s="180"/>
      <c r="G50" s="3190"/>
      <c r="H50" s="138"/>
      <c r="I50" s="2477"/>
      <c r="J50" s="3160" t="s">
        <v>2191</v>
      </c>
      <c r="K50" s="3160"/>
      <c r="L50" s="3160"/>
      <c r="M50" s="3160"/>
      <c r="N50" s="3160"/>
      <c r="O50" s="3160"/>
    </row>
    <row r="51" spans="1:35" ht="12" customHeight="1">
      <c r="A51" s="181"/>
      <c r="B51" s="3208" t="s">
        <v>2192</v>
      </c>
      <c r="C51" s="3208"/>
      <c r="D51" s="182"/>
      <c r="E51" s="30"/>
      <c r="F51" s="180"/>
      <c r="G51" s="3191"/>
      <c r="H51" s="138"/>
      <c r="I51" s="2477"/>
      <c r="J51" s="2478" t="s">
        <v>2193</v>
      </c>
      <c r="K51" s="3160" t="s">
        <v>2194</v>
      </c>
      <c r="L51" s="3160"/>
      <c r="M51" s="2478" t="s">
        <v>2195</v>
      </c>
      <c r="N51" s="2478" t="s">
        <v>2196</v>
      </c>
      <c r="O51" s="2478" t="s">
        <v>2197</v>
      </c>
    </row>
    <row r="52" spans="1:35" ht="24" customHeight="1">
      <c r="A52" s="183" t="s">
        <v>2198</v>
      </c>
      <c r="B52" s="3208" t="s">
        <v>2199</v>
      </c>
      <c r="C52" s="3208"/>
      <c r="D52" s="182">
        <f ca="1">ROUND(D45*'数据-取费表'!B41/(1+'数据-取费表'!C42),0)</f>
        <v>3891</v>
      </c>
      <c r="E52" s="11" t="s">
        <v>2200</v>
      </c>
      <c r="F52" s="184">
        <f>'数据-取费表'!B41</f>
        <v>5.5000000000000007E-2</v>
      </c>
      <c r="G52" s="2479"/>
      <c r="H52" s="138"/>
      <c r="I52" s="2477"/>
      <c r="J52" s="1808">
        <v>1</v>
      </c>
      <c r="K52" s="3183" t="s">
        <v>2201</v>
      </c>
      <c r="L52" s="3183"/>
      <c r="M52" s="1750">
        <f>D48</f>
        <v>0</v>
      </c>
      <c r="N52" s="1808" t="str">
        <f>E48</f>
        <v>销售额×税（费）率</v>
      </c>
      <c r="O52" s="1751" t="str">
        <f>F48</f>
        <v>免征</v>
      </c>
    </row>
    <row r="53" spans="1:35" ht="12" customHeight="1">
      <c r="A53" s="183" t="s">
        <v>2202</v>
      </c>
      <c r="B53" s="3209" t="s">
        <v>2203</v>
      </c>
      <c r="C53" s="3210"/>
      <c r="D53" s="182">
        <f ca="1">ROUND(D45*'数据-取费表'!B41/(1+'数据-取费表'!C42),0)</f>
        <v>3891</v>
      </c>
      <c r="E53" s="11" t="s">
        <v>2200</v>
      </c>
      <c r="F53" s="184">
        <f>'数据-取费表'!B41</f>
        <v>5.5000000000000007E-2</v>
      </c>
      <c r="G53" s="2479"/>
      <c r="H53" s="138"/>
      <c r="I53" s="2477"/>
      <c r="J53" s="1808">
        <v>2</v>
      </c>
      <c r="K53" s="3183" t="s">
        <v>2204</v>
      </c>
      <c r="L53" s="3183"/>
      <c r="M53" s="1750">
        <f t="shared" ref="M53:O54" ca="1" si="0">D55</f>
        <v>37</v>
      </c>
      <c r="N53" s="1808" t="str">
        <f t="shared" si="0"/>
        <v>销售额×税（费）率</v>
      </c>
      <c r="O53" s="1751">
        <f t="shared" si="0"/>
        <v>5.0000000000000001E-4</v>
      </c>
    </row>
    <row r="54" spans="1:35" ht="12" customHeight="1">
      <c r="A54" s="183" t="s">
        <v>2205</v>
      </c>
      <c r="B54" s="3209" t="s">
        <v>2206</v>
      </c>
      <c r="C54" s="3210"/>
      <c r="D54" s="182">
        <f ca="1">C68</f>
        <v>3891</v>
      </c>
      <c r="E54" s="30" t="s">
        <v>2207</v>
      </c>
      <c r="F54" s="184">
        <f>'数据-取费表'!B41</f>
        <v>5.5000000000000007E-2</v>
      </c>
      <c r="G54" s="2479"/>
      <c r="H54" s="2480"/>
      <c r="I54" s="2477"/>
      <c r="J54" s="1808">
        <v>3</v>
      </c>
      <c r="K54" s="3183" t="s">
        <v>2208</v>
      </c>
      <c r="L54" s="3183"/>
      <c r="M54" s="1750">
        <f t="shared" ca="1" si="0"/>
        <v>42109</v>
      </c>
      <c r="N54" s="1808" t="str">
        <f t="shared" si="0"/>
        <v>增值额×税（费）率</v>
      </c>
      <c r="O54" s="1752" t="str">
        <f t="shared" si="0"/>
        <v>——</v>
      </c>
    </row>
    <row r="55" spans="1:35" ht="24" customHeight="1">
      <c r="A55" s="3247" t="s">
        <v>2209</v>
      </c>
      <c r="B55" s="3229"/>
      <c r="C55" s="3229"/>
      <c r="D55" s="185">
        <f ca="1">IF(H55="个人住宅",0,ROUND(D45*I55,0))</f>
        <v>37</v>
      </c>
      <c r="E55" s="11" t="s">
        <v>2210</v>
      </c>
      <c r="F55" s="184">
        <f>IF(H55="正常",I55,"免征")</f>
        <v>5.0000000000000001E-4</v>
      </c>
      <c r="G55" s="2479"/>
      <c r="H55" s="2476" t="s">
        <v>2211</v>
      </c>
      <c r="I55" s="186">
        <f>'数据-取费表'!B49</f>
        <v>5.0000000000000001E-4</v>
      </c>
      <c r="J55" s="1808" t="str">
        <f>IF(H59="非个人房产","",4)</f>
        <v/>
      </c>
      <c r="K55" s="3183" t="str">
        <f>IF(H59="非个人房产","——","个人所得税")</f>
        <v>——</v>
      </c>
      <c r="L55" s="3183"/>
      <c r="M55" s="1753" t="str">
        <f>D59</f>
        <v>——</v>
      </c>
      <c r="N55" s="1806" t="str">
        <f>E59</f>
        <v>——</v>
      </c>
      <c r="O55" s="1754" t="str">
        <f>F59</f>
        <v>——</v>
      </c>
    </row>
    <row r="56" spans="1:35" ht="24.75">
      <c r="A56" s="3247" t="s">
        <v>2212</v>
      </c>
      <c r="B56" s="3229"/>
      <c r="C56" s="3229"/>
      <c r="D56" s="185">
        <f ca="1">IF(H56="个人住宅",D57,D58)</f>
        <v>42109</v>
      </c>
      <c r="E56" s="11" t="s">
        <v>2213</v>
      </c>
      <c r="F56" s="184" t="str">
        <f>IF(H56="正常",F58,"免征")</f>
        <v>——</v>
      </c>
      <c r="G56" s="2481" t="s">
        <v>2214</v>
      </c>
      <c r="H56" s="2482" t="s">
        <v>2211</v>
      </c>
      <c r="I56" s="2483"/>
      <c r="J56" s="1808" t="str">
        <f>IF(项目基本情况!K6="上海银行",IF(J55="",4,J55+1),"")</f>
        <v/>
      </c>
      <c r="K56" s="3166" t="str">
        <f>IF(项目基本情况!K6="上海银行","其他处置费用","")</f>
        <v/>
      </c>
      <c r="L56" s="3167"/>
      <c r="M56" s="1750" t="str">
        <f>IF(项目基本情况!K6="上海银行",M69,"")</f>
        <v/>
      </c>
      <c r="N56" s="3169" t="str">
        <f>IF(项目基本情况!K6="上海银行","包含处置中涉及的律师、诉讼、拍卖、评估等费用","")</f>
        <v/>
      </c>
      <c r="O56" s="3170"/>
    </row>
    <row r="57" spans="1:35" ht="12.75">
      <c r="A57" s="183" t="s">
        <v>2187</v>
      </c>
      <c r="B57" s="3214" t="s">
        <v>2215</v>
      </c>
      <c r="C57" s="3215"/>
      <c r="D57" s="187">
        <v>0</v>
      </c>
      <c r="E57" s="23" t="s">
        <v>2189</v>
      </c>
      <c r="F57" s="155"/>
      <c r="G57" s="2479"/>
      <c r="H57" s="2483"/>
      <c r="I57" s="2483"/>
      <c r="J57" s="3183">
        <f>IF(AND(J55="",J56=""),4,IF(项目基本情况!K6="上海银行",结果表!J56+1,结果表!J55+1))</f>
        <v>4</v>
      </c>
      <c r="K57" s="3183" t="s">
        <v>2216</v>
      </c>
      <c r="L57" s="2484" t="s">
        <v>2217</v>
      </c>
      <c r="M57" s="1755"/>
      <c r="N57" s="1756">
        <f ca="1">SUMIF(M52:M56,"&lt;9e307")</f>
        <v>42146</v>
      </c>
      <c r="O57" s="2485"/>
      <c r="P57" s="1749">
        <f ca="1">N57/M49</f>
        <v>0.56740128434685444</v>
      </c>
    </row>
    <row r="58" spans="1:35" ht="24.75">
      <c r="A58" s="183" t="s">
        <v>2198</v>
      </c>
      <c r="B58" s="3214" t="s">
        <v>2218</v>
      </c>
      <c r="C58" s="3227"/>
      <c r="D58" s="185">
        <f ca="1">IF(H58="转让取得",C81,C97)</f>
        <v>42109</v>
      </c>
      <c r="E58" s="11" t="s">
        <v>2213</v>
      </c>
      <c r="F58" s="24" t="s">
        <v>34</v>
      </c>
      <c r="G58" s="2479"/>
      <c r="H58" s="2482" t="s">
        <v>2219</v>
      </c>
      <c r="I58" s="2483"/>
      <c r="J58" s="3183"/>
      <c r="K58" s="3183"/>
      <c r="L58" s="2484" t="s">
        <v>2220</v>
      </c>
      <c r="M58" s="1757"/>
      <c r="N58" s="2486" t="str">
        <f ca="1">NUMBERSTRING(INT(N57*10000),2)&amp;"元整"</f>
        <v>肆亿贰仟壹佰肆拾陆万元整</v>
      </c>
      <c r="O58" s="2487"/>
    </row>
    <row r="59" spans="1:35" ht="24.75" thickBot="1">
      <c r="A59" s="3187" t="s">
        <v>2221</v>
      </c>
      <c r="B59" s="3188"/>
      <c r="C59" s="3188"/>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185">
        <f>J57+1</f>
        <v>5</v>
      </c>
      <c r="K59" s="3183" t="s">
        <v>2223</v>
      </c>
      <c r="L59" s="1808" t="s">
        <v>2217</v>
      </c>
      <c r="M59" s="1758"/>
      <c r="N59" s="1759">
        <f ca="1">M49-N57</f>
        <v>32133</v>
      </c>
      <c r="O59" s="2489"/>
    </row>
    <row r="60" spans="1:35" ht="12" customHeight="1">
      <c r="A60" s="2490"/>
      <c r="B60" s="2412"/>
      <c r="C60" s="2412"/>
      <c r="D60" s="2412"/>
      <c r="E60" s="2161"/>
      <c r="F60" s="2483"/>
      <c r="G60" s="2483"/>
      <c r="H60" s="2491"/>
      <c r="I60" s="138"/>
      <c r="J60" s="3186"/>
      <c r="K60" s="3183"/>
      <c r="L60" s="2484" t="s">
        <v>2220</v>
      </c>
      <c r="M60" s="1757"/>
      <c r="N60" s="2486" t="str">
        <f ca="1">NUMBERSTRING(INT(N59*10000),2)&amp;"元整"</f>
        <v>叁亿贰仟壹佰叁拾叁万元整</v>
      </c>
      <c r="O60" s="2487"/>
    </row>
    <row r="61" spans="1:35" ht="13.5" thickBot="1">
      <c r="A61" s="3246" t="s">
        <v>2224</v>
      </c>
      <c r="B61" s="3246"/>
      <c r="C61" s="3246"/>
      <c r="D61" s="3246"/>
      <c r="E61" s="3246"/>
      <c r="F61" s="2483"/>
      <c r="G61" s="2483"/>
      <c r="H61" s="2491"/>
      <c r="I61" s="138"/>
      <c r="J61" s="1808">
        <f>J59+1</f>
        <v>6</v>
      </c>
      <c r="K61" s="3183" t="s">
        <v>2225</v>
      </c>
      <c r="L61" s="3183"/>
      <c r="M61" s="1760"/>
      <c r="N61" s="1761">
        <f ca="1">ROUND(N59*10000/'数据-汇总表'!E3,0)</f>
        <v>2170</v>
      </c>
      <c r="O61" s="2492"/>
    </row>
    <row r="62" spans="1:35" ht="12.75">
      <c r="A62" s="3203" t="s">
        <v>2226</v>
      </c>
      <c r="B62" s="3204"/>
      <c r="C62" s="1800"/>
      <c r="D62" s="1800" t="s">
        <v>2227</v>
      </c>
      <c r="E62" s="192" t="s">
        <v>2228</v>
      </c>
      <c r="F62" s="2483"/>
      <c r="G62" s="2483"/>
      <c r="H62" s="2491"/>
      <c r="I62" s="138"/>
    </row>
    <row r="63" spans="1:35" ht="12.75">
      <c r="A63" s="203" t="s">
        <v>775</v>
      </c>
      <c r="B63" s="193" t="s">
        <v>2229</v>
      </c>
      <c r="C63" s="194">
        <f ca="1">ROUND((C64+C65)/(1+'数据-取费表'!C42),0)</f>
        <v>70742</v>
      </c>
      <c r="D63" s="195"/>
      <c r="E63" s="196"/>
      <c r="F63" s="2483"/>
      <c r="G63" s="2483"/>
      <c r="H63" s="2491"/>
      <c r="I63" s="138"/>
      <c r="J63" s="3168" t="s">
        <v>2230</v>
      </c>
      <c r="K63" s="2493" t="s">
        <v>2231</v>
      </c>
      <c r="L63" s="1748">
        <f ca="1">IF(M49&gt;10000,M49*0.5%,IF(AND(M49&gt;1000,M49&lt;=10000),M49*1%,IF(AND(M49&gt;100,M49&lt;=1000),M49*3%,IF(AND(M49&gt;10,M49&lt;=100),M49*5%,M49*8%))))</f>
        <v>371.39499999999998</v>
      </c>
      <c r="M63" s="24">
        <f ca="1">ROUND(L63,1)</f>
        <v>371.4</v>
      </c>
      <c r="Z63" s="2417"/>
      <c r="AI63" s="2418"/>
    </row>
    <row r="64" spans="1:35" ht="14.25" customHeight="1">
      <c r="A64" s="197" t="s">
        <v>770</v>
      </c>
      <c r="B64" s="198" t="s">
        <v>2232</v>
      </c>
      <c r="C64" s="199">
        <f ca="1">D45</f>
        <v>74279</v>
      </c>
      <c r="D64" s="200" t="s">
        <v>32</v>
      </c>
      <c r="E64" s="201"/>
      <c r="F64" s="2483"/>
      <c r="G64" s="2483"/>
      <c r="H64" s="2491"/>
      <c r="I64" s="138"/>
      <c r="J64" s="3168"/>
      <c r="K64" s="2493" t="s">
        <v>2233</v>
      </c>
      <c r="L64" s="1748">
        <f ca="1">IF(M49&gt;2000,M49*0.5%,IF(AND(M49&gt;1000,M49&lt;=2000),M49*0.6%,IF(AND(M49&gt;500,M49&lt;=1000),M49*0.7%,IF(AND(M49&gt;200,M49&lt;=500),M49*0.8%,IF(AND(M49&gt;100,M49&lt;=200),M49*0.9%,IF(AND(M49&gt;50,M49&lt;=100),M49*1%,IF(AND(M49&gt;20,M49&lt;=50),M49*1.5%,IF(AND(M49&gt;10,M49&lt;=20),M49*2%,IF(AND(M49&gt;1,M49&lt;=10),M49*2.5%)))))))))</f>
        <v>371.39499999999998</v>
      </c>
      <c r="M64" s="24">
        <f ca="1">ROUND(L64,1)</f>
        <v>371.4</v>
      </c>
      <c r="N64" s="138" t="s">
        <v>2234</v>
      </c>
      <c r="Z64" s="2417"/>
      <c r="AI64" s="2418"/>
    </row>
    <row r="65" spans="1:35" ht="14.25" customHeight="1">
      <c r="A65" s="197" t="s">
        <v>771</v>
      </c>
      <c r="B65" s="198" t="s">
        <v>2235</v>
      </c>
      <c r="C65" s="202"/>
      <c r="D65" s="200"/>
      <c r="E65" s="201"/>
      <c r="F65" s="2483"/>
      <c r="G65" s="2483"/>
      <c r="H65" s="2491"/>
      <c r="I65" s="138"/>
      <c r="J65" s="3168"/>
      <c r="K65" s="2493" t="s">
        <v>2236</v>
      </c>
      <c r="L65" s="1748">
        <f ca="1">IF(M49&gt;1000,M49*0.1%,IF(AND(M49&gt;500,M49&lt;=1000),M49*0.5%,IF(AND(M49&gt;50,M49&lt;=500),M49*1%,IF(AND(M49&gt;1,M49&lt;=50),M49*1.5%))))</f>
        <v>74.278999999999996</v>
      </c>
      <c r="M65" s="24">
        <f ca="1">ROUND(L65,1)</f>
        <v>74.3</v>
      </c>
      <c r="N65" s="138" t="s">
        <v>2234</v>
      </c>
      <c r="Z65" s="2417"/>
      <c r="AI65" s="2418"/>
    </row>
    <row r="66" spans="1:35" ht="14.25" customHeight="1">
      <c r="A66" s="203" t="s">
        <v>772</v>
      </c>
      <c r="B66" s="204" t="s">
        <v>2237</v>
      </c>
      <c r="C66" s="205"/>
      <c r="D66" s="206" t="s">
        <v>32</v>
      </c>
      <c r="E66" s="1772" t="s">
        <v>1367</v>
      </c>
      <c r="F66" s="2483"/>
      <c r="G66" s="2483"/>
      <c r="H66" s="2491"/>
      <c r="I66" s="138"/>
      <c r="J66" s="3168"/>
      <c r="K66" s="2493" t="s">
        <v>2238</v>
      </c>
      <c r="L66" s="1748">
        <f ca="1">M49*0.5%</f>
        <v>371.39499999999998</v>
      </c>
      <c r="M66" s="24">
        <f ca="1">IF(L66&gt;0.5,0.5,ROUND(L66,0))</f>
        <v>0.5</v>
      </c>
      <c r="N66" s="138" t="s">
        <v>2239</v>
      </c>
      <c r="Z66" s="2417"/>
      <c r="AI66" s="2418"/>
    </row>
    <row r="67" spans="1:35" ht="14.25" customHeight="1">
      <c r="A67" s="203" t="s">
        <v>773</v>
      </c>
      <c r="B67" s="204" t="s">
        <v>2240</v>
      </c>
      <c r="C67" s="207">
        <f ca="1">C63-C66</f>
        <v>70742</v>
      </c>
      <c r="D67" s="200" t="s">
        <v>32</v>
      </c>
      <c r="E67" s="201"/>
      <c r="F67" s="2483"/>
      <c r="G67" s="2483"/>
      <c r="H67" s="2491"/>
      <c r="I67" s="138"/>
      <c r="J67" s="3168"/>
      <c r="K67" s="2493" t="s">
        <v>2241</v>
      </c>
      <c r="L67" s="1748">
        <f ca="1">IF(M49&gt;=10000,(8.25+(M49-10000)*0.01%),IF(AND(M49&gt;=8000,M49&lt;10000),(7.85+(M49-8000)*0.02%),IF(AND(M49&gt;=5000,M49&lt;8000),(6.65+(M49-5000)*0.04%),IF(AND(M49&gt;=2000,M49&lt;5000),(4.25+(PM49-2000)*0.08%),IF(AND(M49&gt;=1000,M49&lt;2000),(2.75+(M49-1000)*0.15%),IF(AND(M49&gt;=100,M49&lt;1000),(0.5+(M49-100)*0.25%),IF(AND(M49&gt;0,M49&lt;100),M49*0.5%)))))))</f>
        <v>14.677900000000001</v>
      </c>
      <c r="M67" s="24">
        <f ca="1">ROUND(L67*0.9,1)</f>
        <v>13.2</v>
      </c>
      <c r="Z67" s="2417"/>
      <c r="AI67" s="2418"/>
    </row>
    <row r="68" spans="1:35" ht="14.25" customHeight="1" thickBot="1">
      <c r="A68" s="208" t="s">
        <v>774</v>
      </c>
      <c r="B68" s="209" t="s">
        <v>2242</v>
      </c>
      <c r="C68" s="210">
        <f ca="1">IF(C67&lt;=0,0,ROUND(C67*D68,0))</f>
        <v>3891</v>
      </c>
      <c r="D68" s="211">
        <f>'数据-取费表'!B41</f>
        <v>5.5000000000000007E-2</v>
      </c>
      <c r="E68" s="212"/>
      <c r="F68" s="2483"/>
      <c r="G68" s="2483"/>
      <c r="H68" s="2491"/>
      <c r="I68" s="138"/>
      <c r="J68" s="3168"/>
      <c r="K68" s="2493" t="s">
        <v>2243</v>
      </c>
      <c r="L68" s="1748">
        <f ca="1">IF(M49&gt;10000,M49*0.5%,IF(AND(M49&gt;5000,M49&lt;=10000),M49*1%,IF(AND(M49&gt;1000,M49&lt;=5000),M49*2%,IF(AND(M49&gt;200,M49&lt;=1000),M49*3%,M49*5%))))</f>
        <v>371.39499999999998</v>
      </c>
      <c r="M68" s="24">
        <f ca="1">ROUND(L68,1)</f>
        <v>371.4</v>
      </c>
      <c r="Z68" s="2417"/>
      <c r="AI68" s="2418"/>
    </row>
    <row r="69" spans="1:35" s="2440" customFormat="1" ht="16.5" customHeight="1">
      <c r="A69" s="2494"/>
      <c r="B69" s="2495"/>
      <c r="C69" s="2496"/>
      <c r="D69" s="2497"/>
      <c r="E69" s="2498"/>
      <c r="F69" s="2161"/>
      <c r="G69" s="2161"/>
      <c r="H69" s="2160"/>
      <c r="I69" s="2412"/>
      <c r="J69" s="3168"/>
      <c r="K69" s="2493" t="s">
        <v>2244</v>
      </c>
      <c r="L69" s="2499"/>
      <c r="M69" s="24">
        <f ca="1">ROUND(SUM(M63:M68),0)</f>
        <v>1202</v>
      </c>
      <c r="N69" s="1749">
        <f ca="1">M69/M49</f>
        <v>1.618223185557156E-2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12" t="s">
        <v>2245</v>
      </c>
      <c r="B70" s="3213"/>
      <c r="C70" s="3213"/>
      <c r="D70" s="3213"/>
      <c r="E70" s="3213"/>
      <c r="F70" s="3213"/>
      <c r="G70" s="3213"/>
      <c r="H70" s="321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03" t="s">
        <v>2226</v>
      </c>
      <c r="B71" s="3204"/>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70742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354</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209" t="s">
        <v>2254</v>
      </c>
      <c r="F76" s="3208"/>
      <c r="G76" s="3208"/>
      <c r="H76" s="321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354</v>
      </c>
      <c r="D78" s="226">
        <f>'数据-取费表'!B43</f>
        <v>5.000000000000001E-3</v>
      </c>
      <c r="E78" s="3200" t="s">
        <v>2259</v>
      </c>
      <c r="F78" s="3201"/>
      <c r="G78" s="3201"/>
      <c r="H78" s="320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70388</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198.83615819209041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42109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12" t="s">
        <v>2263</v>
      </c>
      <c r="B83" s="3213"/>
      <c r="C83" s="3213"/>
      <c r="D83" s="3213"/>
      <c r="E83" s="3213"/>
      <c r="F83" s="3213"/>
      <c r="G83" s="3213"/>
      <c r="H83" s="321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03" t="s">
        <v>2226</v>
      </c>
      <c r="B84" s="3204"/>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70742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354</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200" t="s">
        <v>2272</v>
      </c>
      <c r="F91" s="3201"/>
      <c r="G91" s="3201"/>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200" t="s">
        <v>2276</v>
      </c>
      <c r="F92" s="3201"/>
      <c r="G92" s="3201"/>
      <c r="H92" s="320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354</v>
      </c>
      <c r="D93" s="226">
        <f>'数据-取费表'!B43</f>
        <v>5.000000000000001E-3</v>
      </c>
      <c r="E93" s="3200" t="s">
        <v>2259</v>
      </c>
      <c r="F93" s="3201"/>
      <c r="G93" s="3201"/>
      <c r="H93" s="320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248" t="s">
        <v>2280</v>
      </c>
      <c r="F94" s="3249"/>
      <c r="G94" s="3249"/>
      <c r="H94" s="325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70388</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198.83615819209041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42109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105" t="s">
        <v>2282</v>
      </c>
      <c r="B100" s="3106"/>
      <c r="C100" s="3106"/>
      <c r="D100" s="3184"/>
      <c r="E100" s="3106" t="s">
        <v>2283</v>
      </c>
      <c r="F100" s="3106"/>
      <c r="G100" s="3106"/>
      <c r="H100" s="3184"/>
      <c r="I100" s="138"/>
    </row>
    <row r="101" spans="1:35" ht="18.75" customHeight="1">
      <c r="A101" s="3192" t="s">
        <v>2284</v>
      </c>
      <c r="B101" s="3193"/>
      <c r="C101" s="736" t="str">
        <f>C4</f>
        <v>成本法</v>
      </c>
      <c r="D101" s="737" t="str">
        <f>D4</f>
        <v>假设开发法</v>
      </c>
      <c r="E101" s="3164" t="s">
        <v>2285</v>
      </c>
      <c r="F101" s="3165"/>
      <c r="G101" s="2514" t="s">
        <v>2286</v>
      </c>
      <c r="H101" s="1045">
        <f ca="1">H118</f>
        <v>74279</v>
      </c>
      <c r="I101" s="138"/>
    </row>
    <row r="102" spans="1:35" ht="18.75" customHeight="1">
      <c r="A102" s="3194" t="s">
        <v>2287</v>
      </c>
      <c r="B102" s="2514" t="s">
        <v>2286</v>
      </c>
      <c r="C102" s="736">
        <f ca="1">C19</f>
        <v>74859</v>
      </c>
      <c r="D102" s="737">
        <f ca="1">D19</f>
        <v>73699</v>
      </c>
      <c r="E102" s="3164"/>
      <c r="F102" s="3165"/>
      <c r="G102" s="2514" t="s">
        <v>2288</v>
      </c>
      <c r="H102" s="371">
        <f ca="1">I118</f>
        <v>5016</v>
      </c>
      <c r="I102" s="138"/>
    </row>
    <row r="103" spans="1:35" ht="42.75" customHeight="1">
      <c r="A103" s="3194"/>
      <c r="B103" s="2514" t="s">
        <v>2288</v>
      </c>
      <c r="C103" s="738">
        <f ca="1">C20</f>
        <v>5055</v>
      </c>
      <c r="D103" s="739">
        <f ca="1">D20</f>
        <v>4977</v>
      </c>
      <c r="E103" s="3158" t="s">
        <v>2289</v>
      </c>
      <c r="F103" s="3159"/>
      <c r="G103" s="2515" t="s">
        <v>2290</v>
      </c>
      <c r="H103" s="1045">
        <f>IF(D36="正常操作",H104+H105+H106,H105+H106)</f>
        <v>0</v>
      </c>
      <c r="I103" s="138"/>
    </row>
    <row r="104" spans="1:35" ht="18.75" customHeight="1">
      <c r="A104" s="3194" t="s">
        <v>2291</v>
      </c>
      <c r="B104" s="2516" t="s">
        <v>2286</v>
      </c>
      <c r="C104" s="740">
        <f ca="1">H118</f>
        <v>74279</v>
      </c>
      <c r="D104" s="741"/>
      <c r="E104" s="2262" t="s">
        <v>2292</v>
      </c>
      <c r="F104" s="2253"/>
      <c r="G104" s="2515" t="s">
        <v>2290</v>
      </c>
      <c r="H104" s="1046">
        <f>IF(D36="同一抵押权人同一抵押物续贷",C36&amp;"（未扣减，详见特别提示）",C36)</f>
        <v>0</v>
      </c>
      <c r="I104" s="138"/>
    </row>
    <row r="105" spans="1:35" ht="18.75" customHeight="1" thickBot="1">
      <c r="A105" s="3206"/>
      <c r="B105" s="2517" t="s">
        <v>2288</v>
      </c>
      <c r="C105" s="742">
        <f ca="1">I118</f>
        <v>5016</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95" t="str">
        <f>IF(项目基本情况!E8="已注销","——","3.房地产抵押价值")</f>
        <v>3.房地产抵押价值</v>
      </c>
      <c r="F107" s="3165"/>
      <c r="G107" s="2514" t="s">
        <v>2286</v>
      </c>
      <c r="H107" s="1045">
        <f ca="1">IF(E107="——","——",H101-H103)</f>
        <v>74279</v>
      </c>
      <c r="I107" s="138"/>
    </row>
    <row r="108" spans="1:35" ht="18.75" customHeight="1">
      <c r="A108" s="138"/>
      <c r="B108" s="138"/>
      <c r="C108" s="138"/>
      <c r="D108" s="138"/>
      <c r="E108" s="3195"/>
      <c r="F108" s="3165"/>
      <c r="G108" s="2514" t="s">
        <v>2288</v>
      </c>
      <c r="H108" s="371">
        <f ca="1">ROUND(H107*10000/'数据-汇总表'!E3,0)</f>
        <v>5016</v>
      </c>
      <c r="I108" s="138"/>
    </row>
    <row r="109" spans="1:35" ht="18.75" customHeight="1">
      <c r="A109" s="138"/>
      <c r="B109" s="138"/>
      <c r="C109" s="138"/>
      <c r="D109" s="138"/>
      <c r="E109" s="3195" t="str">
        <f>IF(项目基本情况!E8="已注销及未注销","4.抵押担保权已注销时的房地产抵押价值",IF(项目基本情况!E8="已注销","3.抵押担保权已注销时的房地产抵押价值","——"))</f>
        <v>——</v>
      </c>
      <c r="F109" s="3165"/>
      <c r="G109" s="2514" t="s">
        <v>2286</v>
      </c>
      <c r="H109" s="348" t="str">
        <f>IF(E109="——","——",H101-H105-H106)</f>
        <v>——</v>
      </c>
      <c r="I109" s="138"/>
    </row>
    <row r="110" spans="1:35" ht="18.75" customHeight="1">
      <c r="A110" s="138"/>
      <c r="B110" s="138"/>
      <c r="C110" s="138"/>
      <c r="D110" s="138"/>
      <c r="E110" s="3195"/>
      <c r="F110" s="3165"/>
      <c r="G110" s="2514" t="s">
        <v>2288</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14" t="s">
        <v>2286</v>
      </c>
      <c r="H111" s="1045" t="str">
        <f>IF(E111="——","——",N59)</f>
        <v>——</v>
      </c>
      <c r="I111" s="138"/>
    </row>
    <row r="112" spans="1:35" ht="18.75" customHeight="1" thickBot="1">
      <c r="A112" s="138"/>
      <c r="B112" s="138"/>
      <c r="C112" s="138"/>
      <c r="D112" s="138"/>
      <c r="E112" s="3198"/>
      <c r="F112" s="3199"/>
      <c r="G112" s="2519" t="s">
        <v>2288</v>
      </c>
      <c r="H112" s="790" t="str">
        <f>IF(E111="——","——",N61)</f>
        <v>——</v>
      </c>
      <c r="I112" s="138"/>
    </row>
    <row r="113" spans="1:11" ht="18.75" customHeight="1">
      <c r="A113" s="138"/>
      <c r="B113" s="138"/>
      <c r="C113" s="138"/>
      <c r="D113" s="138"/>
      <c r="E113" s="3207" t="s">
        <v>2294</v>
      </c>
      <c r="F113" s="3207"/>
      <c r="G113" s="3207"/>
      <c r="H113" s="3207"/>
      <c r="I113" s="138"/>
    </row>
    <row r="114" spans="1:11" ht="3.75" customHeight="1">
      <c r="A114" s="2412"/>
      <c r="B114" s="2412"/>
      <c r="C114" s="2412"/>
      <c r="D114" s="2412"/>
      <c r="E114" s="2490"/>
      <c r="F114" s="2490"/>
      <c r="G114" s="2490"/>
      <c r="H114" s="2490"/>
      <c r="I114" s="2412"/>
    </row>
    <row r="115" spans="1:11" ht="18.75" customHeight="1">
      <c r="A115" s="3220" t="s">
        <v>2296</v>
      </c>
      <c r="B115" s="3221"/>
      <c r="C115" s="3221"/>
      <c r="D115" s="3221"/>
      <c r="E115" s="3221"/>
      <c r="F115" s="3221"/>
      <c r="G115" s="3221"/>
      <c r="H115" s="3221"/>
      <c r="I115" s="3222"/>
    </row>
    <row r="116" spans="1:11" ht="27" customHeight="1">
      <c r="A116" s="3084" t="s">
        <v>2297</v>
      </c>
      <c r="B116" s="3174" t="s">
        <v>2298</v>
      </c>
      <c r="C116" s="3174" t="s">
        <v>2299</v>
      </c>
      <c r="D116" s="3180" t="s">
        <v>2300</v>
      </c>
      <c r="E116" s="3181"/>
      <c r="F116" s="3216" t="s">
        <v>2301</v>
      </c>
      <c r="G116" s="3216"/>
      <c r="H116" s="3084" t="s">
        <v>2302</v>
      </c>
      <c r="I116" s="3084"/>
    </row>
    <row r="117" spans="1:11" ht="18.75" customHeight="1">
      <c r="A117" s="3084"/>
      <c r="B117" s="3175"/>
      <c r="C117" s="3175"/>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148075.10999999999</v>
      </c>
      <c r="C118" s="1794">
        <f>M19</f>
        <v>164645</v>
      </c>
      <c r="D118" s="1794">
        <f ca="1">ROUND(IF(D32="总价",C34,E118*B118/10000),0)</f>
        <v>26666</v>
      </c>
      <c r="E118" s="1794">
        <f ca="1">ROUND(IF(C33="自定义",IF(D32="楼面单价",C34,D118*10000/B118),I118-G118),0)</f>
        <v>1801</v>
      </c>
      <c r="F118" s="1794">
        <f ca="1">ROUND(IF(D32="总价",C35,G118*B118/10000),0)</f>
        <v>47613</v>
      </c>
      <c r="G118" s="1794">
        <f ca="1">ROUND(IF(D32="楼面单价",C35,F118*10000/B118),0)</f>
        <v>3215</v>
      </c>
      <c r="H118" s="1794">
        <f ca="1">ROUND(IF(D32="总价",C32,I118*B118/10000),0)</f>
        <v>74279</v>
      </c>
      <c r="I118" s="1794">
        <f ca="1">ROUND(IF(D32="楼面单价",C32,H118*10000/B118),0)</f>
        <v>5016</v>
      </c>
    </row>
    <row r="119" spans="1:11" ht="18.75" customHeight="1">
      <c r="A119" s="3084" t="s">
        <v>2306</v>
      </c>
      <c r="B119" s="3084"/>
      <c r="C119" s="3084"/>
      <c r="D119" s="3176" t="str">
        <f ca="1">NUMBERSTRING(INT(D118*10000),2)&amp;"元整"</f>
        <v>贰亿陆仟陆佰陆拾陆万元整</v>
      </c>
      <c r="E119" s="3177"/>
      <c r="F119" s="3176" t="str">
        <f ca="1">NUMBERSTRING(INT(F118*10000),2)&amp;"元整"</f>
        <v>肆亿柒仟陆佰壹拾叁万元整</v>
      </c>
      <c r="G119" s="3177"/>
      <c r="H119" s="3176" t="str">
        <f ca="1">NUMBERSTRING(INT(H118*10000),2)&amp;"元整"</f>
        <v>柒亿肆仟贰佰柒拾玖万元整</v>
      </c>
      <c r="I119" s="3177"/>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7" t="str">
        <f>IF(D120=0,"故，本次评估不存在"&amp;A120,"故，本次评估"&amp;A120&amp;"为人民币"&amp;D120&amp;"万元整。")</f>
        <v>故，本次评估不存在估价师知悉的法定优先受偿款</v>
      </c>
    </row>
    <row r="121" spans="1:11" ht="18.75" customHeight="1">
      <c r="A121" s="3217" t="s">
        <v>2306</v>
      </c>
      <c r="B121" s="3218"/>
      <c r="C121" s="3219"/>
      <c r="D121" s="3176" t="str">
        <f>IF(D120=0,"零元整",NUMBERSTRING(INT(D120*10000),2)&amp;"元整")</f>
        <v>零元整</v>
      </c>
      <c r="E121" s="3178"/>
      <c r="F121" s="3178"/>
      <c r="G121" s="3178"/>
      <c r="H121" s="3178"/>
      <c r="I121" s="3177"/>
    </row>
    <row r="122" spans="1:11" ht="18.75" customHeight="1">
      <c r="A122" s="3182" t="str">
        <f>IF(项目基本情况!B9="房地产市场价值","",MID(E107,3,LEN(E107)-2))</f>
        <v>房地产抵押价值</v>
      </c>
      <c r="B122" s="3182"/>
      <c r="C122" s="3182"/>
      <c r="D122" s="3171">
        <f ca="1">H107</f>
        <v>74279</v>
      </c>
      <c r="E122" s="3172"/>
      <c r="F122" s="3172"/>
      <c r="G122" s="3172"/>
      <c r="H122" s="3172"/>
      <c r="I122" s="3173"/>
    </row>
    <row r="123" spans="1:11" ht="18.75" customHeight="1">
      <c r="A123" s="3084" t="s">
        <v>2306</v>
      </c>
      <c r="B123" s="3084"/>
      <c r="C123" s="3084"/>
      <c r="D123" s="3176" t="str">
        <f ca="1">NUMBERSTRING(INT(D122*10000),2)&amp;"元整"</f>
        <v>柒亿肆仟贰佰柒拾玖万元整</v>
      </c>
      <c r="E123" s="3178"/>
      <c r="F123" s="3178"/>
      <c r="G123" s="3178"/>
      <c r="H123" s="3178"/>
      <c r="I123" s="3177"/>
    </row>
    <row r="124" spans="1:11" ht="18.75" customHeight="1">
      <c r="A124" s="3182" t="str">
        <f>IF(项目基本情况!B9="房地产市场价值","",MID(E109,3,LEN(E109)-2))</f>
        <v/>
      </c>
      <c r="B124" s="3182"/>
      <c r="C124" s="3182"/>
      <c r="D124" s="3171" t="str">
        <f>H109</f>
        <v>——</v>
      </c>
      <c r="E124" s="3172"/>
      <c r="F124" s="3172"/>
      <c r="G124" s="3172"/>
      <c r="H124" s="3172"/>
      <c r="I124" s="3173"/>
    </row>
    <row r="125" spans="1:11" ht="18.75" customHeight="1">
      <c r="A125" s="3084" t="s">
        <v>2306</v>
      </c>
      <c r="B125" s="3084"/>
      <c r="C125" s="3084"/>
      <c r="D125" s="3176" t="e">
        <f>NUMBERSTRING(INT(D124*10000),2)&amp;"元整"</f>
        <v>#VALUE!</v>
      </c>
      <c r="E125" s="3178"/>
      <c r="F125" s="3178"/>
      <c r="G125" s="3178"/>
      <c r="H125" s="3178"/>
      <c r="I125" s="3177"/>
    </row>
    <row r="126" spans="1:11" ht="18.75" customHeight="1">
      <c r="A126" s="3182" t="str">
        <f>IF(项目基本情况!B9="房地产市场价值","",MID(E111,3,LEN(E111)-2))</f>
        <v/>
      </c>
      <c r="B126" s="3182"/>
      <c r="C126" s="3182"/>
      <c r="D126" s="3171" t="str">
        <f>H111</f>
        <v>——</v>
      </c>
      <c r="E126" s="3172"/>
      <c r="F126" s="3172"/>
      <c r="G126" s="3172"/>
      <c r="H126" s="3172"/>
      <c r="I126" s="3173"/>
    </row>
    <row r="127" spans="1:11" ht="18.75" customHeight="1">
      <c r="A127" s="3084" t="s">
        <v>2306</v>
      </c>
      <c r="B127" s="3084"/>
      <c r="C127" s="3084"/>
      <c r="D127" s="3176" t="e">
        <f>NUMBERSTRING(INT(D126*10000),2)&amp;"元整"</f>
        <v>#VALUE!</v>
      </c>
      <c r="E127" s="3178"/>
      <c r="F127" s="3178"/>
      <c r="G127" s="3178"/>
      <c r="H127" s="3178"/>
      <c r="I127" s="3177"/>
    </row>
    <row r="128" spans="1:11" ht="21.75" customHeight="1">
      <c r="A128" s="3179" t="s">
        <v>2307</v>
      </c>
      <c r="B128" s="3179"/>
      <c r="C128" s="3179"/>
      <c r="D128" s="3179"/>
      <c r="E128" s="3179"/>
      <c r="F128" s="3179"/>
      <c r="G128" s="3179"/>
      <c r="H128" s="3179"/>
      <c r="I128" s="3179"/>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0" t="str">
        <f>项目基本情况!B1</f>
        <v>一期1、2号地出让国有建设用地使用权及在建建筑物房地产抵押价值预评估</v>
      </c>
      <c r="C37" s="3020"/>
      <c r="D37" s="3020"/>
      <c r="E37" s="3020"/>
      <c r="F37" s="3020"/>
      <c r="G37" s="3020"/>
      <c r="H37" s="3020"/>
      <c r="I37" s="3020"/>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74859</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5055</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18475</v>
      </c>
      <c r="D5" s="255" t="s">
        <v>2323</v>
      </c>
      <c r="E5" s="256" t="s">
        <v>2324</v>
      </c>
      <c r="F5" s="256" t="s">
        <v>2325</v>
      </c>
      <c r="G5" s="257"/>
    </row>
    <row r="6" spans="1:9" s="258" customFormat="1" ht="13.5" customHeight="1">
      <c r="A6" s="949" t="s">
        <v>2326</v>
      </c>
      <c r="B6" s="259" t="s">
        <v>2327</v>
      </c>
      <c r="C6" s="260">
        <f>面积表!P30+面积表!P31+面积表!P33</f>
        <v>17354</v>
      </c>
      <c r="D6" s="261"/>
      <c r="E6" s="262"/>
      <c r="F6" s="262"/>
      <c r="G6" s="263"/>
    </row>
    <row r="7" spans="1:9" s="258" customFormat="1" ht="13.5" customHeight="1">
      <c r="A7" s="949" t="s">
        <v>2328</v>
      </c>
      <c r="B7" s="259" t="s">
        <v>2329</v>
      </c>
      <c r="C7" s="264">
        <f>ROUND(C6*F7,0)</f>
        <v>529</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592</v>
      </c>
      <c r="D8" s="266"/>
      <c r="E8" s="264"/>
      <c r="F8" s="265"/>
      <c r="G8" s="2546" t="s">
        <v>3098</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3097</v>
      </c>
      <c r="H9" s="1390"/>
      <c r="I9" s="2548" t="s">
        <v>2333</v>
      </c>
    </row>
    <row r="10" spans="1:9" s="258" customFormat="1" ht="13.5" customHeight="1">
      <c r="A10" s="950" t="s">
        <v>801</v>
      </c>
      <c r="B10" s="268" t="s">
        <v>2334</v>
      </c>
      <c r="C10" s="269">
        <f ca="1">ROUND(D10*E10/10000,0)</f>
        <v>592</v>
      </c>
      <c r="D10" s="1032">
        <f ca="1">IF(B1="",'数据-汇总表'!E6,IF(INDIRECT("'数据-取费表'!c"&amp;$G$1)="住宅",INDIRECT("'数据-取费表'!s"&amp;$G$1),INDIRECT("'数据-取费表'!k"&amp;$G$1)+INDIRECT("'数据-取费表'!s"&amp;$G$1)))</f>
        <v>148075.10999999999</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148075.10999999999</v>
      </c>
      <c r="E19" s="255">
        <f>'数据-取费表'!B31</f>
        <v>200</v>
      </c>
      <c r="F19" s="275"/>
      <c r="G19" s="2546" t="s">
        <v>3099</v>
      </c>
    </row>
    <row r="20" spans="1:7" s="258" customFormat="1" ht="13.5" customHeight="1">
      <c r="A20" s="299" t="s">
        <v>2347</v>
      </c>
      <c r="B20" s="254" t="s">
        <v>2348</v>
      </c>
      <c r="C20" s="276">
        <f ca="1">ROUND((C5+C19)*F20,0)</f>
        <v>554</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2111</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2081</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30</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3326</v>
      </c>
      <c r="D27" s="279">
        <f ca="1">C29</f>
        <v>5.1999999999999998E-3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3326</v>
      </c>
      <c r="D28" s="279"/>
      <c r="E28" s="280"/>
      <c r="F28" s="290"/>
      <c r="G28" s="291"/>
    </row>
    <row r="29" spans="1:7" s="258" customFormat="1" ht="13.5" customHeight="1">
      <c r="A29" s="951" t="s">
        <v>792</v>
      </c>
      <c r="B29" s="292" t="s">
        <v>2371</v>
      </c>
      <c r="C29" s="282">
        <f ca="1">ROUND(C21*F27*'数据-取费表'!B21/'数据-取费表'!B20,4)</f>
        <v>5.1999999999999998E-3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26862</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34077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29833</v>
      </c>
      <c r="D34" s="261"/>
      <c r="E34" s="264"/>
      <c r="F34" s="301">
        <f ca="1">IF('数据-取费表'!B24=0,1,IF(B1="",'数据-取费表'!N16,INDIRECT("'数据-取费表'!n"&amp;$G$1)))</f>
        <v>0.98</v>
      </c>
      <c r="G34" s="263" t="s">
        <v>2380</v>
      </c>
    </row>
    <row r="35" spans="1:7" ht="13.5" customHeight="1">
      <c r="A35" s="951" t="s">
        <v>796</v>
      </c>
      <c r="B35" s="259" t="s">
        <v>2381</v>
      </c>
      <c r="C35" s="264">
        <f ca="1">ROUND(C34*F35,0)</f>
        <v>895</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2902</v>
      </c>
      <c r="D37" s="261">
        <f ca="1">D19</f>
        <v>148075.10999999999</v>
      </c>
      <c r="E37" s="293">
        <f>'数据-取费表'!B35</f>
        <v>200</v>
      </c>
      <c r="F37" s="303"/>
      <c r="G37" s="305" t="s">
        <v>2386</v>
      </c>
    </row>
    <row r="38" spans="1:7" ht="13.5" customHeight="1">
      <c r="A38" s="951" t="s">
        <v>799</v>
      </c>
      <c r="B38" s="259" t="s">
        <v>2387</v>
      </c>
      <c r="C38" s="264">
        <f ca="1">ROUND(C34*F38,0)</f>
        <v>447</v>
      </c>
      <c r="D38" s="264"/>
      <c r="E38" s="264"/>
      <c r="F38" s="303">
        <f>'数据-取费表'!B36</f>
        <v>1.4999999999999999E-2</v>
      </c>
      <c r="G38" s="263" t="s">
        <v>2382</v>
      </c>
    </row>
    <row r="39" spans="1:7" s="258" customFormat="1" ht="13.5" customHeight="1">
      <c r="A39" s="299" t="s">
        <v>2388</v>
      </c>
      <c r="B39" s="254" t="s">
        <v>2389</v>
      </c>
      <c r="C39" s="276">
        <f ca="1">ROUND(C33*F20,0)</f>
        <v>1022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1924</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1868</v>
      </c>
      <c r="D42" s="282"/>
      <c r="E42" s="282"/>
      <c r="F42" s="283"/>
      <c r="G42" s="3251" t="s">
        <v>2398</v>
      </c>
    </row>
    <row r="43" spans="1:7" ht="13.5" customHeight="1">
      <c r="A43" s="951" t="s">
        <v>792</v>
      </c>
      <c r="B43" s="259" t="s">
        <v>2399</v>
      </c>
      <c r="C43" s="282">
        <f ca="1">ROUND(IF('数据-取费表'!B22&lt;=1,C39*F22*'数据-取费表'!B21/2,C39*(POWER((1+F22),'数据-取费表'!B21/2)-1)),0)</f>
        <v>56</v>
      </c>
      <c r="D43" s="282"/>
      <c r="E43" s="282"/>
      <c r="F43" s="283"/>
      <c r="G43" s="3252"/>
    </row>
    <row r="44" spans="1:7" ht="13.5" customHeight="1">
      <c r="A44" s="951" t="s">
        <v>793</v>
      </c>
      <c r="B44" s="259" t="s">
        <v>2400</v>
      </c>
      <c r="C44" s="282">
        <f ca="1">ROUND(IF('数据-取费表'!B22&lt;=1,C40*F22*'数据-取费表'!B21/2,C40*(POWER((1+F22),'数据-取费表'!B21/2)-1)),4)</f>
        <v>1.6000000000000001E-3</v>
      </c>
      <c r="D44" s="282"/>
      <c r="E44" s="282"/>
      <c r="F44" s="283"/>
      <c r="G44" s="3253"/>
    </row>
    <row r="45" spans="1:7" s="258" customFormat="1" ht="13.5" customHeight="1">
      <c r="A45" s="299" t="s">
        <v>2401</v>
      </c>
      <c r="B45" s="288" t="s">
        <v>2367</v>
      </c>
      <c r="C45" s="289">
        <f ca="1">C46</f>
        <v>6669</v>
      </c>
      <c r="D45" s="279">
        <f ca="1">C47</f>
        <v>5.7000000000000002E-3</v>
      </c>
      <c r="E45" s="280" t="s">
        <v>2393</v>
      </c>
      <c r="F45" s="290"/>
      <c r="G45" s="291" t="s">
        <v>2402</v>
      </c>
    </row>
    <row r="46" spans="1:7" s="258" customFormat="1" ht="13.5" customHeight="1">
      <c r="A46" s="951" t="s">
        <v>791</v>
      </c>
      <c r="B46" s="292" t="s">
        <v>2403</v>
      </c>
      <c r="C46" s="293">
        <f ca="1">ROUND((C33+C39)*F27,0)</f>
        <v>6669</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47997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47997</v>
      </c>
      <c r="D51" s="276"/>
      <c r="E51" s="276"/>
      <c r="F51" s="308"/>
      <c r="G51" s="278" t="s">
        <v>2414</v>
      </c>
    </row>
    <row r="52" spans="1:7" s="252" customFormat="1" ht="16.5" thickBot="1">
      <c r="A52" s="309" t="s">
        <v>2415</v>
      </c>
      <c r="B52" s="310"/>
      <c r="C52" s="311">
        <f ca="1">C31+C51</f>
        <v>74859</v>
      </c>
      <c r="D52" s="310"/>
      <c r="E52" s="310"/>
      <c r="F52" s="310"/>
      <c r="G52" s="312"/>
    </row>
    <row r="55" spans="1:7" ht="15">
      <c r="B55" s="314" t="s">
        <v>2416</v>
      </c>
      <c r="C55" s="315"/>
    </row>
    <row r="56" spans="1:7">
      <c r="B56" s="317" t="s">
        <v>1509</v>
      </c>
      <c r="C56" s="319">
        <f ca="1">1-C57</f>
        <v>0.35899999999999999</v>
      </c>
    </row>
    <row r="57" spans="1:7">
      <c r="B57" s="317" t="s">
        <v>1510</v>
      </c>
      <c r="C57" s="318">
        <f ca="1">ROUND(C51/C52,3)</f>
        <v>0.64100000000000001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54456</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3678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5923004</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5923004</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5923004</v>
      </c>
      <c r="D10" s="1032">
        <f ca="1">IF(B1="",'数据-汇总表'!E6,IF(INDIRECT("'数据-取费表'!c"&amp;$G$1)="住宅",INDIRECT("'数据-取费表'!s"&amp;$G$1),INDIRECT("'数据-取费表'!k"&amp;$G$1)+INDIRECT("'数据-取费表'!s"&amp;$G$1)))</f>
        <v>148075.10999999999</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29615022</v>
      </c>
      <c r="D19" s="1036">
        <f ca="1">D9+D10</f>
        <v>148075.10999999999</v>
      </c>
      <c r="E19" s="255">
        <f>'数据-取费表'!B31</f>
        <v>200</v>
      </c>
      <c r="F19" s="275"/>
      <c r="G19" s="2546"/>
    </row>
    <row r="20" spans="1:7" s="258" customFormat="1" ht="13.5" customHeight="1">
      <c r="A20" s="299" t="s">
        <v>2428</v>
      </c>
      <c r="B20" s="254" t="s">
        <v>2429</v>
      </c>
      <c r="C20" s="276">
        <f ca="1">ROUND((C5+C19)*F20,0)</f>
        <v>1066141</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4435340</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728611</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3643055</v>
      </c>
      <c r="D24" s="282"/>
      <c r="E24" s="282"/>
      <c r="F24" s="283"/>
      <c r="G24" s="284" t="s">
        <v>2440</v>
      </c>
    </row>
    <row r="25" spans="1:7" s="258" customFormat="1" ht="24">
      <c r="A25" s="951" t="s">
        <v>2330</v>
      </c>
      <c r="B25" s="259" t="s">
        <v>2441</v>
      </c>
      <c r="C25" s="1381">
        <f ca="1">ROUND(IF('数据-取费表'!B22&lt;=1,C20*F22*'数据-取费表'!B22/2,C20*(POWER((1+F22),'数据-取费表'!B22/2)-1)),0)</f>
        <v>63674</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6954792</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6954792</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52735193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347734059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304420131</v>
      </c>
      <c r="D34" s="261"/>
      <c r="E34" s="264"/>
      <c r="F34" s="301"/>
      <c r="G34" s="263"/>
    </row>
    <row r="35" spans="1:7" ht="13.5" customHeight="1">
      <c r="A35" s="951" t="s">
        <v>796</v>
      </c>
      <c r="B35" s="259" t="s">
        <v>2381</v>
      </c>
      <c r="C35" s="264">
        <f ca="1">ROUND(C34*F35,0)</f>
        <v>9132604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29615022</v>
      </c>
      <c r="D37" s="261">
        <f ca="1">D19</f>
        <v>148075.10999999999</v>
      </c>
      <c r="E37" s="293">
        <f>'数据-取费表'!B35</f>
        <v>200</v>
      </c>
      <c r="F37" s="303"/>
      <c r="G37" s="305"/>
    </row>
    <row r="38" spans="1:7" ht="13.5" customHeight="1">
      <c r="A38" s="951" t="s">
        <v>799</v>
      </c>
      <c r="B38" s="259" t="s">
        <v>2387</v>
      </c>
      <c r="C38" s="264">
        <f ca="1">ROUND(C34*F38,0)</f>
        <v>4566302</v>
      </c>
      <c r="D38" s="264"/>
      <c r="E38" s="264"/>
      <c r="F38" s="303">
        <f>'数据-取费表'!B36</f>
        <v>1.4999999999999999E-2</v>
      </c>
      <c r="G38" s="263" t="s">
        <v>2382</v>
      </c>
    </row>
    <row r="39" spans="1:7" s="258" customFormat="1" ht="13.5" customHeight="1">
      <c r="A39" s="299" t="s">
        <v>2388</v>
      </c>
      <c r="B39" s="254" t="s">
        <v>2389</v>
      </c>
      <c r="C39" s="276">
        <f ca="1">ROUND(C33*F20,0)</f>
        <v>10432022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21390909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20767873</v>
      </c>
      <c r="D42" s="282"/>
      <c r="E42" s="282"/>
      <c r="F42" s="283"/>
      <c r="G42" s="3251" t="s">
        <v>2445</v>
      </c>
    </row>
    <row r="43" spans="1:7" ht="13.5" customHeight="1">
      <c r="A43" s="951" t="s">
        <v>792</v>
      </c>
      <c r="B43" s="259" t="s">
        <v>2399</v>
      </c>
      <c r="C43" s="282">
        <f ca="1">ROUND(IF('数据-取费表'!B22&lt;=1,C39*F22*'数据-取费表'!B20/2,C39*(POWER((1+F22),'数据-取费表'!B20/2)-1)),0)</f>
        <v>623036</v>
      </c>
      <c r="D43" s="282"/>
      <c r="E43" s="282"/>
      <c r="F43" s="283"/>
      <c r="G43" s="3252"/>
    </row>
    <row r="44" spans="1:7" ht="13.5" customHeight="1">
      <c r="A44" s="951" t="s">
        <v>793</v>
      </c>
      <c r="B44" s="259" t="s">
        <v>2400</v>
      </c>
      <c r="C44" s="282">
        <f ca="1">ROUND(IF('数据-取费表'!B22&lt;=1,C40*F22*'数据-取费表'!B20/2,C40*(POWER((1+F22),'数据-取费表'!B20/2)-1)),4)</f>
        <v>1.8E-3</v>
      </c>
      <c r="D44" s="282"/>
      <c r="E44" s="282"/>
      <c r="F44" s="283"/>
      <c r="G44" s="3253"/>
    </row>
    <row r="45" spans="1:7" s="258" customFormat="1" ht="13.5" customHeight="1">
      <c r="A45" s="299" t="s">
        <v>2401</v>
      </c>
      <c r="B45" s="288" t="s">
        <v>2367</v>
      </c>
      <c r="C45" s="289">
        <f ca="1">C46</f>
        <v>68051555</v>
      </c>
      <c r="D45" s="279">
        <f ca="1">C47</f>
        <v>5.7000000000000002E-3</v>
      </c>
      <c r="E45" s="280" t="s">
        <v>2393</v>
      </c>
      <c r="F45" s="290"/>
      <c r="G45" s="291" t="s">
        <v>2402</v>
      </c>
    </row>
    <row r="46" spans="1:7" s="258" customFormat="1" ht="13.5" customHeight="1">
      <c r="A46" s="951" t="s">
        <v>791</v>
      </c>
      <c r="B46" s="292" t="s">
        <v>2403</v>
      </c>
      <c r="C46" s="293">
        <f ca="1">ROUND((C33+C39)*F27,0)</f>
        <v>68051555</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491823475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491823475</v>
      </c>
      <c r="D51" s="276"/>
      <c r="E51" s="276"/>
      <c r="F51" s="308"/>
      <c r="G51" s="278" t="s">
        <v>2414</v>
      </c>
    </row>
    <row r="52" spans="1:7" s="252" customFormat="1" ht="16.5" thickBot="1">
      <c r="A52" s="309" t="s">
        <v>2415</v>
      </c>
      <c r="B52" s="310"/>
      <c r="C52" s="311">
        <f ca="1">C31+C51</f>
        <v>544558668</v>
      </c>
      <c r="D52" s="310"/>
      <c r="E52" s="310"/>
      <c r="F52" s="310"/>
      <c r="G52" s="312"/>
    </row>
    <row r="55" spans="1:7" ht="15">
      <c r="B55" s="314" t="s">
        <v>2416</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17354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1172</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55" t="s">
        <v>2634</v>
      </c>
      <c r="AC4" s="3254" t="s">
        <v>2635</v>
      </c>
    </row>
    <row r="5" spans="1:30" ht="15">
      <c r="A5" s="404"/>
      <c r="B5" s="405"/>
      <c r="C5" s="3265" t="s">
        <v>3303</v>
      </c>
      <c r="D5" s="3266"/>
      <c r="E5" s="3263" t="s">
        <v>3304</v>
      </c>
      <c r="F5" s="3264"/>
      <c r="G5" s="3265" t="s">
        <v>3305</v>
      </c>
      <c r="H5" s="3266"/>
      <c r="I5" s="3265" t="s">
        <v>3306</v>
      </c>
      <c r="J5" s="3266"/>
      <c r="K5" s="610"/>
      <c r="L5" s="1130"/>
      <c r="M5" s="1131"/>
      <c r="N5" s="1131"/>
      <c r="O5" s="1131"/>
      <c r="P5" s="3278"/>
      <c r="Q5" s="3279"/>
      <c r="R5" s="3261"/>
      <c r="S5" s="3262"/>
      <c r="T5" s="3261"/>
      <c r="U5" s="3262"/>
      <c r="V5" s="3284"/>
      <c r="W5" s="3284"/>
      <c r="X5" s="1812"/>
      <c r="Y5" s="3261"/>
      <c r="Z5" s="3262"/>
      <c r="AA5" s="3255"/>
      <c r="AB5" s="3255"/>
      <c r="AC5" s="3255"/>
    </row>
    <row r="6" spans="1:30" ht="30.75" customHeight="1" thickBot="1">
      <c r="A6" s="406"/>
      <c r="B6" s="407"/>
      <c r="C6" s="3267" t="s">
        <v>2781</v>
      </c>
      <c r="D6" s="3268"/>
      <c r="E6" s="3269" t="str">
        <f>土地案例!A57</f>
        <v>新区三期格根塔拉东街南侧、正德路西侧</v>
      </c>
      <c r="F6" s="3270"/>
      <c r="G6" s="3267" t="str">
        <f>土地案例!A62</f>
        <v>正和路西侧、昌兴东街北侧</v>
      </c>
      <c r="H6" s="3268"/>
      <c r="I6" s="3267" t="str">
        <f>土地案例!A70</f>
        <v>正和路西侧、察哈尔西街北侧、曙光北路东侧</v>
      </c>
      <c r="J6" s="3268"/>
      <c r="K6" s="610" t="s">
        <v>2533</v>
      </c>
      <c r="L6" s="1130"/>
      <c r="M6" s="1131"/>
      <c r="N6" s="1131"/>
      <c r="O6" s="1131"/>
      <c r="P6" s="3280"/>
      <c r="Q6" s="3281"/>
      <c r="R6" s="3261"/>
      <c r="S6" s="3262"/>
      <c r="T6" s="3282"/>
      <c r="U6" s="3283"/>
      <c r="V6" s="3284"/>
      <c r="W6" s="3284"/>
      <c r="X6" s="1812"/>
      <c r="Y6" s="3282"/>
      <c r="Z6" s="3283"/>
      <c r="AA6" s="3256"/>
      <c r="AB6" s="3256"/>
      <c r="AC6" s="3256"/>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257" t="s">
        <v>2535</v>
      </c>
      <c r="Q7" s="3285"/>
      <c r="R7" s="770" t="s">
        <v>17</v>
      </c>
      <c r="S7" s="771">
        <f t="shared" ref="S7:S15" si="0">F7</f>
        <v>93</v>
      </c>
      <c r="T7" s="770" t="s">
        <v>17</v>
      </c>
      <c r="U7" s="771">
        <f t="shared" ref="U7:U15" si="1">H7</f>
        <v>93</v>
      </c>
      <c r="V7" s="770" t="s">
        <v>17</v>
      </c>
      <c r="W7" s="771">
        <f t="shared" ref="W7:W15" si="2">J7</f>
        <v>90</v>
      </c>
      <c r="X7" s="772"/>
      <c r="Y7" s="3257" t="s">
        <v>2535</v>
      </c>
      <c r="Z7" s="3258"/>
      <c r="AA7" s="773">
        <f>D7/F7</f>
        <v>1.075268817204301</v>
      </c>
      <c r="AB7" s="773">
        <f>D7/H7</f>
        <v>1.075268817204301</v>
      </c>
      <c r="AC7" s="773">
        <f>D7/J7</f>
        <v>1.1111111111111112</v>
      </c>
    </row>
    <row r="8" spans="1:30" s="117" customFormat="1" ht="15.75" thickBot="1">
      <c r="A8" s="408" t="s">
        <v>2536</v>
      </c>
      <c r="B8" s="409"/>
      <c r="C8" s="414" t="s">
        <v>2537</v>
      </c>
      <c r="D8" s="411">
        <v>100</v>
      </c>
      <c r="E8" s="414" t="s">
        <v>3302</v>
      </c>
      <c r="F8" s="413">
        <f>SUMIF(73:73,E8,74:74)-SUMIF(73:73,C8,74:74)+100</f>
        <v>100</v>
      </c>
      <c r="G8" s="414" t="s">
        <v>3302</v>
      </c>
      <c r="H8" s="411">
        <f>SUMIF(73:73,G8,74:74)-SUMIF(73:73,C8,74:74)+100</f>
        <v>100</v>
      </c>
      <c r="I8" s="414" t="s">
        <v>3302</v>
      </c>
      <c r="J8" s="411">
        <f>SUMIF(73:73,I8,74:74)-SUMIF(73:73,C8,74:74)+100</f>
        <v>100</v>
      </c>
      <c r="K8" s="611"/>
      <c r="L8" s="1132"/>
      <c r="M8" s="1133"/>
      <c r="N8" s="1133"/>
      <c r="O8" s="1133"/>
      <c r="P8" s="3257" t="s">
        <v>2538</v>
      </c>
      <c r="Q8" s="3258"/>
      <c r="R8" s="770" t="s">
        <v>17</v>
      </c>
      <c r="S8" s="771">
        <f t="shared" si="0"/>
        <v>100</v>
      </c>
      <c r="T8" s="770" t="s">
        <v>17</v>
      </c>
      <c r="U8" s="771">
        <f t="shared" si="1"/>
        <v>100</v>
      </c>
      <c r="V8" s="770" t="s">
        <v>17</v>
      </c>
      <c r="W8" s="771">
        <f t="shared" si="2"/>
        <v>100</v>
      </c>
      <c r="X8" s="772"/>
      <c r="Y8" s="3257" t="s">
        <v>2538</v>
      </c>
      <c r="Z8" s="3258"/>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71"/>
      <c r="Q10" s="1794" t="str">
        <f t="shared" si="6"/>
        <v>土地使用年限（年）</v>
      </c>
      <c r="R10" s="770" t="s">
        <v>17</v>
      </c>
      <c r="S10" s="771">
        <f t="shared" si="0"/>
        <v>107</v>
      </c>
      <c r="T10" s="770" t="s">
        <v>17</v>
      </c>
      <c r="U10" s="771">
        <f t="shared" si="1"/>
        <v>107</v>
      </c>
      <c r="V10" s="770" t="s">
        <v>17</v>
      </c>
      <c r="W10" s="771">
        <f t="shared" si="2"/>
        <v>107</v>
      </c>
      <c r="X10" s="772"/>
      <c r="Y10" s="3084"/>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2998">
        <f>面积表!O30</f>
        <v>0.71</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71"/>
      <c r="Q11" s="1794" t="str">
        <f t="shared" si="6"/>
        <v>容积率</v>
      </c>
      <c r="R11" s="770" t="s">
        <v>17</v>
      </c>
      <c r="S11" s="771">
        <f t="shared" si="0"/>
        <v>102</v>
      </c>
      <c r="T11" s="770" t="s">
        <v>17</v>
      </c>
      <c r="U11" s="771">
        <f t="shared" si="1"/>
        <v>104</v>
      </c>
      <c r="V11" s="770" t="s">
        <v>17</v>
      </c>
      <c r="W11" s="771">
        <f t="shared" si="2"/>
        <v>102</v>
      </c>
      <c r="X11" s="772"/>
      <c r="Y11" s="3084"/>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1"/>
      <c r="Q12" s="1794"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86" t="s">
        <v>2546</v>
      </c>
      <c r="Q15" s="1809" t="str">
        <f t="shared" si="6"/>
        <v>居住社区成熟度</v>
      </c>
      <c r="R15" s="774" t="s">
        <v>17</v>
      </c>
      <c r="S15" s="775">
        <f t="shared" si="0"/>
        <v>100</v>
      </c>
      <c r="T15" s="774" t="s">
        <v>17</v>
      </c>
      <c r="U15" s="775">
        <f t="shared" si="1"/>
        <v>100</v>
      </c>
      <c r="V15" s="774" t="s">
        <v>17</v>
      </c>
      <c r="W15" s="775">
        <f t="shared" si="2"/>
        <v>100</v>
      </c>
      <c r="X15" s="1812"/>
      <c r="Y15" s="3286"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87"/>
      <c r="Q16" s="1809"/>
      <c r="R16" s="774"/>
      <c r="S16" s="775"/>
      <c r="T16" s="774"/>
      <c r="U16" s="775"/>
      <c r="V16" s="774"/>
      <c r="W16" s="775"/>
      <c r="X16" s="1812"/>
      <c r="Y16" s="3287"/>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87"/>
      <c r="Q17" s="1809" t="str">
        <f>B17</f>
        <v>商业繁华度</v>
      </c>
      <c r="R17" s="774" t="s">
        <v>17</v>
      </c>
      <c r="S17" s="775">
        <f>F17</f>
        <v>100</v>
      </c>
      <c r="T17" s="774" t="s">
        <v>17</v>
      </c>
      <c r="U17" s="775">
        <f>H17</f>
        <v>100</v>
      </c>
      <c r="V17" s="774" t="s">
        <v>17</v>
      </c>
      <c r="W17" s="775">
        <f>J17</f>
        <v>100</v>
      </c>
      <c r="X17" s="1812"/>
      <c r="Y17" s="3287"/>
      <c r="Z17" s="1813" t="str">
        <f>Q17</f>
        <v>商业繁华度</v>
      </c>
      <c r="AA17" s="1810">
        <f t="shared" si="3"/>
        <v>1</v>
      </c>
      <c r="AB17" s="1810">
        <f t="shared" si="4"/>
        <v>1</v>
      </c>
      <c r="AC17" s="1810">
        <f t="shared" si="5"/>
        <v>1</v>
      </c>
    </row>
    <row r="18" spans="1:29" ht="15">
      <c r="A18" s="428"/>
      <c r="B18" s="456"/>
      <c r="C18" s="2604" t="s">
        <v>3113</v>
      </c>
      <c r="D18" s="450"/>
      <c r="E18" s="2606" t="s">
        <v>3113</v>
      </c>
      <c r="F18" s="450"/>
      <c r="G18" s="2606" t="s">
        <v>3113</v>
      </c>
      <c r="H18" s="448"/>
      <c r="I18" s="2605" t="s">
        <v>3113</v>
      </c>
      <c r="J18" s="448"/>
      <c r="K18" s="672"/>
      <c r="L18" s="1140"/>
      <c r="M18" s="1131"/>
      <c r="N18" s="1131"/>
      <c r="O18" s="1139"/>
      <c r="P18" s="3287"/>
      <c r="Q18" s="1809"/>
      <c r="R18" s="774"/>
      <c r="S18" s="775"/>
      <c r="T18" s="774"/>
      <c r="U18" s="775"/>
      <c r="V18" s="774"/>
      <c r="W18" s="775"/>
      <c r="X18" s="1812"/>
      <c r="Y18" s="3287"/>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87"/>
      <c r="Q19" s="1809" t="str">
        <f>B19</f>
        <v>办公集聚程度</v>
      </c>
      <c r="R19" s="774" t="s">
        <v>17</v>
      </c>
      <c r="S19" s="775">
        <f>F19</f>
        <v>102</v>
      </c>
      <c r="T19" s="774" t="s">
        <v>17</v>
      </c>
      <c r="U19" s="775">
        <f>H19</f>
        <v>102</v>
      </c>
      <c r="V19" s="774" t="s">
        <v>17</v>
      </c>
      <c r="W19" s="775">
        <f>J19</f>
        <v>102</v>
      </c>
      <c r="X19" s="1812"/>
      <c r="Y19" s="3287"/>
      <c r="Z19" s="1813" t="str">
        <f>Q19</f>
        <v>办公集聚程度</v>
      </c>
      <c r="AA19" s="1810">
        <f t="shared" si="3"/>
        <v>0.98039215686274506</v>
      </c>
      <c r="AB19" s="1810">
        <f t="shared" si="4"/>
        <v>0.98039215686274506</v>
      </c>
      <c r="AC19" s="1810">
        <f t="shared" si="5"/>
        <v>0.98039215686274506</v>
      </c>
    </row>
    <row r="20" spans="1:29" ht="15">
      <c r="A20" s="428"/>
      <c r="B20" s="456"/>
      <c r="C20" s="447" t="s">
        <v>3113</v>
      </c>
      <c r="D20" s="448"/>
      <c r="E20" s="2601" t="s">
        <v>3115</v>
      </c>
      <c r="F20" s="448"/>
      <c r="G20" s="2601" t="s">
        <v>3115</v>
      </c>
      <c r="H20" s="448"/>
      <c r="I20" s="2600" t="s">
        <v>3115</v>
      </c>
      <c r="J20" s="448"/>
      <c r="K20" s="672"/>
      <c r="L20" s="1140"/>
      <c r="M20" s="1131"/>
      <c r="N20" s="1131"/>
      <c r="O20" s="1139"/>
      <c r="P20" s="3287"/>
      <c r="Q20" s="1809"/>
      <c r="R20" s="774"/>
      <c r="S20" s="775"/>
      <c r="T20" s="774"/>
      <c r="U20" s="775"/>
      <c r="V20" s="774"/>
      <c r="W20" s="775"/>
      <c r="X20" s="1812"/>
      <c r="Y20" s="3287"/>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87"/>
      <c r="Q21" s="1809" t="str">
        <f>B21</f>
        <v>交通便捷度</v>
      </c>
      <c r="R21" s="774" t="s">
        <v>17</v>
      </c>
      <c r="S21" s="775">
        <f>F21</f>
        <v>100</v>
      </c>
      <c r="T21" s="774" t="s">
        <v>17</v>
      </c>
      <c r="U21" s="775">
        <f>H21</f>
        <v>100</v>
      </c>
      <c r="V21" s="774" t="s">
        <v>17</v>
      </c>
      <c r="W21" s="775">
        <f>J21</f>
        <v>100</v>
      </c>
      <c r="X21" s="1812"/>
      <c r="Y21" s="3287"/>
      <c r="Z21" s="1813" t="str">
        <f>Q21</f>
        <v>交通便捷度</v>
      </c>
      <c r="AA21" s="1810">
        <f t="shared" si="3"/>
        <v>1</v>
      </c>
      <c r="AB21" s="1810">
        <f t="shared" si="4"/>
        <v>1</v>
      </c>
      <c r="AC21" s="1810">
        <f t="shared" si="5"/>
        <v>1</v>
      </c>
    </row>
    <row r="22" spans="1:29" ht="15">
      <c r="A22" s="428"/>
      <c r="B22" s="1384"/>
      <c r="C22" s="447" t="s">
        <v>3115</v>
      </c>
      <c r="D22" s="450"/>
      <c r="E22" s="2601" t="s">
        <v>3115</v>
      </c>
      <c r="F22" s="448"/>
      <c r="G22" s="2601" t="s">
        <v>3115</v>
      </c>
      <c r="H22" s="448"/>
      <c r="I22" s="2600" t="s">
        <v>3115</v>
      </c>
      <c r="J22" s="448"/>
      <c r="K22" s="672"/>
      <c r="L22" s="1140"/>
      <c r="M22" s="1131"/>
      <c r="N22" s="1131"/>
      <c r="O22" s="1139"/>
      <c r="P22" s="3287"/>
      <c r="Q22" s="1809"/>
      <c r="R22" s="774"/>
      <c r="S22" s="775"/>
      <c r="T22" s="774"/>
      <c r="U22" s="775"/>
      <c r="V22" s="774"/>
      <c r="W22" s="775"/>
      <c r="X22" s="1812"/>
      <c r="Y22" s="3287"/>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87"/>
      <c r="Q23" s="1809" t="str">
        <f t="shared" ref="Q23:Q37" si="8">B23</f>
        <v>区域土地利用方向</v>
      </c>
      <c r="R23" s="774" t="s">
        <v>17</v>
      </c>
      <c r="S23" s="775">
        <f>F23</f>
        <v>100</v>
      </c>
      <c r="T23" s="774" t="s">
        <v>17</v>
      </c>
      <c r="U23" s="775">
        <f>H23</f>
        <v>100</v>
      </c>
      <c r="V23" s="774" t="s">
        <v>17</v>
      </c>
      <c r="W23" s="775">
        <f>J23</f>
        <v>100</v>
      </c>
      <c r="X23" s="1812"/>
      <c r="Y23" s="3287"/>
      <c r="Z23" s="1813" t="str">
        <f>Q23</f>
        <v>区域土地利用方向</v>
      </c>
      <c r="AA23" s="1810">
        <f t="shared" si="3"/>
        <v>1</v>
      </c>
      <c r="AB23" s="1810">
        <f t="shared" si="4"/>
        <v>1</v>
      </c>
      <c r="AC23" s="1810">
        <f t="shared" si="5"/>
        <v>1</v>
      </c>
    </row>
    <row r="24" spans="1:29" ht="15">
      <c r="A24" s="404"/>
      <c r="B24" s="456"/>
      <c r="C24" s="616" t="s">
        <v>3115</v>
      </c>
      <c r="D24" s="448"/>
      <c r="E24" s="2601" t="s">
        <v>3115</v>
      </c>
      <c r="F24" s="448"/>
      <c r="G24" s="2600" t="s">
        <v>3115</v>
      </c>
      <c r="H24" s="448"/>
      <c r="I24" s="2600" t="s">
        <v>3115</v>
      </c>
      <c r="J24" s="448"/>
      <c r="K24" s="812"/>
      <c r="L24" s="1140"/>
      <c r="M24" s="1131"/>
      <c r="N24" s="1131"/>
      <c r="O24" s="1139"/>
      <c r="P24" s="3287"/>
      <c r="Q24" s="1809"/>
      <c r="R24" s="774"/>
      <c r="S24" s="775"/>
      <c r="T24" s="774"/>
      <c r="U24" s="775"/>
      <c r="V24" s="774"/>
      <c r="W24" s="775"/>
      <c r="X24" s="1812"/>
      <c r="Y24" s="3287"/>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87"/>
      <c r="Q25" s="1809" t="str">
        <f t="shared" si="8"/>
        <v>自然及人文环境状况</v>
      </c>
      <c r="R25" s="774" t="s">
        <v>17</v>
      </c>
      <c r="S25" s="775">
        <f>F25</f>
        <v>102</v>
      </c>
      <c r="T25" s="774" t="s">
        <v>17</v>
      </c>
      <c r="U25" s="775">
        <f>H25</f>
        <v>102</v>
      </c>
      <c r="V25" s="774" t="s">
        <v>17</v>
      </c>
      <c r="W25" s="775">
        <f>J25</f>
        <v>102</v>
      </c>
      <c r="X25" s="1812"/>
      <c r="Y25" s="3287"/>
      <c r="Z25" s="1813" t="str">
        <f>Q25</f>
        <v>自然及人文环境状况</v>
      </c>
      <c r="AA25" s="1810">
        <f t="shared" si="3"/>
        <v>0.98039215686274506</v>
      </c>
      <c r="AB25" s="1810">
        <f t="shared" si="4"/>
        <v>0.98039215686274506</v>
      </c>
      <c r="AC25" s="1810">
        <f t="shared" si="5"/>
        <v>0.98039215686274506</v>
      </c>
    </row>
    <row r="26" spans="1:29" ht="15">
      <c r="A26" s="404"/>
      <c r="B26" s="456"/>
      <c r="C26" s="447" t="s">
        <v>3115</v>
      </c>
      <c r="D26" s="448"/>
      <c r="E26" s="2607" t="s">
        <v>3311</v>
      </c>
      <c r="F26" s="448"/>
      <c r="G26" s="2607" t="s">
        <v>3311</v>
      </c>
      <c r="H26" s="448"/>
      <c r="I26" s="447" t="s">
        <v>3311</v>
      </c>
      <c r="J26" s="448"/>
      <c r="K26" s="672"/>
      <c r="L26" s="1140"/>
      <c r="M26" s="1131"/>
      <c r="N26" s="1131"/>
      <c r="O26" s="1139"/>
      <c r="P26" s="3287"/>
      <c r="Q26" s="1809"/>
      <c r="R26" s="774"/>
      <c r="S26" s="775"/>
      <c r="T26" s="774"/>
      <c r="U26" s="775"/>
      <c r="V26" s="774"/>
      <c r="W26" s="775"/>
      <c r="X26" s="1812"/>
      <c r="Y26" s="3287"/>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87"/>
      <c r="Q27" s="1794" t="str">
        <f t="shared" si="8"/>
        <v>公共配套设施</v>
      </c>
      <c r="R27" s="770" t="s">
        <v>17</v>
      </c>
      <c r="S27" s="771">
        <f>F27</f>
        <v>100</v>
      </c>
      <c r="T27" s="770" t="s">
        <v>17</v>
      </c>
      <c r="U27" s="771">
        <f>H27</f>
        <v>100</v>
      </c>
      <c r="V27" s="770" t="s">
        <v>17</v>
      </c>
      <c r="W27" s="771">
        <f>J27</f>
        <v>100</v>
      </c>
      <c r="X27" s="772"/>
      <c r="Y27" s="3287"/>
      <c r="Z27" s="55" t="str">
        <f>Q27</f>
        <v>公共配套设施</v>
      </c>
      <c r="AA27" s="1810">
        <f>D27/F27</f>
        <v>1</v>
      </c>
      <c r="AB27" s="1810">
        <f>D27/H27</f>
        <v>1</v>
      </c>
      <c r="AC27" s="1810">
        <f>D27/J27</f>
        <v>1</v>
      </c>
    </row>
    <row r="28" spans="1:29" s="117" customFormat="1" ht="15">
      <c r="A28" s="649"/>
      <c r="B28" s="456"/>
      <c r="C28" s="2696" t="s">
        <v>3115</v>
      </c>
      <c r="D28" s="448"/>
      <c r="E28" s="2607" t="s">
        <v>3115</v>
      </c>
      <c r="F28" s="448"/>
      <c r="G28" s="2607" t="s">
        <v>3115</v>
      </c>
      <c r="H28" s="448"/>
      <c r="I28" s="447" t="s">
        <v>3115</v>
      </c>
      <c r="J28" s="448"/>
      <c r="K28" s="672"/>
      <c r="L28" s="1132"/>
      <c r="M28" s="1133"/>
      <c r="N28" s="1133"/>
      <c r="O28" s="1134"/>
      <c r="P28" s="3287"/>
      <c r="Q28" s="1794"/>
      <c r="R28" s="770"/>
      <c r="S28" s="771"/>
      <c r="T28" s="770"/>
      <c r="U28" s="771"/>
      <c r="V28" s="770"/>
      <c r="W28" s="771"/>
      <c r="X28" s="772"/>
      <c r="Y28" s="3287"/>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87"/>
      <c r="Q29" s="1794" t="str">
        <f>B29</f>
        <v>基础设施水平</v>
      </c>
      <c r="R29" s="770" t="s">
        <v>17</v>
      </c>
      <c r="S29" s="771">
        <f>F29</f>
        <v>100</v>
      </c>
      <c r="T29" s="770" t="s">
        <v>17</v>
      </c>
      <c r="U29" s="771">
        <f>H29</f>
        <v>100</v>
      </c>
      <c r="V29" s="770" t="s">
        <v>17</v>
      </c>
      <c r="W29" s="771">
        <f>J29</f>
        <v>100</v>
      </c>
      <c r="X29" s="772"/>
      <c r="Y29" s="3287"/>
      <c r="Z29" s="55" t="str">
        <f>Q29</f>
        <v>基础设施水平</v>
      </c>
      <c r="AA29" s="1810">
        <f>D29/F29</f>
        <v>1</v>
      </c>
      <c r="AB29" s="1810">
        <f>D29/H29</f>
        <v>1</v>
      </c>
      <c r="AC29" s="1810">
        <f>D29/J29</f>
        <v>1</v>
      </c>
    </row>
    <row r="30" spans="1:29" s="117" customFormat="1" ht="15">
      <c r="A30" s="649"/>
      <c r="B30" s="456"/>
      <c r="C30" s="2696" t="s">
        <v>3118</v>
      </c>
      <c r="D30" s="448"/>
      <c r="E30" s="2697" t="s">
        <v>3118</v>
      </c>
      <c r="F30" s="448"/>
      <c r="G30" s="2697" t="s">
        <v>3118</v>
      </c>
      <c r="H30" s="448"/>
      <c r="I30" s="2697" t="s">
        <v>3118</v>
      </c>
      <c r="J30" s="448"/>
      <c r="K30" s="672"/>
      <c r="L30" s="1132"/>
      <c r="M30" s="1133"/>
      <c r="N30" s="1133"/>
      <c r="O30" s="1134"/>
      <c r="P30" s="3287"/>
      <c r="Q30" s="1794"/>
      <c r="R30" s="770"/>
      <c r="S30" s="771"/>
      <c r="T30" s="770"/>
      <c r="U30" s="771"/>
      <c r="V30" s="770"/>
      <c r="W30" s="771"/>
      <c r="X30" s="772"/>
      <c r="Y30" s="3287"/>
      <c r="Z30" s="55"/>
      <c r="AA30" s="1810">
        <v>1</v>
      </c>
      <c r="AB30" s="1810">
        <v>1</v>
      </c>
      <c r="AC30" s="1810">
        <v>1</v>
      </c>
    </row>
    <row r="31" spans="1:29" ht="15">
      <c r="A31" s="428"/>
      <c r="B31" s="456" t="s">
        <v>2642</v>
      </c>
      <c r="C31" s="616" t="s">
        <v>3312</v>
      </c>
      <c r="D31" s="435">
        <v>100</v>
      </c>
      <c r="E31" s="634" t="s">
        <v>3313</v>
      </c>
      <c r="F31" s="435">
        <f>SUMIF(104:104,E31,105:105)-SUMIF(104:104,C31,105:105)+100</f>
        <v>99</v>
      </c>
      <c r="G31" s="634" t="s">
        <v>3313</v>
      </c>
      <c r="H31" s="435">
        <f>SUMIF(104:104,G31,105:105)-SUMIF(104:104,C31,105:105)+100</f>
        <v>99</v>
      </c>
      <c r="I31" s="634" t="s">
        <v>3312</v>
      </c>
      <c r="J31" s="435">
        <f>SUMIF(104:104,I31,105:105)-SUMIF(104:104,C31,105:105)+100</f>
        <v>100</v>
      </c>
      <c r="K31" s="673">
        <v>1</v>
      </c>
      <c r="L31" s="1140"/>
      <c r="M31" s="1131"/>
      <c r="N31" s="1131"/>
      <c r="O31" s="1139"/>
      <c r="P31" s="3287"/>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87"/>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3314</v>
      </c>
      <c r="D32" s="450">
        <v>100</v>
      </c>
      <c r="E32" s="452" t="s">
        <v>3315</v>
      </c>
      <c r="F32" s="450">
        <f>SUMIF(106:106,E33,107:107)-SUMIF(106:106,C33,107:107)+100</f>
        <v>100</v>
      </c>
      <c r="G32" s="452" t="s">
        <v>3316</v>
      </c>
      <c r="H32" s="450">
        <f>SUMIF(106:106,G33,107:107)-SUMIF(106:106,C33,107:107)+100</f>
        <v>100</v>
      </c>
      <c r="I32" s="454" t="s">
        <v>3317</v>
      </c>
      <c r="J32" s="450">
        <f>SUMIF(106:106,I33,107:107)-SUMIF(106:106,C33,107:107)+100</f>
        <v>100</v>
      </c>
      <c r="K32" s="673">
        <v>2</v>
      </c>
      <c r="L32" s="1140"/>
      <c r="M32" s="1131"/>
      <c r="N32" s="1131"/>
      <c r="O32" s="1139"/>
      <c r="P32" s="3287"/>
      <c r="Q32" s="1809" t="str">
        <f t="shared" si="8"/>
        <v>毗邻道路的类型与等级</v>
      </c>
      <c r="R32" s="774" t="s">
        <v>17</v>
      </c>
      <c r="S32" s="775">
        <f t="shared" si="9"/>
        <v>100</v>
      </c>
      <c r="T32" s="774" t="s">
        <v>17</v>
      </c>
      <c r="U32" s="775">
        <f t="shared" si="10"/>
        <v>100</v>
      </c>
      <c r="V32" s="774" t="s">
        <v>17</v>
      </c>
      <c r="W32" s="775">
        <f t="shared" si="11"/>
        <v>100</v>
      </c>
      <c r="X32" s="1812"/>
      <c r="Y32" s="3287"/>
      <c r="Z32" s="1813" t="str">
        <f t="shared" si="12"/>
        <v>毗邻道路的类型与等级</v>
      </c>
      <c r="AA32" s="1810">
        <f t="shared" si="3"/>
        <v>1</v>
      </c>
      <c r="AB32" s="1810">
        <f t="shared" si="4"/>
        <v>1</v>
      </c>
      <c r="AC32" s="1810">
        <f t="shared" si="5"/>
        <v>1</v>
      </c>
    </row>
    <row r="33" spans="1:29" ht="15.75" thickBot="1">
      <c r="A33" s="428"/>
      <c r="B33" s="456"/>
      <c r="C33" s="447" t="s">
        <v>3322</v>
      </c>
      <c r="D33" s="448"/>
      <c r="E33" s="2607" t="s">
        <v>3322</v>
      </c>
      <c r="F33" s="448"/>
      <c r="G33" s="2607" t="s">
        <v>3322</v>
      </c>
      <c r="H33" s="448"/>
      <c r="I33" s="447" t="s">
        <v>3322</v>
      </c>
      <c r="J33" s="448"/>
      <c r="K33" s="613"/>
      <c r="L33" s="1140"/>
      <c r="M33" s="1131"/>
      <c r="N33" s="1131"/>
      <c r="O33" s="1139"/>
      <c r="P33" s="3287"/>
      <c r="Q33" s="1809"/>
      <c r="R33" s="774"/>
      <c r="S33" s="775"/>
      <c r="T33" s="774"/>
      <c r="U33" s="775"/>
      <c r="V33" s="774"/>
      <c r="W33" s="775"/>
      <c r="X33" s="1812"/>
      <c r="Y33" s="3287"/>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7"/>
      <c r="Q34" s="1809" t="str">
        <f t="shared" si="8"/>
        <v>土地级别</v>
      </c>
      <c r="R34" s="774" t="s">
        <v>17</v>
      </c>
      <c r="S34" s="775">
        <f t="shared" si="9"/>
        <v>100</v>
      </c>
      <c r="T34" s="774" t="s">
        <v>17</v>
      </c>
      <c r="U34" s="775">
        <f t="shared" si="10"/>
        <v>100</v>
      </c>
      <c r="V34" s="774" t="s">
        <v>17</v>
      </c>
      <c r="W34" s="775">
        <f t="shared" si="11"/>
        <v>100</v>
      </c>
      <c r="X34" s="1812"/>
      <c r="Y34" s="3287"/>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7"/>
      <c r="Q35" s="1809">
        <f t="shared" si="8"/>
        <v>111</v>
      </c>
      <c r="R35" s="774" t="s">
        <v>17</v>
      </c>
      <c r="S35" s="775">
        <f t="shared" si="9"/>
        <v>100</v>
      </c>
      <c r="T35" s="774" t="s">
        <v>17</v>
      </c>
      <c r="U35" s="775">
        <f t="shared" si="10"/>
        <v>100</v>
      </c>
      <c r="V35" s="774" t="s">
        <v>17</v>
      </c>
      <c r="W35" s="775">
        <f t="shared" si="11"/>
        <v>100</v>
      </c>
      <c r="X35" s="1812"/>
      <c r="Y35" s="3287"/>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8" t="s">
        <v>2551</v>
      </c>
      <c r="Q36" s="1809">
        <f t="shared" si="8"/>
        <v>111</v>
      </c>
      <c r="R36" s="774" t="s">
        <v>17</v>
      </c>
      <c r="S36" s="775">
        <f t="shared" si="9"/>
        <v>100</v>
      </c>
      <c r="T36" s="774" t="s">
        <v>17</v>
      </c>
      <c r="U36" s="775">
        <f t="shared" si="10"/>
        <v>100</v>
      </c>
      <c r="V36" s="774" t="s">
        <v>17</v>
      </c>
      <c r="W36" s="775">
        <f t="shared" si="11"/>
        <v>100</v>
      </c>
      <c r="X36" s="1812"/>
      <c r="Y36" s="3289"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9"/>
      <c r="Q37" s="1809">
        <f t="shared" si="8"/>
        <v>111</v>
      </c>
      <c r="R37" s="777" t="s">
        <v>17</v>
      </c>
      <c r="S37" s="778">
        <f t="shared" si="9"/>
        <v>100</v>
      </c>
      <c r="T37" s="777" t="s">
        <v>17</v>
      </c>
      <c r="U37" s="778">
        <f t="shared" si="10"/>
        <v>100</v>
      </c>
      <c r="V37" s="777" t="s">
        <v>17</v>
      </c>
      <c r="W37" s="778">
        <f t="shared" si="11"/>
        <v>100</v>
      </c>
      <c r="X37" s="779"/>
      <c r="Y37" s="3289"/>
      <c r="Z37" s="780">
        <f t="shared" si="12"/>
        <v>111</v>
      </c>
      <c r="AA37" s="1810">
        <f t="shared" si="3"/>
        <v>1</v>
      </c>
      <c r="AB37" s="1810">
        <f t="shared" si="4"/>
        <v>1</v>
      </c>
      <c r="AC37" s="1810">
        <f t="shared" si="5"/>
        <v>1</v>
      </c>
    </row>
    <row r="38" spans="1:29" ht="15">
      <c r="A38" s="472" t="s">
        <v>2549</v>
      </c>
      <c r="B38" s="456" t="s">
        <v>2737</v>
      </c>
      <c r="C38" s="2986">
        <f>面积表!D32</f>
        <v>99754</v>
      </c>
      <c r="D38" s="467">
        <v>100</v>
      </c>
      <c r="E38" s="679">
        <f>土地案例!D57</f>
        <v>6667</v>
      </c>
      <c r="F38" s="467">
        <f>LOOKUP(E38,117:117,118:118)-LOOKUP(C38,117:117,118:118)+100</f>
        <v>98</v>
      </c>
      <c r="G38" s="679">
        <f>土地案例!D62</f>
        <v>2086</v>
      </c>
      <c r="H38" s="467">
        <f>LOOKUP(G38,117:117,118:118)-LOOKUP(C38,117:117,118:118)+100</f>
        <v>98</v>
      </c>
      <c r="I38" s="530">
        <f>土地案例!D70</f>
        <v>19053</v>
      </c>
      <c r="J38" s="467">
        <f>LOOKUP(I38,117:117,118:118)-LOOKUP(C38,117:117,118:118)+100</f>
        <v>99</v>
      </c>
      <c r="K38" s="613"/>
      <c r="L38" s="1140"/>
      <c r="M38" s="1131"/>
      <c r="N38" s="1131"/>
      <c r="O38" s="1139"/>
      <c r="P38" s="3289"/>
      <c r="Q38" s="1809" t="str">
        <f>B38</f>
        <v>宗地面积</v>
      </c>
      <c r="R38" s="774" t="s">
        <v>17</v>
      </c>
      <c r="S38" s="775">
        <f t="shared" si="9"/>
        <v>98</v>
      </c>
      <c r="T38" s="774" t="s">
        <v>17</v>
      </c>
      <c r="U38" s="775">
        <f t="shared" si="10"/>
        <v>98</v>
      </c>
      <c r="V38" s="774" t="s">
        <v>17</v>
      </c>
      <c r="W38" s="775">
        <f t="shared" si="11"/>
        <v>99</v>
      </c>
      <c r="X38" s="1812"/>
      <c r="Y38" s="3289"/>
      <c r="Z38" s="1813" t="str">
        <f t="shared" si="12"/>
        <v>宗地面积</v>
      </c>
      <c r="AA38" s="1810">
        <f t="shared" si="3"/>
        <v>1.0204081632653061</v>
      </c>
      <c r="AB38" s="1810">
        <f t="shared" si="4"/>
        <v>1.0204081632653061</v>
      </c>
      <c r="AC38" s="1810">
        <f t="shared" si="5"/>
        <v>1.0101010101010102</v>
      </c>
    </row>
    <row r="39" spans="1:29" ht="15">
      <c r="A39" s="472"/>
      <c r="B39" s="422" t="s">
        <v>2738</v>
      </c>
      <c r="C39" s="2609" t="s">
        <v>3334</v>
      </c>
      <c r="D39" s="435">
        <v>100</v>
      </c>
      <c r="E39" s="2609" t="s">
        <v>3335</v>
      </c>
      <c r="F39" s="435">
        <f>SUMIF(119:119,E39,120:120)-SUMIF(119:119,C39,120:120)+100</f>
        <v>98</v>
      </c>
      <c r="G39" s="2609" t="s">
        <v>3335</v>
      </c>
      <c r="H39" s="435">
        <f>SUMIF(119:119,G39,120:120)-SUMIF(119:119,C39,120:120)+100</f>
        <v>98</v>
      </c>
      <c r="I39" s="2609" t="s">
        <v>3335</v>
      </c>
      <c r="J39" s="435">
        <f>SUMIF(119:119,I39,120:120)-SUMIF(119:119,C39,120:120)+100</f>
        <v>98</v>
      </c>
      <c r="K39" s="612">
        <v>2</v>
      </c>
      <c r="L39" s="1140"/>
      <c r="M39" s="1131"/>
      <c r="N39" s="1131"/>
      <c r="O39" s="1139"/>
      <c r="P39" s="3289"/>
      <c r="Q39" s="1809" t="str">
        <f t="shared" ref="Q39:Q45" si="13">B39</f>
        <v>宗地形状</v>
      </c>
      <c r="R39" s="774" t="s">
        <v>17</v>
      </c>
      <c r="S39" s="775">
        <f t="shared" si="9"/>
        <v>98</v>
      </c>
      <c r="T39" s="774" t="s">
        <v>17</v>
      </c>
      <c r="U39" s="775">
        <f t="shared" si="10"/>
        <v>98</v>
      </c>
      <c r="V39" s="774" t="s">
        <v>17</v>
      </c>
      <c r="W39" s="775">
        <f t="shared" si="11"/>
        <v>98</v>
      </c>
      <c r="X39" s="1812"/>
      <c r="Y39" s="3289"/>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89"/>
      <c r="Q40" s="1809" t="str">
        <f t="shared" si="13"/>
        <v>临街宽度及深度</v>
      </c>
      <c r="R40" s="774" t="s">
        <v>17</v>
      </c>
      <c r="S40" s="775">
        <f t="shared" si="9"/>
        <v>100</v>
      </c>
      <c r="T40" s="774" t="s">
        <v>17</v>
      </c>
      <c r="U40" s="775">
        <f t="shared" si="10"/>
        <v>100</v>
      </c>
      <c r="V40" s="774" t="s">
        <v>17</v>
      </c>
      <c r="W40" s="775">
        <f t="shared" si="11"/>
        <v>100</v>
      </c>
      <c r="X40" s="1812"/>
      <c r="Y40" s="3289"/>
      <c r="Z40" s="1813" t="str">
        <f t="shared" si="12"/>
        <v>临街宽度及深度</v>
      </c>
      <c r="AA40" s="1810">
        <f t="shared" si="3"/>
        <v>1</v>
      </c>
      <c r="AB40" s="1810">
        <f t="shared" si="4"/>
        <v>1</v>
      </c>
      <c r="AC40" s="1810">
        <f t="shared" si="5"/>
        <v>1</v>
      </c>
    </row>
    <row r="41" spans="1:29" s="117" customFormat="1" ht="15">
      <c r="A41" s="473"/>
      <c r="B41" s="422" t="s">
        <v>2740</v>
      </c>
      <c r="C41" s="2698" t="s">
        <v>3118</v>
      </c>
      <c r="D41" s="136">
        <v>100</v>
      </c>
      <c r="E41" s="2698" t="s">
        <v>3336</v>
      </c>
      <c r="F41" s="435">
        <f>SUMIF(123:123,E41,124:124)-SUMIF(123:123,C41,124:124)+100</f>
        <v>96</v>
      </c>
      <c r="G41" s="2698" t="s">
        <v>3336</v>
      </c>
      <c r="H41" s="435">
        <f>SUMIF(123:123,G41,124:124)-SUMIF(123:123,C41,124:124)+100</f>
        <v>96</v>
      </c>
      <c r="I41" s="2698" t="s">
        <v>3336</v>
      </c>
      <c r="J41" s="435">
        <f>SUMIF(123:123,I41,124:124)-SUMIF(123:123,C41,124:124)+100</f>
        <v>96</v>
      </c>
      <c r="K41" s="612">
        <v>1</v>
      </c>
      <c r="L41" s="1132"/>
      <c r="M41" s="1133"/>
      <c r="N41" s="1133"/>
      <c r="O41" s="1134"/>
      <c r="P41" s="3289"/>
      <c r="Q41" s="1809" t="str">
        <f t="shared" si="13"/>
        <v>宗地开发程度</v>
      </c>
      <c r="R41" s="770" t="s">
        <v>17</v>
      </c>
      <c r="S41" s="771">
        <f t="shared" si="9"/>
        <v>96</v>
      </c>
      <c r="T41" s="770" t="s">
        <v>17</v>
      </c>
      <c r="U41" s="771">
        <f t="shared" si="10"/>
        <v>96</v>
      </c>
      <c r="V41" s="770" t="s">
        <v>17</v>
      </c>
      <c r="W41" s="771">
        <f t="shared" si="11"/>
        <v>96</v>
      </c>
      <c r="X41" s="772"/>
      <c r="Y41" s="3289"/>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89" t="s">
        <v>2551</v>
      </c>
      <c r="Q42" s="1809" t="str">
        <f t="shared" si="13"/>
        <v>工程地质条件</v>
      </c>
      <c r="R42" s="774" t="s">
        <v>17</v>
      </c>
      <c r="S42" s="775">
        <f t="shared" si="9"/>
        <v>100</v>
      </c>
      <c r="T42" s="774" t="s">
        <v>17</v>
      </c>
      <c r="U42" s="775">
        <f t="shared" si="10"/>
        <v>100</v>
      </c>
      <c r="V42" s="774" t="s">
        <v>17</v>
      </c>
      <c r="W42" s="775">
        <f t="shared" si="11"/>
        <v>100</v>
      </c>
      <c r="X42" s="1812"/>
      <c r="Y42" s="3289"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9"/>
      <c r="Q43" s="1809">
        <f t="shared" si="13"/>
        <v>111</v>
      </c>
      <c r="R43" s="774" t="s">
        <v>17</v>
      </c>
      <c r="S43" s="775">
        <f t="shared" si="9"/>
        <v>100</v>
      </c>
      <c r="T43" s="774" t="s">
        <v>17</v>
      </c>
      <c r="U43" s="775">
        <f t="shared" si="10"/>
        <v>100</v>
      </c>
      <c r="V43" s="774" t="s">
        <v>17</v>
      </c>
      <c r="W43" s="775">
        <f t="shared" si="11"/>
        <v>100</v>
      </c>
      <c r="X43" s="1812"/>
      <c r="Y43" s="3289"/>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9"/>
      <c r="Q44" s="1809">
        <f t="shared" si="13"/>
        <v>111</v>
      </c>
      <c r="R44" s="774" t="s">
        <v>17</v>
      </c>
      <c r="S44" s="775">
        <f t="shared" si="9"/>
        <v>100</v>
      </c>
      <c r="T44" s="774" t="s">
        <v>17</v>
      </c>
      <c r="U44" s="775">
        <f t="shared" si="10"/>
        <v>100</v>
      </c>
      <c r="V44" s="774" t="s">
        <v>17</v>
      </c>
      <c r="W44" s="775">
        <f t="shared" si="11"/>
        <v>100</v>
      </c>
      <c r="X44" s="1812"/>
      <c r="Y44" s="3289"/>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9"/>
      <c r="Q45" s="1809">
        <f t="shared" si="13"/>
        <v>111</v>
      </c>
      <c r="R45" s="777" t="s">
        <v>17</v>
      </c>
      <c r="S45" s="778">
        <f t="shared" si="9"/>
        <v>100</v>
      </c>
      <c r="T45" s="777" t="s">
        <v>17</v>
      </c>
      <c r="U45" s="778">
        <f t="shared" si="10"/>
        <v>100</v>
      </c>
      <c r="V45" s="777" t="s">
        <v>17</v>
      </c>
      <c r="W45" s="778">
        <f t="shared" si="11"/>
        <v>100</v>
      </c>
      <c r="X45" s="779"/>
      <c r="Y45" s="3289"/>
      <c r="Z45" s="780">
        <f t="shared" si="12"/>
        <v>111</v>
      </c>
      <c r="AA45" s="1810">
        <f t="shared" si="3"/>
        <v>1</v>
      </c>
      <c r="AB45" s="1810">
        <f t="shared" si="4"/>
        <v>1</v>
      </c>
      <c r="AC45" s="1810">
        <f t="shared" si="5"/>
        <v>1</v>
      </c>
    </row>
    <row r="46" spans="1:29" ht="15">
      <c r="A46" s="479" t="s">
        <v>2706</v>
      </c>
      <c r="B46" s="2700" t="s">
        <v>3309</v>
      </c>
      <c r="C46" s="682" t="s">
        <v>1</v>
      </c>
      <c r="D46" s="481"/>
      <c r="E46" s="482">
        <f>土地案例!M57</f>
        <v>1029</v>
      </c>
      <c r="F46" s="483"/>
      <c r="G46" s="484">
        <f>土地案例!M62</f>
        <v>1021</v>
      </c>
      <c r="H46" s="485"/>
      <c r="I46" s="482">
        <f>土地案例!M70</f>
        <v>1005</v>
      </c>
      <c r="J46" s="485"/>
      <c r="K46" s="783"/>
      <c r="L46" s="1143"/>
      <c r="M46" s="1144"/>
      <c r="N46" s="1131"/>
      <c r="O46" s="1144"/>
      <c r="P46" s="3271" t="str">
        <f>A46</f>
        <v>成交单价</v>
      </c>
      <c r="Q46" s="3271"/>
      <c r="R46" s="3284">
        <f>E46</f>
        <v>1029</v>
      </c>
      <c r="S46" s="3284"/>
      <c r="T46" s="3284">
        <f>G46</f>
        <v>1021</v>
      </c>
      <c r="U46" s="3284"/>
      <c r="V46" s="3284">
        <f>I46</f>
        <v>1005</v>
      </c>
      <c r="W46" s="3284"/>
      <c r="X46" s="759"/>
      <c r="Y46" s="781"/>
      <c r="Z46" s="759"/>
      <c r="AA46" s="759"/>
      <c r="AB46" s="759"/>
      <c r="AC46" s="759"/>
    </row>
    <row r="47" spans="1:29" ht="15.75" thickBot="1">
      <c r="A47" s="486" t="s">
        <v>2655</v>
      </c>
      <c r="B47" s="683"/>
      <c r="C47" s="490">
        <f>R48</f>
        <v>1054</v>
      </c>
      <c r="D47" s="489"/>
      <c r="E47" s="490">
        <f>R47</f>
        <v>1068</v>
      </c>
      <c r="F47" s="491"/>
      <c r="G47" s="488">
        <f>T47</f>
        <v>1039</v>
      </c>
      <c r="H47" s="489"/>
      <c r="I47" s="490">
        <f>V47</f>
        <v>1056</v>
      </c>
      <c r="J47" s="489"/>
      <c r="K47" s="784"/>
      <c r="L47" s="1143"/>
      <c r="M47" s="1144"/>
      <c r="N47" s="1144"/>
      <c r="O47" s="1144"/>
      <c r="P47" s="3271" t="str">
        <f>A47</f>
        <v>比较价值（元/平方米）</v>
      </c>
      <c r="Q47" s="3271"/>
      <c r="R47" s="3290">
        <f>ROUND(PRODUCT(R46,AA7:AA45),0)</f>
        <v>1068</v>
      </c>
      <c r="S47" s="3290"/>
      <c r="T47" s="3290">
        <f>ROUND(PRODUCT(T46,AB7:AB45),0)</f>
        <v>1039</v>
      </c>
      <c r="U47" s="3290"/>
      <c r="V47" s="3290">
        <f>ROUND(PRODUCT(V46,AC7:AC45),0)</f>
        <v>1056</v>
      </c>
      <c r="W47" s="3290"/>
      <c r="X47" s="759"/>
      <c r="Y47" s="759"/>
      <c r="Z47" s="759"/>
      <c r="AA47" s="759"/>
      <c r="AB47" s="759"/>
      <c r="AC47" s="759"/>
    </row>
    <row r="48" spans="1:29" ht="15.75" thickBot="1">
      <c r="A48" s="492" t="s">
        <v>2742</v>
      </c>
      <c r="B48" s="493"/>
      <c r="C48" s="494">
        <f>R48</f>
        <v>1054</v>
      </c>
      <c r="D48" s="494"/>
      <c r="E48" s="494"/>
      <c r="F48" s="494"/>
      <c r="G48" s="494"/>
      <c r="H48" s="494"/>
      <c r="I48" s="494"/>
      <c r="J48" s="494"/>
      <c r="K48" s="785"/>
      <c r="L48" s="1143"/>
      <c r="M48" s="1144"/>
      <c r="N48" s="1144"/>
      <c r="O48" s="1144"/>
      <c r="P48" s="3291" t="str">
        <f>A48</f>
        <v>估价对象XX用房的比较价值（楼面单价，元/平方米）</v>
      </c>
      <c r="Q48" s="3292"/>
      <c r="R48" s="3293">
        <f>ROUND(AVERAGE(R47:V47),0)</f>
        <v>1054</v>
      </c>
      <c r="S48" s="3293"/>
      <c r="T48" s="3293"/>
      <c r="U48" s="3293"/>
      <c r="V48" s="3293"/>
      <c r="W48" s="32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3.790087463556846E-2</v>
      </c>
      <c r="F51" s="500" t="str">
        <f>IF(OR(E51&gt;=0.3,E51&lt;=-0.3),"超过30%","")</f>
        <v/>
      </c>
      <c r="G51" s="499">
        <f>IF(G46&lt;G47,G47/G46-1,G46/G47-1)</f>
        <v>1.7629774730656189E-2</v>
      </c>
      <c r="H51" s="500" t="str">
        <f>IF(OR(G51&gt;=0.3,G51&lt;=-0.3),"超过30%","")</f>
        <v/>
      </c>
      <c r="I51" s="499">
        <f>IF(I46&lt;I47,I47/I46-1,I46/I47-1)</f>
        <v>5.0746268656716387E-2</v>
      </c>
      <c r="J51" s="500" t="str">
        <f>IF(OR(I51&gt;=0.3,I51&lt;=-0.3),"超过30%","")</f>
        <v/>
      </c>
      <c r="K51" s="1105"/>
      <c r="L51" s="1106"/>
      <c r="M51" s="1144"/>
      <c r="N51" s="1144"/>
      <c r="O51" s="1144"/>
    </row>
    <row r="52" spans="1:15" ht="13.5" customHeight="1">
      <c r="A52" s="1144"/>
      <c r="B52" s="1144"/>
      <c r="C52" s="497" t="s">
        <v>2658</v>
      </c>
      <c r="D52" s="501"/>
      <c r="E52" s="499">
        <f>IF(E47&lt;G47,G47/E47-1,E47/G47-1)</f>
        <v>2.791145332050049E-2</v>
      </c>
      <c r="F52" s="500" t="str">
        <f>IF(OR(E52&gt;=0.2,E52&lt;=-0.2),"超过20%","")</f>
        <v/>
      </c>
      <c r="G52" s="499">
        <f>IF(G47&lt;I47,I47/G47-1,G47/I47-1)</f>
        <v>1.6361886429258954E-2</v>
      </c>
      <c r="H52" s="500" t="str">
        <f>IF(OR(G52&gt;=0.2,G52&lt;=-0.2),"超过20%","")</f>
        <v/>
      </c>
      <c r="I52" s="499">
        <f>IF(I47&lt;E47,E47/I47-1,I47/E47-1)</f>
        <v>1.1363636363636465E-2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72" t="s">
        <v>2749</v>
      </c>
      <c r="H55" s="3294"/>
      <c r="I55" s="144" t="s">
        <v>2750</v>
      </c>
      <c r="J55" s="2703">
        <f>项目基本情况!F35</f>
        <v>0</v>
      </c>
      <c r="K55" s="2704" t="s">
        <v>2751</v>
      </c>
      <c r="L55" s="1106"/>
      <c r="M55" s="1144"/>
      <c r="N55" s="1144"/>
      <c r="O55" s="1144"/>
    </row>
    <row r="56" spans="1:15" s="692" customFormat="1">
      <c r="A56" s="688" t="s">
        <v>2752</v>
      </c>
      <c r="B56" s="689">
        <f>C48</f>
        <v>1054</v>
      </c>
      <c r="C56" s="690">
        <v>1</v>
      </c>
      <c r="D56" s="1163">
        <v>1</v>
      </c>
      <c r="E56" s="690">
        <f>'数据-汇总表'!E8+'数据-汇总表'!E9</f>
        <v>134999.90999999997</v>
      </c>
      <c r="F56" s="1103">
        <f t="shared" ref="F56:F65" si="14">ROUND(B56*E56/10000,0)</f>
        <v>14229</v>
      </c>
      <c r="G56" s="3295"/>
      <c r="H56" s="3271"/>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96"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96"/>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96"/>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96"/>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13075.2</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164645</v>
      </c>
      <c r="F66" s="697">
        <f>IF(B46="楼面地价",SUM(F56:F65),ROUND(C48*E66/10000,0))</f>
        <v>17354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2" t="s">
        <v>3310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3" t="s">
        <v>3318</v>
      </c>
      <c r="D106" s="2983" t="s">
        <v>3319</v>
      </c>
      <c r="E106" s="2983" t="s">
        <v>3320</v>
      </c>
      <c r="F106" s="2983" t="s">
        <v>3321</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4" t="s">
        <v>3330</v>
      </c>
      <c r="D119" s="2984" t="s">
        <v>3331</v>
      </c>
      <c r="E119" s="2984" t="s">
        <v>3332</v>
      </c>
      <c r="F119" s="2984" t="s">
        <v>3333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3" t="s">
        <v>3323</v>
      </c>
      <c r="D123" s="2983" t="s">
        <v>3324</v>
      </c>
      <c r="E123" s="2983" t="s">
        <v>3325</v>
      </c>
      <c r="F123" s="2983" t="s">
        <v>3326</v>
      </c>
      <c r="G123" s="2983" t="s">
        <v>3327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3311</v>
      </c>
      <c r="D125" s="554" t="s">
        <v>3115</v>
      </c>
      <c r="E125" s="583" t="s">
        <v>3113</v>
      </c>
      <c r="F125" s="583" t="s">
        <v>3328</v>
      </c>
      <c r="G125" s="583" t="s">
        <v>3329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A106" workbookViewId="0">
      <selection activeCell="G116" sqref="G116:H116"/>
    </sheetView>
  </sheetViews>
  <sheetFormatPr defaultRowHeight="12"/>
  <cols>
    <col min="1" max="1" width="39.25" style="2973" customWidth="1"/>
    <col min="2" max="2" width="9" style="2973"/>
    <col min="3" max="3" width="12.25" style="2973" customWidth="1"/>
    <col min="4" max="5" width="9" style="2973"/>
    <col min="6" max="6" width="13.5" style="2973" customWidth="1"/>
    <col min="7" max="7" width="8" style="2973" customWidth="1"/>
    <col min="8" max="11" width="9" style="2973"/>
    <col min="12" max="12" width="11.5" style="2973" customWidth="1"/>
    <col min="13" max="13" width="12.125" style="2973" customWidth="1"/>
    <col min="14" max="14" width="9" style="2973"/>
    <col min="15" max="15" width="25" style="2973" customWidth="1"/>
    <col min="16" max="16" width="7" style="2973" customWidth="1"/>
    <col min="17" max="16384" width="9" style="2973"/>
  </cols>
  <sheetData>
    <row r="1" spans="1:16" s="2976" customFormat="1" ht="36.75" customHeight="1">
      <c r="A1" s="2975" t="s">
        <v>3121</v>
      </c>
      <c r="B1" s="2975" t="s">
        <v>3122</v>
      </c>
      <c r="C1" s="2975" t="s">
        <v>3123</v>
      </c>
      <c r="D1" s="2975" t="s">
        <v>3124</v>
      </c>
      <c r="E1" s="2975" t="s">
        <v>3125</v>
      </c>
      <c r="F1" s="2975" t="s">
        <v>3126</v>
      </c>
      <c r="G1" s="2975" t="s">
        <v>3301</v>
      </c>
      <c r="H1" s="2975" t="s">
        <v>3127</v>
      </c>
      <c r="I1" s="2975" t="s">
        <v>3128</v>
      </c>
      <c r="J1" s="2975" t="s">
        <v>3129</v>
      </c>
      <c r="K1" s="2975" t="s">
        <v>3130</v>
      </c>
      <c r="L1" s="2975" t="s">
        <v>3299</v>
      </c>
      <c r="M1" s="2975" t="s">
        <v>3300</v>
      </c>
      <c r="N1" s="2975" t="s">
        <v>3131</v>
      </c>
      <c r="O1" s="2975" t="s">
        <v>3132</v>
      </c>
      <c r="P1" s="2975" t="s">
        <v>3133</v>
      </c>
    </row>
    <row r="2" spans="1:16" ht="24">
      <c r="A2" s="2974" t="s">
        <v>3134</v>
      </c>
      <c r="B2" s="2974" t="s">
        <v>3135</v>
      </c>
      <c r="C2" s="2974" t="s">
        <v>3136</v>
      </c>
      <c r="D2" s="2974">
        <v>24754.799999999999</v>
      </c>
      <c r="E2" s="2974">
        <v>86641.8</v>
      </c>
      <c r="F2" s="2974" t="s">
        <v>3137</v>
      </c>
      <c r="G2" s="2974">
        <f>ROUND(E2/D2,2)</f>
        <v>3.5</v>
      </c>
      <c r="H2" s="2974" t="s">
        <v>3138</v>
      </c>
      <c r="I2" s="2974" t="s">
        <v>3139</v>
      </c>
      <c r="J2" s="2974">
        <v>1696</v>
      </c>
      <c r="K2" s="2974">
        <v>1706</v>
      </c>
      <c r="L2" s="2974">
        <v>196.9</v>
      </c>
      <c r="M2" s="2974">
        <f>ROUND(K2/D2*10000,0)</f>
        <v>689</v>
      </c>
      <c r="N2" s="2974">
        <v>0.59</v>
      </c>
      <c r="O2" s="2974" t="s">
        <v>3140</v>
      </c>
      <c r="P2" s="2974" t="s">
        <v>3141</v>
      </c>
    </row>
    <row r="3" spans="1:16" ht="24">
      <c r="A3" s="2974" t="s">
        <v>3142</v>
      </c>
      <c r="B3" s="2974" t="s">
        <v>3135</v>
      </c>
      <c r="C3" s="2974" t="s">
        <v>3136</v>
      </c>
      <c r="D3" s="2974">
        <v>51499.9</v>
      </c>
      <c r="E3" s="2974">
        <v>180249.65</v>
      </c>
      <c r="F3" s="2974" t="s">
        <v>3137</v>
      </c>
      <c r="G3" s="2974">
        <f t="shared" ref="G3:G66" si="0">ROUND(E3/D3,2)</f>
        <v>3.5</v>
      </c>
      <c r="H3" s="2974" t="s">
        <v>3138</v>
      </c>
      <c r="I3" s="2974" t="s">
        <v>3143</v>
      </c>
      <c r="J3" s="2974">
        <v>3528</v>
      </c>
      <c r="K3" s="2974">
        <v>3548</v>
      </c>
      <c r="L3" s="2974">
        <v>196.84</v>
      </c>
      <c r="M3" s="2974">
        <f t="shared" ref="M3:M66" si="1">ROUND(K3/D3*10000,0)</f>
        <v>689</v>
      </c>
      <c r="N3" s="2974">
        <v>0.56999999999999995</v>
      </c>
      <c r="O3" s="2974" t="s">
        <v>3140</v>
      </c>
      <c r="P3" s="2974" t="s">
        <v>3141</v>
      </c>
    </row>
    <row r="4" spans="1:16" ht="24">
      <c r="A4" s="2974" t="s">
        <v>3144</v>
      </c>
      <c r="B4" s="2974" t="s">
        <v>3135</v>
      </c>
      <c r="C4" s="2974" t="s">
        <v>3136</v>
      </c>
      <c r="D4" s="2974">
        <v>3872.9</v>
      </c>
      <c r="E4" s="2974">
        <v>11618.7</v>
      </c>
      <c r="F4" s="2974" t="s">
        <v>3145</v>
      </c>
      <c r="G4" s="2974">
        <f t="shared" si="0"/>
        <v>3</v>
      </c>
      <c r="H4" s="2974" t="s">
        <v>3138</v>
      </c>
      <c r="I4" s="2974" t="s">
        <v>3146</v>
      </c>
      <c r="J4" s="2974">
        <v>169</v>
      </c>
      <c r="K4" s="2974">
        <v>172</v>
      </c>
      <c r="L4" s="2974">
        <v>148.03</v>
      </c>
      <c r="M4" s="2974">
        <f t="shared" si="1"/>
        <v>444</v>
      </c>
      <c r="N4" s="2974">
        <v>1.78</v>
      </c>
      <c r="O4" s="2974" t="s">
        <v>3147</v>
      </c>
      <c r="P4" s="2974" t="s">
        <v>3141</v>
      </c>
    </row>
    <row r="5" spans="1:16" ht="24">
      <c r="A5" s="2974" t="s">
        <v>3148</v>
      </c>
      <c r="B5" s="2974" t="s">
        <v>3135</v>
      </c>
      <c r="C5" s="2974" t="s">
        <v>3136</v>
      </c>
      <c r="D5" s="2974">
        <v>62386.1</v>
      </c>
      <c r="E5" s="2974">
        <v>106056.37</v>
      </c>
      <c r="F5" s="2974" t="s">
        <v>3149</v>
      </c>
      <c r="G5" s="2974">
        <f t="shared" si="0"/>
        <v>1.7</v>
      </c>
      <c r="H5" s="2974" t="s">
        <v>3138</v>
      </c>
      <c r="I5" s="2974" t="s">
        <v>3150</v>
      </c>
      <c r="J5" s="2974">
        <v>4342</v>
      </c>
      <c r="K5" s="2974">
        <v>4364</v>
      </c>
      <c r="L5" s="2974">
        <v>411.48</v>
      </c>
      <c r="M5" s="2974">
        <f>ROUND(K5/D5*10000,0)</f>
        <v>700</v>
      </c>
      <c r="N5" s="2974">
        <v>0.51</v>
      </c>
      <c r="O5" s="2974" t="s">
        <v>3151</v>
      </c>
      <c r="P5" s="2974" t="s">
        <v>3141</v>
      </c>
    </row>
    <row r="6" spans="1:16" ht="24">
      <c r="A6" s="2974" t="s">
        <v>3152</v>
      </c>
      <c r="B6" s="2974" t="s">
        <v>3135</v>
      </c>
      <c r="C6" s="2974" t="s">
        <v>3136</v>
      </c>
      <c r="D6" s="2974">
        <v>63667.3</v>
      </c>
      <c r="E6" s="2974">
        <v>108234.41</v>
      </c>
      <c r="F6" s="2974" t="s">
        <v>3149</v>
      </c>
      <c r="G6" s="2974">
        <f t="shared" si="0"/>
        <v>1.7</v>
      </c>
      <c r="H6" s="2974" t="s">
        <v>3138</v>
      </c>
      <c r="I6" s="2974" t="s">
        <v>3153</v>
      </c>
      <c r="J6" s="2974">
        <v>4426</v>
      </c>
      <c r="K6" s="2974">
        <v>4449</v>
      </c>
      <c r="L6" s="2974">
        <v>411.05</v>
      </c>
      <c r="M6" s="2974">
        <f t="shared" si="1"/>
        <v>699</v>
      </c>
      <c r="N6" s="2974">
        <v>0.52</v>
      </c>
      <c r="O6" s="2974" t="s">
        <v>3151</v>
      </c>
      <c r="P6" s="2974" t="s">
        <v>3141</v>
      </c>
    </row>
    <row r="7" spans="1:16" ht="24">
      <c r="A7" s="2974" t="s">
        <v>3154</v>
      </c>
      <c r="B7" s="2974" t="s">
        <v>3135</v>
      </c>
      <c r="C7" s="2974" t="s">
        <v>3136</v>
      </c>
      <c r="D7" s="2974">
        <v>9926.7000000000007</v>
      </c>
      <c r="E7" s="2974">
        <v>19853.400000000001</v>
      </c>
      <c r="F7" s="2974" t="s">
        <v>3155</v>
      </c>
      <c r="G7" s="2974">
        <f t="shared" si="0"/>
        <v>2</v>
      </c>
      <c r="H7" s="2974" t="s">
        <v>3138</v>
      </c>
      <c r="I7" s="2974" t="s">
        <v>3153</v>
      </c>
      <c r="J7" s="2974">
        <v>351</v>
      </c>
      <c r="K7" s="2974">
        <v>355</v>
      </c>
      <c r="L7" s="2974">
        <v>178.81</v>
      </c>
      <c r="M7" s="2974">
        <f t="shared" si="1"/>
        <v>358</v>
      </c>
      <c r="N7" s="2974">
        <v>1.1399999999999999</v>
      </c>
      <c r="O7" s="2974" t="s">
        <v>3151</v>
      </c>
      <c r="P7" s="2974" t="s">
        <v>3141</v>
      </c>
    </row>
    <row r="8" spans="1:16" ht="24">
      <c r="A8" s="2974" t="s">
        <v>3156</v>
      </c>
      <c r="B8" s="2974" t="s">
        <v>3135</v>
      </c>
      <c r="C8" s="2974" t="s">
        <v>3136</v>
      </c>
      <c r="D8" s="2974">
        <v>4733.6000000000004</v>
      </c>
      <c r="E8" s="2974">
        <v>9467.2000000000007</v>
      </c>
      <c r="F8" s="2974" t="s">
        <v>3155</v>
      </c>
      <c r="G8" s="2974">
        <f t="shared" si="0"/>
        <v>2</v>
      </c>
      <c r="H8" s="2974" t="s">
        <v>3138</v>
      </c>
      <c r="I8" s="2974" t="s">
        <v>3153</v>
      </c>
      <c r="J8" s="2974">
        <v>168</v>
      </c>
      <c r="K8" s="2974">
        <v>170</v>
      </c>
      <c r="L8" s="2974">
        <v>179.56</v>
      </c>
      <c r="M8" s="2974">
        <f t="shared" si="1"/>
        <v>359</v>
      </c>
      <c r="N8" s="2974">
        <v>1.19</v>
      </c>
      <c r="O8" s="2974" t="s">
        <v>3151</v>
      </c>
      <c r="P8" s="2974" t="s">
        <v>3141</v>
      </c>
    </row>
    <row r="9" spans="1:16" ht="24">
      <c r="A9" s="2974" t="s">
        <v>3157</v>
      </c>
      <c r="B9" s="2974" t="s">
        <v>3135</v>
      </c>
      <c r="C9" s="2974" t="s">
        <v>3136</v>
      </c>
      <c r="D9" s="2974">
        <v>11492.4</v>
      </c>
      <c r="E9" s="2974">
        <v>22984.799999999999</v>
      </c>
      <c r="F9" s="2974" t="s">
        <v>3155</v>
      </c>
      <c r="G9" s="2974">
        <f t="shared" si="0"/>
        <v>2</v>
      </c>
      <c r="H9" s="2974" t="s">
        <v>3138</v>
      </c>
      <c r="I9" s="2974" t="s">
        <v>3158</v>
      </c>
      <c r="J9" s="2974">
        <v>406</v>
      </c>
      <c r="K9" s="2974">
        <v>411</v>
      </c>
      <c r="L9" s="2974">
        <v>178.81</v>
      </c>
      <c r="M9" s="2974">
        <f t="shared" si="1"/>
        <v>358</v>
      </c>
      <c r="N9" s="2974">
        <v>1.23</v>
      </c>
      <c r="O9" s="2974" t="s">
        <v>3151</v>
      </c>
      <c r="P9" s="2974" t="s">
        <v>3141</v>
      </c>
    </row>
    <row r="10" spans="1:16" ht="24">
      <c r="A10" s="2974" t="s">
        <v>3159</v>
      </c>
      <c r="B10" s="2974" t="s">
        <v>3135</v>
      </c>
      <c r="C10" s="2974" t="s">
        <v>3136</v>
      </c>
      <c r="D10" s="2974">
        <v>46906.2</v>
      </c>
      <c r="E10" s="2974">
        <v>79740.539999999994</v>
      </c>
      <c r="F10" s="2974" t="s">
        <v>3149</v>
      </c>
      <c r="G10" s="2974">
        <f t="shared" si="0"/>
        <v>1.7</v>
      </c>
      <c r="H10" s="2974" t="s">
        <v>3138</v>
      </c>
      <c r="I10" s="2974" t="s">
        <v>3158</v>
      </c>
      <c r="J10" s="2974">
        <v>3267</v>
      </c>
      <c r="K10" s="2974">
        <v>3286</v>
      </c>
      <c r="L10" s="2974">
        <v>412.08</v>
      </c>
      <c r="M10" s="2974">
        <f t="shared" si="1"/>
        <v>701</v>
      </c>
      <c r="N10" s="2974">
        <v>0.57999999999999996</v>
      </c>
      <c r="O10" s="2974" t="s">
        <v>3151</v>
      </c>
      <c r="P10" s="2974" t="s">
        <v>3141</v>
      </c>
    </row>
    <row r="11" spans="1:16" ht="24">
      <c r="A11" s="2974" t="s">
        <v>3160</v>
      </c>
      <c r="B11" s="2974" t="s">
        <v>3135</v>
      </c>
      <c r="C11" s="2974" t="s">
        <v>3136</v>
      </c>
      <c r="D11" s="2974">
        <v>8599.9</v>
      </c>
      <c r="E11" s="2974">
        <v>17199.8</v>
      </c>
      <c r="F11" s="2974" t="s">
        <v>3155</v>
      </c>
      <c r="G11" s="2974">
        <f t="shared" si="0"/>
        <v>2</v>
      </c>
      <c r="H11" s="2974" t="s">
        <v>3138</v>
      </c>
      <c r="I11" s="2974" t="s">
        <v>3158</v>
      </c>
      <c r="J11" s="2974">
        <v>304</v>
      </c>
      <c r="K11" s="2974">
        <v>308</v>
      </c>
      <c r="L11" s="2974">
        <v>179.06</v>
      </c>
      <c r="M11" s="2974">
        <f t="shared" si="1"/>
        <v>358</v>
      </c>
      <c r="N11" s="2974">
        <v>1.32</v>
      </c>
      <c r="O11" s="2974" t="s">
        <v>3151</v>
      </c>
      <c r="P11" s="2974" t="s">
        <v>3141</v>
      </c>
    </row>
    <row r="12" spans="1:16" ht="24">
      <c r="A12" s="2974" t="s">
        <v>3161</v>
      </c>
      <c r="B12" s="2974" t="s">
        <v>3135</v>
      </c>
      <c r="C12" s="2974" t="s">
        <v>3136</v>
      </c>
      <c r="D12" s="2974">
        <v>4741.7</v>
      </c>
      <c r="E12" s="2974">
        <v>9483.4</v>
      </c>
      <c r="F12" s="2974" t="s">
        <v>3155</v>
      </c>
      <c r="G12" s="2974">
        <f t="shared" si="0"/>
        <v>2</v>
      </c>
      <c r="H12" s="2974" t="s">
        <v>3138</v>
      </c>
      <c r="I12" s="2974" t="s">
        <v>3162</v>
      </c>
      <c r="J12" s="2974">
        <v>168</v>
      </c>
      <c r="K12" s="2974">
        <v>170</v>
      </c>
      <c r="L12" s="2974">
        <v>179.25</v>
      </c>
      <c r="M12" s="2974">
        <f t="shared" si="1"/>
        <v>359</v>
      </c>
      <c r="N12" s="2974">
        <v>1.19</v>
      </c>
      <c r="O12" s="2974" t="s">
        <v>3151</v>
      </c>
      <c r="P12" s="2974" t="s">
        <v>3141</v>
      </c>
    </row>
    <row r="13" spans="1:16" ht="24">
      <c r="A13" s="2974" t="s">
        <v>3163</v>
      </c>
      <c r="B13" s="2974" t="s">
        <v>3135</v>
      </c>
      <c r="C13" s="2974" t="s">
        <v>3136</v>
      </c>
      <c r="D13" s="2974">
        <v>5936</v>
      </c>
      <c r="E13" s="2974">
        <v>11872</v>
      </c>
      <c r="F13" s="2974" t="s">
        <v>3155</v>
      </c>
      <c r="G13" s="2974">
        <f t="shared" si="0"/>
        <v>2</v>
      </c>
      <c r="H13" s="2974" t="s">
        <v>3138</v>
      </c>
      <c r="I13" s="2974" t="s">
        <v>3162</v>
      </c>
      <c r="J13" s="2974">
        <v>210</v>
      </c>
      <c r="K13" s="2974">
        <v>213</v>
      </c>
      <c r="L13" s="2974">
        <v>179.4</v>
      </c>
      <c r="M13" s="2974">
        <f t="shared" si="1"/>
        <v>359</v>
      </c>
      <c r="N13" s="2974">
        <v>1.43</v>
      </c>
      <c r="O13" s="2974" t="s">
        <v>3151</v>
      </c>
      <c r="P13" s="2974" t="s">
        <v>3141</v>
      </c>
    </row>
    <row r="14" spans="1:16" ht="24">
      <c r="A14" s="2974" t="s">
        <v>3164</v>
      </c>
      <c r="B14" s="2974" t="s">
        <v>3135</v>
      </c>
      <c r="C14" s="2974" t="s">
        <v>3136</v>
      </c>
      <c r="D14" s="2974">
        <v>45455.9</v>
      </c>
      <c r="E14" s="2974">
        <v>77275.03</v>
      </c>
      <c r="F14" s="2974" t="s">
        <v>3149</v>
      </c>
      <c r="G14" s="2974">
        <f t="shared" si="0"/>
        <v>1.7</v>
      </c>
      <c r="H14" s="2974" t="s">
        <v>3138</v>
      </c>
      <c r="I14" s="2974" t="s">
        <v>3162</v>
      </c>
      <c r="J14" s="2974">
        <v>3162</v>
      </c>
      <c r="K14" s="2974">
        <v>3181</v>
      </c>
      <c r="L14" s="2974">
        <v>411.64</v>
      </c>
      <c r="M14" s="2974">
        <f t="shared" si="1"/>
        <v>700</v>
      </c>
      <c r="N14" s="2974">
        <v>0.6</v>
      </c>
      <c r="O14" s="2974" t="s">
        <v>3151</v>
      </c>
      <c r="P14" s="2974" t="s">
        <v>3141</v>
      </c>
    </row>
    <row r="15" spans="1:16" ht="24">
      <c r="A15" s="2974" t="s">
        <v>3165</v>
      </c>
      <c r="B15" s="2974" t="s">
        <v>3135</v>
      </c>
      <c r="C15" s="2974" t="s">
        <v>3136</v>
      </c>
      <c r="D15" s="2974">
        <v>5517.3</v>
      </c>
      <c r="E15" s="2974">
        <v>11034.6</v>
      </c>
      <c r="F15" s="2974" t="s">
        <v>3155</v>
      </c>
      <c r="G15" s="2974">
        <f t="shared" si="0"/>
        <v>2</v>
      </c>
      <c r="H15" s="2974" t="s">
        <v>3138</v>
      </c>
      <c r="I15" s="2974" t="s">
        <v>3166</v>
      </c>
      <c r="J15" s="2974">
        <v>195</v>
      </c>
      <c r="K15" s="2974">
        <v>197</v>
      </c>
      <c r="L15" s="2974">
        <v>178.53</v>
      </c>
      <c r="M15" s="2974">
        <f t="shared" si="1"/>
        <v>357</v>
      </c>
      <c r="N15" s="2974">
        <v>1.03</v>
      </c>
      <c r="O15" s="2974" t="s">
        <v>3151</v>
      </c>
      <c r="P15" s="2974" t="s">
        <v>3141</v>
      </c>
    </row>
    <row r="16" spans="1:16" ht="24">
      <c r="A16" s="2974" t="s">
        <v>3167</v>
      </c>
      <c r="B16" s="2974" t="s">
        <v>3135</v>
      </c>
      <c r="C16" s="2974" t="s">
        <v>3136</v>
      </c>
      <c r="D16" s="2974">
        <v>12171.8</v>
      </c>
      <c r="E16" s="2974">
        <v>24343.599999999999</v>
      </c>
      <c r="F16" s="2974" t="s">
        <v>3155</v>
      </c>
      <c r="G16" s="2974">
        <f t="shared" si="0"/>
        <v>2</v>
      </c>
      <c r="H16" s="2974" t="s">
        <v>3138</v>
      </c>
      <c r="I16" s="2974" t="s">
        <v>3166</v>
      </c>
      <c r="J16" s="2974">
        <v>430</v>
      </c>
      <c r="K16" s="2974">
        <v>433</v>
      </c>
      <c r="L16" s="2974">
        <v>177.87</v>
      </c>
      <c r="M16" s="2974">
        <f t="shared" si="1"/>
        <v>356</v>
      </c>
      <c r="N16" s="2974">
        <v>0.7</v>
      </c>
      <c r="O16" s="2974" t="s">
        <v>3151</v>
      </c>
      <c r="P16" s="2974" t="s">
        <v>3141</v>
      </c>
    </row>
    <row r="17" spans="1:16" ht="24">
      <c r="A17" s="2974" t="s">
        <v>3168</v>
      </c>
      <c r="B17" s="2974" t="s">
        <v>3135</v>
      </c>
      <c r="C17" s="2974" t="s">
        <v>3136</v>
      </c>
      <c r="D17" s="2974">
        <v>18263.8</v>
      </c>
      <c r="E17" s="2974">
        <v>31048.46</v>
      </c>
      <c r="F17" s="2974" t="s">
        <v>3149</v>
      </c>
      <c r="G17" s="2974">
        <f t="shared" si="0"/>
        <v>1.7</v>
      </c>
      <c r="H17" s="2974" t="s">
        <v>3138</v>
      </c>
      <c r="I17" s="2974" t="s">
        <v>3166</v>
      </c>
      <c r="J17" s="2974">
        <v>1270</v>
      </c>
      <c r="K17" s="2974">
        <v>1278</v>
      </c>
      <c r="L17" s="2974">
        <v>411.61</v>
      </c>
      <c r="M17" s="2974">
        <f t="shared" si="1"/>
        <v>700</v>
      </c>
      <c r="N17" s="2974">
        <v>0.63</v>
      </c>
      <c r="O17" s="2974" t="s">
        <v>3151</v>
      </c>
      <c r="P17" s="2974" t="s">
        <v>3141</v>
      </c>
    </row>
    <row r="18" spans="1:16" ht="24">
      <c r="A18" s="2974" t="s">
        <v>3169</v>
      </c>
      <c r="B18" s="2974" t="s">
        <v>3135</v>
      </c>
      <c r="C18" s="2974" t="s">
        <v>3136</v>
      </c>
      <c r="D18" s="2974">
        <v>8024.8</v>
      </c>
      <c r="E18" s="2974">
        <v>20062</v>
      </c>
      <c r="F18" s="2974" t="s">
        <v>3170</v>
      </c>
      <c r="G18" s="2974">
        <f t="shared" si="0"/>
        <v>2.5</v>
      </c>
      <c r="H18" s="2974" t="s">
        <v>3138</v>
      </c>
      <c r="I18" s="2974" t="s">
        <v>3171</v>
      </c>
      <c r="J18" s="2974">
        <v>568</v>
      </c>
      <c r="K18" s="2974">
        <v>571</v>
      </c>
      <c r="L18" s="2974">
        <v>284.62</v>
      </c>
      <c r="M18" s="2974">
        <f t="shared" si="1"/>
        <v>712</v>
      </c>
      <c r="N18" s="2974">
        <v>0.53</v>
      </c>
      <c r="O18" s="2974" t="s">
        <v>3172</v>
      </c>
      <c r="P18" s="2974" t="s">
        <v>3141</v>
      </c>
    </row>
    <row r="19" spans="1:16" ht="24">
      <c r="A19" s="2974" t="s">
        <v>3173</v>
      </c>
      <c r="B19" s="2974" t="s">
        <v>3135</v>
      </c>
      <c r="C19" s="2974" t="s">
        <v>3136</v>
      </c>
      <c r="D19" s="2974">
        <v>5359.5</v>
      </c>
      <c r="E19" s="2974">
        <v>10719</v>
      </c>
      <c r="F19" s="2974" t="s">
        <v>3155</v>
      </c>
      <c r="G19" s="2974">
        <f t="shared" si="0"/>
        <v>2</v>
      </c>
      <c r="H19" s="2974" t="s">
        <v>3138</v>
      </c>
      <c r="I19" s="2974" t="s">
        <v>3171</v>
      </c>
      <c r="J19" s="2974">
        <v>190</v>
      </c>
      <c r="K19" s="2974">
        <v>192</v>
      </c>
      <c r="L19" s="2974">
        <v>179.12</v>
      </c>
      <c r="M19" s="2974">
        <f t="shared" si="1"/>
        <v>358</v>
      </c>
      <c r="N19" s="2974">
        <v>1.05</v>
      </c>
      <c r="O19" s="2974" t="s">
        <v>3151</v>
      </c>
      <c r="P19" s="2974" t="s">
        <v>3141</v>
      </c>
    </row>
    <row r="20" spans="1:16" ht="24">
      <c r="A20" s="2974" t="s">
        <v>3174</v>
      </c>
      <c r="B20" s="2974" t="s">
        <v>3135</v>
      </c>
      <c r="C20" s="2974" t="s">
        <v>3136</v>
      </c>
      <c r="D20" s="2974">
        <v>28319.5</v>
      </c>
      <c r="E20" s="2974">
        <v>48143.15</v>
      </c>
      <c r="F20" s="2974" t="s">
        <v>3149</v>
      </c>
      <c r="G20" s="2974">
        <f t="shared" si="0"/>
        <v>1.7</v>
      </c>
      <c r="H20" s="2974" t="s">
        <v>3138</v>
      </c>
      <c r="I20" s="2974" t="s">
        <v>3171</v>
      </c>
      <c r="J20" s="2974">
        <v>1969</v>
      </c>
      <c r="K20" s="2974">
        <v>1980</v>
      </c>
      <c r="L20" s="2974">
        <v>411.26</v>
      </c>
      <c r="M20" s="2974">
        <f>ROUND(K20/D20*10000,0)</f>
        <v>699</v>
      </c>
      <c r="N20" s="2974">
        <v>0.56000000000000005</v>
      </c>
      <c r="O20" s="2974" t="s">
        <v>3151</v>
      </c>
      <c r="P20" s="2974" t="s">
        <v>3141</v>
      </c>
    </row>
    <row r="21" spans="1:16" ht="24">
      <c r="A21" s="2974" t="s">
        <v>3175</v>
      </c>
      <c r="B21" s="2974" t="s">
        <v>3135</v>
      </c>
      <c r="C21" s="2974" t="s">
        <v>3136</v>
      </c>
      <c r="D21" s="2974">
        <v>5239</v>
      </c>
      <c r="E21" s="2974">
        <v>10478</v>
      </c>
      <c r="F21" s="2974" t="s">
        <v>3155</v>
      </c>
      <c r="G21" s="2974">
        <f t="shared" si="0"/>
        <v>2</v>
      </c>
      <c r="H21" s="2974" t="s">
        <v>3138</v>
      </c>
      <c r="I21" s="2974" t="s">
        <v>3171</v>
      </c>
      <c r="J21" s="2974">
        <v>185</v>
      </c>
      <c r="K21" s="2974">
        <v>186</v>
      </c>
      <c r="L21" s="2974">
        <v>177.5</v>
      </c>
      <c r="M21" s="2974">
        <f t="shared" si="1"/>
        <v>355</v>
      </c>
      <c r="N21" s="2974">
        <v>0.54</v>
      </c>
      <c r="O21" s="2974" t="s">
        <v>3151</v>
      </c>
      <c r="P21" s="2974" t="s">
        <v>3141</v>
      </c>
    </row>
    <row r="22" spans="1:16" ht="24">
      <c r="A22" s="2974" t="s">
        <v>3176</v>
      </c>
      <c r="B22" s="2974" t="s">
        <v>3135</v>
      </c>
      <c r="C22" s="2974" t="s">
        <v>3136</v>
      </c>
      <c r="D22" s="2974">
        <v>44884</v>
      </c>
      <c r="E22" s="2974">
        <v>112210</v>
      </c>
      <c r="F22" s="2974" t="s">
        <v>3170</v>
      </c>
      <c r="G22" s="2974">
        <f t="shared" si="0"/>
        <v>2.5</v>
      </c>
      <c r="H22" s="2974" t="s">
        <v>3138</v>
      </c>
      <c r="I22" s="2974" t="s">
        <v>3177</v>
      </c>
      <c r="J22" s="2974">
        <v>2334</v>
      </c>
      <c r="K22" s="2974">
        <v>2341</v>
      </c>
      <c r="L22" s="2974">
        <v>208.62</v>
      </c>
      <c r="M22" s="2974">
        <f t="shared" si="1"/>
        <v>522</v>
      </c>
      <c r="N22" s="2974">
        <v>0.3</v>
      </c>
      <c r="O22" s="2974" t="s">
        <v>3178</v>
      </c>
      <c r="P22" s="2974" t="s">
        <v>3141</v>
      </c>
    </row>
    <row r="23" spans="1:16" ht="24">
      <c r="A23" s="2974" t="s">
        <v>3179</v>
      </c>
      <c r="B23" s="2974" t="s">
        <v>3135</v>
      </c>
      <c r="C23" s="2974" t="s">
        <v>3136</v>
      </c>
      <c r="D23" s="2974">
        <v>14780</v>
      </c>
      <c r="E23" s="2974">
        <v>36950</v>
      </c>
      <c r="F23" s="2974" t="s">
        <v>3170</v>
      </c>
      <c r="G23" s="2974">
        <f t="shared" si="0"/>
        <v>2.5</v>
      </c>
      <c r="H23" s="2974" t="s">
        <v>3138</v>
      </c>
      <c r="I23" s="2974" t="s">
        <v>3177</v>
      </c>
      <c r="J23" s="2974">
        <v>769</v>
      </c>
      <c r="K23" s="2974">
        <v>772</v>
      </c>
      <c r="L23" s="2974">
        <v>208.93</v>
      </c>
      <c r="M23" s="2974">
        <f t="shared" si="1"/>
        <v>522</v>
      </c>
      <c r="N23" s="2974">
        <v>0.39</v>
      </c>
      <c r="O23" s="2974" t="s">
        <v>3178</v>
      </c>
      <c r="P23" s="2974" t="s">
        <v>3141</v>
      </c>
    </row>
    <row r="24" spans="1:16" ht="24">
      <c r="A24" s="2974" t="s">
        <v>3180</v>
      </c>
      <c r="B24" s="2974" t="s">
        <v>3135</v>
      </c>
      <c r="C24" s="2974" t="s">
        <v>3136</v>
      </c>
      <c r="D24" s="2974">
        <v>3319.2</v>
      </c>
      <c r="E24" s="2974">
        <v>8298</v>
      </c>
      <c r="F24" s="2974" t="s">
        <v>3170</v>
      </c>
      <c r="G24" s="2974">
        <f t="shared" si="0"/>
        <v>2.5</v>
      </c>
      <c r="H24" s="2974" t="s">
        <v>3138</v>
      </c>
      <c r="I24" s="2974" t="s">
        <v>3181</v>
      </c>
      <c r="J24" s="2974">
        <v>225</v>
      </c>
      <c r="K24" s="2974">
        <v>229</v>
      </c>
      <c r="L24" s="2974">
        <v>275.97000000000003</v>
      </c>
      <c r="M24" s="2974">
        <f t="shared" si="1"/>
        <v>690</v>
      </c>
      <c r="N24" s="2974">
        <v>1.78</v>
      </c>
      <c r="O24" s="2974" t="s">
        <v>3182</v>
      </c>
      <c r="P24" s="2974" t="s">
        <v>3141</v>
      </c>
    </row>
    <row r="25" spans="1:16" ht="24">
      <c r="A25" s="2974" t="s">
        <v>3183</v>
      </c>
      <c r="B25" s="2974" t="s">
        <v>3135</v>
      </c>
      <c r="C25" s="2974" t="s">
        <v>3136</v>
      </c>
      <c r="D25" s="2974">
        <v>20855.900000000001</v>
      </c>
      <c r="E25" s="2974">
        <v>41711.800000000003</v>
      </c>
      <c r="F25" s="2974" t="s">
        <v>3155</v>
      </c>
      <c r="G25" s="2974">
        <f t="shared" si="0"/>
        <v>2</v>
      </c>
      <c r="H25" s="2974" t="s">
        <v>3138</v>
      </c>
      <c r="I25" s="2974" t="s">
        <v>3184</v>
      </c>
      <c r="J25" s="2974">
        <v>722</v>
      </c>
      <c r="K25" s="2974">
        <v>724</v>
      </c>
      <c r="L25" s="2974">
        <v>173.56</v>
      </c>
      <c r="M25" s="2974">
        <f t="shared" si="1"/>
        <v>347</v>
      </c>
      <c r="N25" s="2974">
        <v>0.28000000000000003</v>
      </c>
      <c r="O25" s="2974" t="s">
        <v>3185</v>
      </c>
      <c r="P25" s="2974" t="s">
        <v>3141</v>
      </c>
    </row>
    <row r="26" spans="1:16" ht="24">
      <c r="A26" s="2974" t="s">
        <v>3186</v>
      </c>
      <c r="B26" s="2974" t="s">
        <v>3135</v>
      </c>
      <c r="C26" s="2974" t="s">
        <v>3136</v>
      </c>
      <c r="D26" s="2974">
        <v>9003</v>
      </c>
      <c r="E26" s="2974">
        <v>22507.5</v>
      </c>
      <c r="F26" s="2974" t="s">
        <v>3170</v>
      </c>
      <c r="G26" s="2974">
        <f t="shared" si="0"/>
        <v>2.5</v>
      </c>
      <c r="H26" s="2974" t="s">
        <v>3138</v>
      </c>
      <c r="I26" s="2974" t="s">
        <v>3187</v>
      </c>
      <c r="J26" s="2974">
        <v>392</v>
      </c>
      <c r="K26" s="2974">
        <v>395</v>
      </c>
      <c r="L26" s="2974">
        <v>175.5</v>
      </c>
      <c r="M26" s="2974">
        <f t="shared" si="1"/>
        <v>439</v>
      </c>
      <c r="N26" s="2974">
        <v>0.77</v>
      </c>
      <c r="O26" s="2974" t="s">
        <v>3188</v>
      </c>
      <c r="P26" s="2974" t="s">
        <v>3141</v>
      </c>
    </row>
    <row r="27" spans="1:16" ht="24">
      <c r="A27" s="2974" t="s">
        <v>3189</v>
      </c>
      <c r="B27" s="2974" t="s">
        <v>3135</v>
      </c>
      <c r="C27" s="2974" t="s">
        <v>3136</v>
      </c>
      <c r="D27" s="2974">
        <v>6704</v>
      </c>
      <c r="E27" s="2974">
        <v>16760</v>
      </c>
      <c r="F27" s="2974" t="s">
        <v>3170</v>
      </c>
      <c r="G27" s="2974">
        <f t="shared" si="0"/>
        <v>2.5</v>
      </c>
      <c r="H27" s="2974" t="s">
        <v>3138</v>
      </c>
      <c r="I27" s="2974" t="s">
        <v>3190</v>
      </c>
      <c r="J27" s="2974">
        <v>304</v>
      </c>
      <c r="K27" s="2974">
        <v>308</v>
      </c>
      <c r="L27" s="2974">
        <v>183.77</v>
      </c>
      <c r="M27" s="2974">
        <f t="shared" si="1"/>
        <v>459</v>
      </c>
      <c r="N27" s="2974">
        <v>1.32</v>
      </c>
      <c r="O27" s="2974" t="s">
        <v>3191</v>
      </c>
      <c r="P27" s="2974" t="s">
        <v>3141</v>
      </c>
    </row>
    <row r="28" spans="1:16" ht="24">
      <c r="A28" s="2974" t="s">
        <v>3192</v>
      </c>
      <c r="B28" s="2974" t="s">
        <v>3135</v>
      </c>
      <c r="C28" s="2974" t="s">
        <v>3136</v>
      </c>
      <c r="D28" s="2974">
        <v>3969.5</v>
      </c>
      <c r="E28" s="2974">
        <v>7939</v>
      </c>
      <c r="F28" s="2974" t="s">
        <v>3155</v>
      </c>
      <c r="G28" s="2974">
        <f t="shared" si="0"/>
        <v>2</v>
      </c>
      <c r="H28" s="2974" t="s">
        <v>3138</v>
      </c>
      <c r="I28" s="2974" t="s">
        <v>3193</v>
      </c>
      <c r="J28" s="2974">
        <v>183</v>
      </c>
      <c r="K28" s="2974">
        <v>184</v>
      </c>
      <c r="L28" s="2974">
        <v>231.77</v>
      </c>
      <c r="M28" s="2974">
        <f t="shared" si="1"/>
        <v>464</v>
      </c>
      <c r="N28" s="2974">
        <v>0.55000000000000004</v>
      </c>
      <c r="O28" s="2974" t="s">
        <v>3194</v>
      </c>
      <c r="P28" s="2974" t="s">
        <v>3141</v>
      </c>
    </row>
    <row r="29" spans="1:16" ht="24">
      <c r="A29" s="2974" t="s">
        <v>3195</v>
      </c>
      <c r="B29" s="2974" t="s">
        <v>3135</v>
      </c>
      <c r="C29" s="2974" t="s">
        <v>3136</v>
      </c>
      <c r="D29" s="2974">
        <v>8207.9</v>
      </c>
      <c r="E29" s="2974">
        <v>20519.75</v>
      </c>
      <c r="F29" s="2974" t="s">
        <v>3170</v>
      </c>
      <c r="G29" s="2974">
        <f t="shared" si="0"/>
        <v>2.5</v>
      </c>
      <c r="H29" s="2974" t="s">
        <v>3138</v>
      </c>
      <c r="I29" s="2974" t="s">
        <v>3196</v>
      </c>
      <c r="J29" s="2974">
        <v>354</v>
      </c>
      <c r="K29" s="2974">
        <v>357</v>
      </c>
      <c r="L29" s="2974">
        <v>173.97</v>
      </c>
      <c r="M29" s="2974">
        <f t="shared" si="1"/>
        <v>435</v>
      </c>
      <c r="N29" s="2974">
        <v>0.85</v>
      </c>
      <c r="O29" s="2974" t="s">
        <v>3197</v>
      </c>
      <c r="P29" s="2974" t="s">
        <v>3141</v>
      </c>
    </row>
    <row r="30" spans="1:16" ht="24">
      <c r="A30" s="2974" t="s">
        <v>3198</v>
      </c>
      <c r="B30" s="2974" t="s">
        <v>3135</v>
      </c>
      <c r="C30" s="2974" t="s">
        <v>3136</v>
      </c>
      <c r="D30" s="2974">
        <v>5939.1</v>
      </c>
      <c r="E30" s="2974">
        <v>14847.75</v>
      </c>
      <c r="F30" s="2974" t="s">
        <v>3199</v>
      </c>
      <c r="G30" s="2974">
        <f t="shared" si="0"/>
        <v>2.5</v>
      </c>
      <c r="H30" s="2974" t="s">
        <v>3138</v>
      </c>
      <c r="I30" s="2974" t="s">
        <v>3200</v>
      </c>
      <c r="J30" s="2974">
        <v>118</v>
      </c>
      <c r="K30" s="2974">
        <v>119</v>
      </c>
      <c r="L30" s="2974">
        <v>80.150000000000006</v>
      </c>
      <c r="M30" s="2974">
        <f t="shared" si="1"/>
        <v>200</v>
      </c>
      <c r="N30" s="2974">
        <v>0.85</v>
      </c>
      <c r="O30" s="2974" t="s">
        <v>3201</v>
      </c>
      <c r="P30" s="2974" t="s">
        <v>3141</v>
      </c>
    </row>
    <row r="31" spans="1:16" ht="24">
      <c r="A31" s="2974" t="s">
        <v>3202</v>
      </c>
      <c r="B31" s="2974" t="s">
        <v>3135</v>
      </c>
      <c r="C31" s="2974" t="s">
        <v>3136</v>
      </c>
      <c r="D31" s="2974">
        <v>21315.8</v>
      </c>
      <c r="E31" s="2974">
        <v>53289.5</v>
      </c>
      <c r="F31" s="2974" t="s">
        <v>3199</v>
      </c>
      <c r="G31" s="2974">
        <f t="shared" si="0"/>
        <v>2.5</v>
      </c>
      <c r="H31" s="2974" t="s">
        <v>3138</v>
      </c>
      <c r="I31" s="2974" t="s">
        <v>3200</v>
      </c>
      <c r="J31" s="2974">
        <v>420</v>
      </c>
      <c r="K31" s="2974">
        <v>421</v>
      </c>
      <c r="L31" s="2974">
        <v>79</v>
      </c>
      <c r="M31" s="2974">
        <f t="shared" si="1"/>
        <v>198</v>
      </c>
      <c r="N31" s="2974">
        <v>0.24</v>
      </c>
      <c r="O31" s="2974" t="s">
        <v>3201</v>
      </c>
      <c r="P31" s="2974" t="s">
        <v>3141</v>
      </c>
    </row>
    <row r="32" spans="1:16" ht="24">
      <c r="A32" s="2974" t="s">
        <v>3203</v>
      </c>
      <c r="B32" s="2974" t="s">
        <v>3135</v>
      </c>
      <c r="C32" s="2974" t="s">
        <v>3136</v>
      </c>
      <c r="D32" s="2974">
        <v>5735.3</v>
      </c>
      <c r="E32" s="2974">
        <v>11470.6</v>
      </c>
      <c r="F32" s="2974" t="s">
        <v>3155</v>
      </c>
      <c r="G32" s="2974">
        <f t="shared" si="0"/>
        <v>2</v>
      </c>
      <c r="H32" s="2974" t="s">
        <v>3138</v>
      </c>
      <c r="I32" s="2974" t="s">
        <v>3204</v>
      </c>
      <c r="J32" s="2974">
        <v>188</v>
      </c>
      <c r="K32" s="2974">
        <v>189</v>
      </c>
      <c r="L32" s="2974">
        <v>164.77</v>
      </c>
      <c r="M32" s="2974">
        <f t="shared" si="1"/>
        <v>330</v>
      </c>
      <c r="N32" s="2974">
        <v>0.53</v>
      </c>
      <c r="O32" s="2974" t="s">
        <v>3205</v>
      </c>
      <c r="P32" s="2974" t="s">
        <v>3141</v>
      </c>
    </row>
    <row r="33" spans="1:16" ht="24">
      <c r="A33" s="2974" t="s">
        <v>3206</v>
      </c>
      <c r="B33" s="2974" t="s">
        <v>3135</v>
      </c>
      <c r="C33" s="2974" t="s">
        <v>3136</v>
      </c>
      <c r="D33" s="2974">
        <v>24858</v>
      </c>
      <c r="E33" s="2974">
        <v>87003</v>
      </c>
      <c r="F33" s="2974" t="s">
        <v>3137</v>
      </c>
      <c r="G33" s="2974">
        <f t="shared" si="0"/>
        <v>3.5</v>
      </c>
      <c r="H33" s="2974" t="s">
        <v>3138</v>
      </c>
      <c r="I33" s="2974" t="s">
        <v>3207</v>
      </c>
      <c r="J33" s="2974">
        <v>393</v>
      </c>
      <c r="K33" s="2974">
        <v>395</v>
      </c>
      <c r="L33" s="2974">
        <v>45.39</v>
      </c>
      <c r="M33" s="2974">
        <f t="shared" si="1"/>
        <v>159</v>
      </c>
      <c r="N33" s="2974">
        <v>0.51</v>
      </c>
      <c r="O33" s="2974" t="s">
        <v>3208</v>
      </c>
      <c r="P33" s="2974" t="s">
        <v>3141</v>
      </c>
    </row>
    <row r="34" spans="1:16" ht="24">
      <c r="A34" s="2974" t="s">
        <v>3206</v>
      </c>
      <c r="B34" s="2974" t="s">
        <v>3135</v>
      </c>
      <c r="C34" s="2974" t="s">
        <v>3136</v>
      </c>
      <c r="D34" s="2974">
        <v>23772</v>
      </c>
      <c r="E34" s="2974">
        <v>83202</v>
      </c>
      <c r="F34" s="2974" t="s">
        <v>3137</v>
      </c>
      <c r="G34" s="2974">
        <f t="shared" si="0"/>
        <v>3.5</v>
      </c>
      <c r="H34" s="2974" t="s">
        <v>3138</v>
      </c>
      <c r="I34" s="2974" t="s">
        <v>3207</v>
      </c>
      <c r="J34" s="2974">
        <v>376</v>
      </c>
      <c r="K34" s="2974">
        <v>378</v>
      </c>
      <c r="L34" s="2974">
        <v>45.42</v>
      </c>
      <c r="M34" s="2974">
        <f t="shared" si="1"/>
        <v>159</v>
      </c>
      <c r="N34" s="2974">
        <v>0.53</v>
      </c>
      <c r="O34" s="2974" t="s">
        <v>3208</v>
      </c>
      <c r="P34" s="2974" t="s">
        <v>3141</v>
      </c>
    </row>
    <row r="35" spans="1:16" ht="24">
      <c r="A35" s="2974" t="s">
        <v>3209</v>
      </c>
      <c r="B35" s="2974" t="s">
        <v>3135</v>
      </c>
      <c r="C35" s="2974" t="s">
        <v>3136</v>
      </c>
      <c r="D35" s="2974">
        <v>9216.5</v>
      </c>
      <c r="E35" s="2974">
        <v>23041.25</v>
      </c>
      <c r="F35" s="2974" t="s">
        <v>3199</v>
      </c>
      <c r="G35" s="2974">
        <f t="shared" si="0"/>
        <v>2.5</v>
      </c>
      <c r="H35" s="2974" t="s">
        <v>3138</v>
      </c>
      <c r="I35" s="2974" t="s">
        <v>3210</v>
      </c>
      <c r="J35" s="2974">
        <v>98</v>
      </c>
      <c r="K35" s="2974">
        <v>99</v>
      </c>
      <c r="L35" s="2974">
        <v>42.96</v>
      </c>
      <c r="M35" s="2974">
        <f t="shared" si="1"/>
        <v>107</v>
      </c>
      <c r="N35" s="2974">
        <v>1.02</v>
      </c>
      <c r="O35" s="2974" t="s">
        <v>3211</v>
      </c>
      <c r="P35" s="2974" t="s">
        <v>3141</v>
      </c>
    </row>
    <row r="36" spans="1:16" ht="24">
      <c r="A36" s="2974" t="s">
        <v>3212</v>
      </c>
      <c r="B36" s="2974" t="s">
        <v>3135</v>
      </c>
      <c r="C36" s="2974" t="s">
        <v>3136</v>
      </c>
      <c r="D36" s="2974">
        <v>14990.1</v>
      </c>
      <c r="E36" s="2974">
        <v>29980.2</v>
      </c>
      <c r="F36" s="2974" t="s">
        <v>3155</v>
      </c>
      <c r="G36" s="2974">
        <f t="shared" si="0"/>
        <v>2</v>
      </c>
      <c r="H36" s="2974" t="s">
        <v>3138</v>
      </c>
      <c r="I36" s="2974" t="s">
        <v>3213</v>
      </c>
      <c r="J36" s="2974">
        <v>633</v>
      </c>
      <c r="K36" s="2974">
        <v>636</v>
      </c>
      <c r="L36" s="2974">
        <v>212.13</v>
      </c>
      <c r="M36" s="2974">
        <f t="shared" si="1"/>
        <v>424</v>
      </c>
      <c r="N36" s="2974">
        <v>0.47</v>
      </c>
      <c r="O36" s="2974" t="s">
        <v>3214</v>
      </c>
      <c r="P36" s="2974" t="s">
        <v>3141</v>
      </c>
    </row>
    <row r="37" spans="1:16" ht="24">
      <c r="A37" s="2974" t="s">
        <v>3215</v>
      </c>
      <c r="B37" s="2974" t="s">
        <v>3135</v>
      </c>
      <c r="C37" s="2974" t="s">
        <v>3136</v>
      </c>
      <c r="D37" s="2974">
        <v>4517.3999999999996</v>
      </c>
      <c r="E37" s="2974">
        <v>12648.72</v>
      </c>
      <c r="F37" s="2974" t="s">
        <v>3216</v>
      </c>
      <c r="G37" s="2974">
        <f t="shared" si="0"/>
        <v>2.8</v>
      </c>
      <c r="H37" s="2974" t="s">
        <v>3138</v>
      </c>
      <c r="I37" s="2974" t="s">
        <v>3217</v>
      </c>
      <c r="J37" s="2974">
        <v>71</v>
      </c>
      <c r="K37" s="2974">
        <v>72</v>
      </c>
      <c r="L37" s="2974">
        <v>56.92</v>
      </c>
      <c r="M37" s="2974">
        <f t="shared" si="1"/>
        <v>159</v>
      </c>
      <c r="N37" s="2974">
        <v>1.41</v>
      </c>
      <c r="O37" s="2974" t="s">
        <v>3218</v>
      </c>
      <c r="P37" s="2974" t="s">
        <v>3141</v>
      </c>
    </row>
    <row r="38" spans="1:16" ht="24">
      <c r="A38" s="2974" t="s">
        <v>3219</v>
      </c>
      <c r="B38" s="2974" t="s">
        <v>3135</v>
      </c>
      <c r="C38" s="2974" t="s">
        <v>3136</v>
      </c>
      <c r="D38" s="2974">
        <v>4781.3999999999996</v>
      </c>
      <c r="E38" s="2974">
        <v>14344.2</v>
      </c>
      <c r="F38" s="2974" t="s">
        <v>3145</v>
      </c>
      <c r="G38" s="2974">
        <f t="shared" si="0"/>
        <v>3</v>
      </c>
      <c r="H38" s="2974" t="s">
        <v>3138</v>
      </c>
      <c r="I38" s="2974" t="s">
        <v>3217</v>
      </c>
      <c r="J38" s="2974">
        <v>51</v>
      </c>
      <c r="K38" s="2974">
        <v>52</v>
      </c>
      <c r="L38" s="2974">
        <v>36.25</v>
      </c>
      <c r="M38" s="2974">
        <f t="shared" si="1"/>
        <v>109</v>
      </c>
      <c r="N38" s="2974">
        <v>1.96</v>
      </c>
      <c r="O38" s="2974" t="s">
        <v>3220</v>
      </c>
      <c r="P38" s="2974" t="s">
        <v>3141</v>
      </c>
    </row>
    <row r="39" spans="1:16" ht="24">
      <c r="A39" s="2974" t="s">
        <v>3221</v>
      </c>
      <c r="B39" s="2974" t="s">
        <v>3135</v>
      </c>
      <c r="C39" s="2974" t="s">
        <v>3136</v>
      </c>
      <c r="D39" s="2974">
        <v>8362</v>
      </c>
      <c r="E39" s="2974">
        <v>25086</v>
      </c>
      <c r="F39" s="2974" t="s">
        <v>3145</v>
      </c>
      <c r="G39" s="2974">
        <f t="shared" si="0"/>
        <v>3</v>
      </c>
      <c r="H39" s="2974" t="s">
        <v>3138</v>
      </c>
      <c r="I39" s="2974" t="s">
        <v>3222</v>
      </c>
      <c r="J39" s="2974">
        <v>571</v>
      </c>
      <c r="K39" s="2974">
        <v>572</v>
      </c>
      <c r="L39" s="2974">
        <v>228.02</v>
      </c>
      <c r="M39" s="2974">
        <f t="shared" si="1"/>
        <v>684</v>
      </c>
      <c r="N39" s="2974">
        <v>0.18</v>
      </c>
      <c r="O39" s="2974" t="s">
        <v>3151</v>
      </c>
      <c r="P39" s="2974" t="s">
        <v>3141</v>
      </c>
    </row>
    <row r="40" spans="1:16" ht="24">
      <c r="A40" s="2974" t="s">
        <v>3223</v>
      </c>
      <c r="B40" s="2974" t="s">
        <v>3135</v>
      </c>
      <c r="C40" s="2974" t="s">
        <v>3136</v>
      </c>
      <c r="D40" s="2974">
        <v>8707</v>
      </c>
      <c r="E40" s="2974">
        <v>26121</v>
      </c>
      <c r="F40" s="2974" t="s">
        <v>3145</v>
      </c>
      <c r="G40" s="2974">
        <f t="shared" si="0"/>
        <v>3</v>
      </c>
      <c r="H40" s="2974" t="s">
        <v>3138</v>
      </c>
      <c r="I40" s="2974" t="s">
        <v>3222</v>
      </c>
      <c r="J40" s="2974">
        <v>594</v>
      </c>
      <c r="K40" s="2974">
        <v>595</v>
      </c>
      <c r="L40" s="2974">
        <v>227.78</v>
      </c>
      <c r="M40" s="2974">
        <f t="shared" si="1"/>
        <v>683</v>
      </c>
      <c r="N40" s="2974">
        <v>0.17</v>
      </c>
      <c r="O40" s="2974" t="s">
        <v>3151</v>
      </c>
      <c r="P40" s="2974" t="s">
        <v>3141</v>
      </c>
    </row>
    <row r="41" spans="1:16" ht="24">
      <c r="A41" s="2974" t="s">
        <v>3224</v>
      </c>
      <c r="B41" s="2974" t="s">
        <v>3135</v>
      </c>
      <c r="C41" s="2974" t="s">
        <v>3136</v>
      </c>
      <c r="D41" s="2974">
        <v>2656.2</v>
      </c>
      <c r="E41" s="2974">
        <v>7968.6</v>
      </c>
      <c r="F41" s="2974" t="s">
        <v>3145</v>
      </c>
      <c r="G41" s="2974">
        <f t="shared" si="0"/>
        <v>3</v>
      </c>
      <c r="H41" s="2974" t="s">
        <v>3138</v>
      </c>
      <c r="I41" s="2974" t="s">
        <v>3225</v>
      </c>
      <c r="J41" s="2974">
        <v>32</v>
      </c>
      <c r="K41" s="2974">
        <v>33</v>
      </c>
      <c r="L41" s="2974">
        <v>41.4</v>
      </c>
      <c r="M41" s="2974">
        <f t="shared" si="1"/>
        <v>124</v>
      </c>
      <c r="N41" s="2974">
        <v>3.13</v>
      </c>
      <c r="O41" s="2974" t="s">
        <v>3226</v>
      </c>
      <c r="P41" s="2974" t="s">
        <v>3141</v>
      </c>
    </row>
    <row r="42" spans="1:16" ht="24">
      <c r="A42" s="2974" t="s">
        <v>3224</v>
      </c>
      <c r="B42" s="2974" t="s">
        <v>3135</v>
      </c>
      <c r="C42" s="2974" t="s">
        <v>3136</v>
      </c>
      <c r="D42" s="2974">
        <v>1176.9000000000001</v>
      </c>
      <c r="E42" s="2974">
        <v>3530.7</v>
      </c>
      <c r="F42" s="2974" t="s">
        <v>3145</v>
      </c>
      <c r="G42" s="2974">
        <f t="shared" si="0"/>
        <v>3</v>
      </c>
      <c r="H42" s="2974" t="s">
        <v>3138</v>
      </c>
      <c r="I42" s="2974" t="s">
        <v>3225</v>
      </c>
      <c r="J42" s="2974">
        <v>14</v>
      </c>
      <c r="K42" s="2974">
        <v>15</v>
      </c>
      <c r="L42" s="2974">
        <v>42.47</v>
      </c>
      <c r="M42" s="2974">
        <f t="shared" si="1"/>
        <v>127</v>
      </c>
      <c r="N42" s="2974">
        <v>7.14</v>
      </c>
      <c r="O42" s="2974" t="s">
        <v>3226</v>
      </c>
      <c r="P42" s="2974" t="s">
        <v>3141</v>
      </c>
    </row>
    <row r="43" spans="1:16" ht="24">
      <c r="A43" s="2974" t="s">
        <v>3227</v>
      </c>
      <c r="B43" s="2974" t="s">
        <v>3135</v>
      </c>
      <c r="C43" s="2974" t="s">
        <v>3136</v>
      </c>
      <c r="D43" s="2974">
        <v>46950.1</v>
      </c>
      <c r="E43" s="2974">
        <v>93900.2</v>
      </c>
      <c r="F43" s="2974" t="s">
        <v>3155</v>
      </c>
      <c r="G43" s="2974">
        <f t="shared" si="0"/>
        <v>2</v>
      </c>
      <c r="H43" s="2974" t="s">
        <v>3138</v>
      </c>
      <c r="I43" s="2974" t="s">
        <v>3228</v>
      </c>
      <c r="J43" s="2974">
        <v>1775</v>
      </c>
      <c r="K43" s="2974">
        <v>1778</v>
      </c>
      <c r="L43" s="2974">
        <v>189.34</v>
      </c>
      <c r="M43" s="2974">
        <f t="shared" si="1"/>
        <v>379</v>
      </c>
      <c r="N43" s="2974">
        <v>0.17</v>
      </c>
      <c r="O43" s="2974" t="s">
        <v>3229</v>
      </c>
      <c r="P43" s="2974" t="s">
        <v>3141</v>
      </c>
    </row>
    <row r="44" spans="1:16" ht="24">
      <c r="A44" s="2974" t="s">
        <v>3230</v>
      </c>
      <c r="B44" s="2974" t="s">
        <v>3135</v>
      </c>
      <c r="C44" s="2974" t="s">
        <v>3136</v>
      </c>
      <c r="D44" s="2974">
        <v>59172.5</v>
      </c>
      <c r="E44" s="2974">
        <v>118345</v>
      </c>
      <c r="F44" s="2974" t="s">
        <v>3155</v>
      </c>
      <c r="G44" s="2974">
        <f t="shared" si="0"/>
        <v>2</v>
      </c>
      <c r="H44" s="2974" t="s">
        <v>3138</v>
      </c>
      <c r="I44" s="2974" t="s">
        <v>3228</v>
      </c>
      <c r="J44" s="2974">
        <v>2237</v>
      </c>
      <c r="K44" s="2974">
        <v>2240</v>
      </c>
      <c r="L44" s="2974">
        <v>189.28</v>
      </c>
      <c r="M44" s="2974">
        <f t="shared" si="1"/>
        <v>379</v>
      </c>
      <c r="N44" s="2974">
        <v>0.13</v>
      </c>
      <c r="O44" s="2974" t="s">
        <v>3229</v>
      </c>
      <c r="P44" s="2974" t="s">
        <v>3141</v>
      </c>
    </row>
    <row r="45" spans="1:16" ht="24">
      <c r="A45" s="2974" t="s">
        <v>3231</v>
      </c>
      <c r="B45" s="2974" t="s">
        <v>3135</v>
      </c>
      <c r="C45" s="2974" t="s">
        <v>3136</v>
      </c>
      <c r="D45" s="2974">
        <v>45820.2</v>
      </c>
      <c r="E45" s="2974">
        <v>91640.4</v>
      </c>
      <c r="F45" s="2974" t="s">
        <v>3155</v>
      </c>
      <c r="G45" s="2974">
        <f t="shared" si="0"/>
        <v>2</v>
      </c>
      <c r="H45" s="2974" t="s">
        <v>3138</v>
      </c>
      <c r="I45" s="2974" t="s">
        <v>3228</v>
      </c>
      <c r="J45" s="2974">
        <v>1733</v>
      </c>
      <c r="K45" s="2974">
        <v>1735</v>
      </c>
      <c r="L45" s="2974">
        <v>189.33</v>
      </c>
      <c r="M45" s="2974">
        <f t="shared" si="1"/>
        <v>379</v>
      </c>
      <c r="N45" s="2974">
        <v>0.12</v>
      </c>
      <c r="O45" s="2974" t="s">
        <v>3229</v>
      </c>
      <c r="P45" s="2974" t="s">
        <v>3141</v>
      </c>
    </row>
    <row r="46" spans="1:16" ht="24">
      <c r="A46" s="2974" t="s">
        <v>3232</v>
      </c>
      <c r="B46" s="2974" t="s">
        <v>3135</v>
      </c>
      <c r="C46" s="2974" t="s">
        <v>3136</v>
      </c>
      <c r="D46" s="2974">
        <v>2707</v>
      </c>
      <c r="E46" s="2974">
        <v>2707</v>
      </c>
      <c r="F46" s="2974" t="s">
        <v>3233</v>
      </c>
      <c r="G46" s="2974">
        <f t="shared" si="0"/>
        <v>1</v>
      </c>
      <c r="H46" s="2974" t="s">
        <v>3138</v>
      </c>
      <c r="I46" s="2974" t="s">
        <v>3234</v>
      </c>
      <c r="J46" s="2974">
        <v>1510</v>
      </c>
      <c r="K46" s="2974">
        <v>1530</v>
      </c>
      <c r="L46" s="2974">
        <v>5652.01</v>
      </c>
      <c r="M46" s="2974">
        <f t="shared" si="1"/>
        <v>5652</v>
      </c>
      <c r="N46" s="2974">
        <v>1.32</v>
      </c>
      <c r="O46" s="2974" t="s">
        <v>3182</v>
      </c>
      <c r="P46" s="2974" t="s">
        <v>3141</v>
      </c>
    </row>
    <row r="47" spans="1:16" ht="24">
      <c r="A47" s="2974" t="s">
        <v>3235</v>
      </c>
      <c r="B47" s="2974" t="s">
        <v>3135</v>
      </c>
      <c r="C47" s="2974" t="s">
        <v>3136</v>
      </c>
      <c r="D47" s="2974">
        <v>68567</v>
      </c>
      <c r="E47" s="2974">
        <v>239984.5</v>
      </c>
      <c r="F47" s="2974" t="s">
        <v>3137</v>
      </c>
      <c r="G47" s="2974">
        <f t="shared" si="0"/>
        <v>3.5</v>
      </c>
      <c r="H47" s="2974" t="s">
        <v>3138</v>
      </c>
      <c r="I47" s="2974" t="s">
        <v>3236</v>
      </c>
      <c r="J47" s="2974">
        <v>4649</v>
      </c>
      <c r="K47" s="2974">
        <v>4656</v>
      </c>
      <c r="L47" s="2974">
        <v>194</v>
      </c>
      <c r="M47" s="2974">
        <f t="shared" si="1"/>
        <v>679</v>
      </c>
      <c r="N47" s="2974">
        <v>0.15</v>
      </c>
      <c r="O47" s="2974" t="s">
        <v>3140</v>
      </c>
      <c r="P47" s="2974" t="s">
        <v>3141</v>
      </c>
    </row>
    <row r="48" spans="1:16" ht="24">
      <c r="A48" s="2974" t="s">
        <v>3237</v>
      </c>
      <c r="B48" s="2974" t="s">
        <v>3135</v>
      </c>
      <c r="C48" s="2974" t="s">
        <v>3136</v>
      </c>
      <c r="D48" s="2974">
        <v>43814.400000000001</v>
      </c>
      <c r="E48" s="2974">
        <v>153350.39999999999</v>
      </c>
      <c r="F48" s="2974" t="s">
        <v>3137</v>
      </c>
      <c r="G48" s="2974">
        <f t="shared" si="0"/>
        <v>3.5</v>
      </c>
      <c r="H48" s="2974" t="s">
        <v>3138</v>
      </c>
      <c r="I48" s="2974" t="s">
        <v>3236</v>
      </c>
      <c r="J48" s="2974">
        <v>2971</v>
      </c>
      <c r="K48" s="2974">
        <v>2980</v>
      </c>
      <c r="L48" s="2974">
        <v>194.33</v>
      </c>
      <c r="M48" s="2974">
        <f t="shared" si="1"/>
        <v>680</v>
      </c>
      <c r="N48" s="2974">
        <v>0.3</v>
      </c>
      <c r="O48" s="2974" t="s">
        <v>3140</v>
      </c>
      <c r="P48" s="2974" t="s">
        <v>3141</v>
      </c>
    </row>
    <row r="49" spans="1:16" ht="24">
      <c r="A49" s="2974" t="s">
        <v>3238</v>
      </c>
      <c r="B49" s="2974" t="s">
        <v>3135</v>
      </c>
      <c r="C49" s="2974" t="s">
        <v>3136</v>
      </c>
      <c r="D49" s="2974">
        <v>48464.800000000003</v>
      </c>
      <c r="E49" s="2974">
        <v>169626.8</v>
      </c>
      <c r="F49" s="2974" t="s">
        <v>3137</v>
      </c>
      <c r="G49" s="2974">
        <f t="shared" si="0"/>
        <v>3.5</v>
      </c>
      <c r="H49" s="2974" t="s">
        <v>3138</v>
      </c>
      <c r="I49" s="2974" t="s">
        <v>3239</v>
      </c>
      <c r="J49" s="2974">
        <v>3286</v>
      </c>
      <c r="K49" s="2974">
        <v>3294</v>
      </c>
      <c r="L49" s="2974">
        <v>194.18</v>
      </c>
      <c r="M49" s="2974">
        <f t="shared" si="1"/>
        <v>680</v>
      </c>
      <c r="N49" s="2974">
        <v>0.24</v>
      </c>
      <c r="O49" s="2974" t="s">
        <v>3140</v>
      </c>
      <c r="P49" s="2974" t="s">
        <v>3141</v>
      </c>
    </row>
    <row r="50" spans="1:16" ht="24">
      <c r="A50" s="2974" t="s">
        <v>3240</v>
      </c>
      <c r="B50" s="2974" t="s">
        <v>3135</v>
      </c>
      <c r="C50" s="2974" t="s">
        <v>3136</v>
      </c>
      <c r="D50" s="2974">
        <v>45152.3</v>
      </c>
      <c r="E50" s="2974">
        <v>158033.04999999999</v>
      </c>
      <c r="F50" s="2974" t="s">
        <v>3137</v>
      </c>
      <c r="G50" s="2974">
        <f t="shared" si="0"/>
        <v>3.5</v>
      </c>
      <c r="H50" s="2974" t="s">
        <v>3138</v>
      </c>
      <c r="I50" s="2974" t="s">
        <v>3239</v>
      </c>
      <c r="J50" s="2974">
        <v>3062</v>
      </c>
      <c r="K50" s="2974">
        <v>3070</v>
      </c>
      <c r="L50" s="2974">
        <v>194.25</v>
      </c>
      <c r="M50" s="2974">
        <f t="shared" si="1"/>
        <v>680</v>
      </c>
      <c r="N50" s="2974">
        <v>0.26</v>
      </c>
      <c r="O50" s="2974" t="s">
        <v>3140</v>
      </c>
      <c r="P50" s="2974" t="s">
        <v>3141</v>
      </c>
    </row>
    <row r="51" spans="1:16" ht="24">
      <c r="A51" s="2974" t="s">
        <v>3241</v>
      </c>
      <c r="B51" s="2974" t="s">
        <v>3135</v>
      </c>
      <c r="C51" s="2974" t="s">
        <v>3136</v>
      </c>
      <c r="D51" s="2974">
        <v>46142.7</v>
      </c>
      <c r="E51" s="2974">
        <v>161499.45000000001</v>
      </c>
      <c r="F51" s="2974" t="s">
        <v>3137</v>
      </c>
      <c r="G51" s="2974">
        <f t="shared" si="0"/>
        <v>3.5</v>
      </c>
      <c r="H51" s="2974" t="s">
        <v>3138</v>
      </c>
      <c r="I51" s="2974" t="s">
        <v>3242</v>
      </c>
      <c r="J51" s="2974">
        <v>3129</v>
      </c>
      <c r="K51" s="2974">
        <v>3135</v>
      </c>
      <c r="L51" s="2974">
        <v>194.12</v>
      </c>
      <c r="M51" s="2974">
        <f t="shared" si="1"/>
        <v>679</v>
      </c>
      <c r="N51" s="2974">
        <v>0.19</v>
      </c>
      <c r="O51" s="2974" t="s">
        <v>3140</v>
      </c>
      <c r="P51" s="2974" t="s">
        <v>3141</v>
      </c>
    </row>
    <row r="52" spans="1:16" ht="24">
      <c r="A52" s="2974" t="s">
        <v>3243</v>
      </c>
      <c r="B52" s="2974" t="s">
        <v>3135</v>
      </c>
      <c r="C52" s="2974" t="s">
        <v>3136</v>
      </c>
      <c r="D52" s="2974">
        <v>47730</v>
      </c>
      <c r="E52" s="2974">
        <v>167055</v>
      </c>
      <c r="F52" s="2974" t="s">
        <v>3137</v>
      </c>
      <c r="G52" s="2974">
        <f t="shared" si="0"/>
        <v>3.5</v>
      </c>
      <c r="H52" s="2974" t="s">
        <v>3138</v>
      </c>
      <c r="I52" s="2974" t="s">
        <v>3242</v>
      </c>
      <c r="J52" s="2974">
        <v>3237</v>
      </c>
      <c r="K52" s="2974">
        <v>3245</v>
      </c>
      <c r="L52" s="2974">
        <v>194.25</v>
      </c>
      <c r="M52" s="2974">
        <f t="shared" si="1"/>
        <v>680</v>
      </c>
      <c r="N52" s="2974">
        <v>0.25</v>
      </c>
      <c r="O52" s="2974" t="s">
        <v>3140</v>
      </c>
      <c r="P52" s="2974" t="s">
        <v>3141</v>
      </c>
    </row>
    <row r="53" spans="1:16" ht="24">
      <c r="A53" s="2974" t="s">
        <v>3244</v>
      </c>
      <c r="B53" s="2974" t="s">
        <v>3135</v>
      </c>
      <c r="C53" s="2974" t="s">
        <v>3136</v>
      </c>
      <c r="D53" s="2974">
        <v>22651.3</v>
      </c>
      <c r="E53" s="2974">
        <v>79279.55</v>
      </c>
      <c r="F53" s="2974" t="s">
        <v>3137</v>
      </c>
      <c r="G53" s="2974">
        <f t="shared" si="0"/>
        <v>3.5</v>
      </c>
      <c r="H53" s="2974" t="s">
        <v>3138</v>
      </c>
      <c r="I53" s="2974" t="s">
        <v>3245</v>
      </c>
      <c r="J53" s="2974">
        <v>789</v>
      </c>
      <c r="K53" s="2974">
        <v>790</v>
      </c>
      <c r="L53" s="2974">
        <v>99.65</v>
      </c>
      <c r="M53" s="2974">
        <f t="shared" si="1"/>
        <v>349</v>
      </c>
      <c r="N53" s="2974">
        <v>0.13</v>
      </c>
      <c r="O53" s="2974" t="s">
        <v>3246</v>
      </c>
      <c r="P53" s="2974" t="s">
        <v>3141</v>
      </c>
    </row>
    <row r="54" spans="1:16" ht="24">
      <c r="A54" s="2974" t="s">
        <v>3247</v>
      </c>
      <c r="B54" s="2974" t="s">
        <v>3135</v>
      </c>
      <c r="C54" s="2974" t="s">
        <v>3136</v>
      </c>
      <c r="D54" s="2974">
        <v>22244.2</v>
      </c>
      <c r="E54" s="2974">
        <v>77854.7</v>
      </c>
      <c r="F54" s="2974" t="s">
        <v>3137</v>
      </c>
      <c r="G54" s="2974">
        <f t="shared" si="0"/>
        <v>3.5</v>
      </c>
      <c r="H54" s="2974" t="s">
        <v>3138</v>
      </c>
      <c r="I54" s="2974" t="s">
        <v>3245</v>
      </c>
      <c r="J54" s="2974">
        <v>775</v>
      </c>
      <c r="K54" s="2974">
        <v>776</v>
      </c>
      <c r="L54" s="2974">
        <v>99.67</v>
      </c>
      <c r="M54" s="2974">
        <f t="shared" si="1"/>
        <v>349</v>
      </c>
      <c r="N54" s="2974">
        <v>0.13</v>
      </c>
      <c r="O54" s="2974" t="s">
        <v>3246</v>
      </c>
      <c r="P54" s="2974" t="s">
        <v>3141</v>
      </c>
    </row>
    <row r="55" spans="1:16" ht="24">
      <c r="A55" s="2974" t="s">
        <v>3248</v>
      </c>
      <c r="B55" s="2974" t="s">
        <v>3135</v>
      </c>
      <c r="C55" s="2974" t="s">
        <v>3136</v>
      </c>
      <c r="D55" s="2974">
        <v>62042.9</v>
      </c>
      <c r="E55" s="2974">
        <v>217150.15</v>
      </c>
      <c r="F55" s="2974" t="s">
        <v>3137</v>
      </c>
      <c r="G55" s="2974">
        <f t="shared" si="0"/>
        <v>3.5</v>
      </c>
      <c r="H55" s="2974" t="s">
        <v>3138</v>
      </c>
      <c r="I55" s="2974" t="s">
        <v>3249</v>
      </c>
      <c r="J55" s="2974">
        <v>1775</v>
      </c>
      <c r="K55" s="2974">
        <v>1778</v>
      </c>
      <c r="L55" s="2974">
        <v>81.87</v>
      </c>
      <c r="M55" s="2974">
        <f t="shared" si="1"/>
        <v>287</v>
      </c>
      <c r="N55" s="2974">
        <v>0.17</v>
      </c>
      <c r="O55" s="2974" t="s">
        <v>3250</v>
      </c>
      <c r="P55" s="2974" t="s">
        <v>3141</v>
      </c>
    </row>
    <row r="56" spans="1:16" ht="24">
      <c r="A56" s="2974" t="s">
        <v>3251</v>
      </c>
      <c r="B56" s="2974" t="s">
        <v>3135</v>
      </c>
      <c r="C56" s="2974" t="s">
        <v>3136</v>
      </c>
      <c r="D56" s="2974">
        <v>41307.800000000003</v>
      </c>
      <c r="E56" s="2974">
        <v>144577.29999999999</v>
      </c>
      <c r="F56" s="2974" t="s">
        <v>3137</v>
      </c>
      <c r="G56" s="2974">
        <f t="shared" si="0"/>
        <v>3.5</v>
      </c>
      <c r="H56" s="2974" t="s">
        <v>3138</v>
      </c>
      <c r="I56" s="2974" t="s">
        <v>3249</v>
      </c>
      <c r="J56" s="2974">
        <v>1182</v>
      </c>
      <c r="K56" s="2974">
        <v>1185</v>
      </c>
      <c r="L56" s="2974">
        <v>81.95</v>
      </c>
      <c r="M56" s="2974">
        <f t="shared" si="1"/>
        <v>287</v>
      </c>
      <c r="N56" s="2974">
        <v>0.25</v>
      </c>
      <c r="O56" s="2974" t="s">
        <v>3250</v>
      </c>
      <c r="P56" s="2974" t="s">
        <v>3141</v>
      </c>
    </row>
    <row r="57" spans="1:16" s="2978" customFormat="1" ht="24">
      <c r="A57" s="2977" t="s">
        <v>3252</v>
      </c>
      <c r="B57" s="2977" t="s">
        <v>3135</v>
      </c>
      <c r="C57" s="2977" t="s">
        <v>3136</v>
      </c>
      <c r="D57" s="2977">
        <v>6667</v>
      </c>
      <c r="E57" s="2977">
        <v>10000.5</v>
      </c>
      <c r="F57" s="2977" t="s">
        <v>3253</v>
      </c>
      <c r="G57" s="2977">
        <f t="shared" si="0"/>
        <v>1.5</v>
      </c>
      <c r="H57" s="2977" t="s">
        <v>3138</v>
      </c>
      <c r="I57" s="2977" t="s">
        <v>3254</v>
      </c>
      <c r="J57" s="2977">
        <v>684</v>
      </c>
      <c r="K57" s="2977">
        <v>686</v>
      </c>
      <c r="L57" s="2977">
        <v>685.97</v>
      </c>
      <c r="M57" s="2977">
        <f t="shared" si="1"/>
        <v>1029</v>
      </c>
      <c r="N57" s="2977">
        <v>0.28999999999999998</v>
      </c>
      <c r="O57" s="2977" t="s">
        <v>3255</v>
      </c>
      <c r="P57" s="2977" t="s">
        <v>3141</v>
      </c>
    </row>
    <row r="58" spans="1:16" ht="24">
      <c r="A58" s="2974" t="s">
        <v>3256</v>
      </c>
      <c r="B58" s="2974" t="s">
        <v>3135</v>
      </c>
      <c r="C58" s="2974" t="s">
        <v>3136</v>
      </c>
      <c r="D58" s="2974">
        <v>45816.2</v>
      </c>
      <c r="E58" s="2974">
        <v>160356.70000000001</v>
      </c>
      <c r="F58" s="2974" t="s">
        <v>3137</v>
      </c>
      <c r="G58" s="2974">
        <f t="shared" si="0"/>
        <v>3.5</v>
      </c>
      <c r="H58" s="2974" t="s">
        <v>3138</v>
      </c>
      <c r="I58" s="2974" t="s">
        <v>3257</v>
      </c>
      <c r="J58" s="2974">
        <v>2420</v>
      </c>
      <c r="K58" s="2974">
        <v>2422</v>
      </c>
      <c r="L58" s="2974">
        <v>151.03</v>
      </c>
      <c r="M58" s="2974">
        <f t="shared" si="1"/>
        <v>529</v>
      </c>
      <c r="N58" s="2974">
        <v>0.08</v>
      </c>
      <c r="O58" s="2974" t="s">
        <v>3258</v>
      </c>
      <c r="P58" s="2974" t="s">
        <v>3141</v>
      </c>
    </row>
    <row r="59" spans="1:16" ht="24">
      <c r="A59" s="2974" t="s">
        <v>3256</v>
      </c>
      <c r="B59" s="2974" t="s">
        <v>3135</v>
      </c>
      <c r="C59" s="2974" t="s">
        <v>3136</v>
      </c>
      <c r="D59" s="2974">
        <v>61015.199999999997</v>
      </c>
      <c r="E59" s="2974">
        <v>213553.2</v>
      </c>
      <c r="F59" s="2974" t="s">
        <v>3137</v>
      </c>
      <c r="G59" s="2974">
        <f t="shared" si="0"/>
        <v>3.5</v>
      </c>
      <c r="H59" s="2974" t="s">
        <v>3138</v>
      </c>
      <c r="I59" s="2974" t="s">
        <v>3257</v>
      </c>
      <c r="J59" s="2974">
        <v>3222</v>
      </c>
      <c r="K59" s="2974">
        <v>3225</v>
      </c>
      <c r="L59" s="2974">
        <v>151.02000000000001</v>
      </c>
      <c r="M59" s="2974">
        <f t="shared" si="1"/>
        <v>529</v>
      </c>
      <c r="N59" s="2974">
        <v>0.09</v>
      </c>
      <c r="O59" s="2974" t="s">
        <v>3258</v>
      </c>
      <c r="P59" s="2974" t="s">
        <v>3141</v>
      </c>
    </row>
    <row r="60" spans="1:16" ht="24">
      <c r="A60" s="2974" t="s">
        <v>3259</v>
      </c>
      <c r="B60" s="2974" t="s">
        <v>3135</v>
      </c>
      <c r="C60" s="2974" t="s">
        <v>3136</v>
      </c>
      <c r="D60" s="2974">
        <v>6981.7</v>
      </c>
      <c r="E60" s="2974">
        <v>19548.759999999998</v>
      </c>
      <c r="F60" s="2974" t="s">
        <v>3216</v>
      </c>
      <c r="G60" s="2974">
        <f t="shared" si="0"/>
        <v>2.8</v>
      </c>
      <c r="H60" s="2974" t="s">
        <v>3138</v>
      </c>
      <c r="I60" s="2974" t="s">
        <v>3260</v>
      </c>
      <c r="J60" s="2974">
        <v>106</v>
      </c>
      <c r="K60" s="2974">
        <v>108</v>
      </c>
      <c r="L60" s="2974">
        <v>55.25</v>
      </c>
      <c r="M60" s="2974">
        <f t="shared" si="1"/>
        <v>155</v>
      </c>
      <c r="N60" s="2974">
        <v>1.89</v>
      </c>
      <c r="O60" s="2974" t="s">
        <v>3208</v>
      </c>
      <c r="P60" s="2974" t="s">
        <v>3141</v>
      </c>
    </row>
    <row r="61" spans="1:16" ht="24">
      <c r="A61" s="2974" t="s">
        <v>3259</v>
      </c>
      <c r="B61" s="2974" t="s">
        <v>3135</v>
      </c>
      <c r="C61" s="2974" t="s">
        <v>3136</v>
      </c>
      <c r="D61" s="2974">
        <v>7761.2</v>
      </c>
      <c r="E61" s="2974">
        <v>21731.360000000001</v>
      </c>
      <c r="F61" s="2974" t="s">
        <v>3216</v>
      </c>
      <c r="G61" s="2974">
        <f t="shared" si="0"/>
        <v>2.8</v>
      </c>
      <c r="H61" s="2974" t="s">
        <v>3138</v>
      </c>
      <c r="I61" s="2974" t="s">
        <v>3260</v>
      </c>
      <c r="J61" s="2974">
        <v>118</v>
      </c>
      <c r="K61" s="2974">
        <v>120</v>
      </c>
      <c r="L61" s="2974">
        <v>55.21</v>
      </c>
      <c r="M61" s="2974">
        <f t="shared" si="1"/>
        <v>155</v>
      </c>
      <c r="N61" s="2974">
        <v>1.69</v>
      </c>
      <c r="O61" s="2974" t="s">
        <v>3208</v>
      </c>
      <c r="P61" s="2974" t="s">
        <v>3141</v>
      </c>
    </row>
    <row r="62" spans="1:16" s="2978" customFormat="1" ht="24">
      <c r="A62" s="2977" t="s">
        <v>3261</v>
      </c>
      <c r="B62" s="2977" t="s">
        <v>3135</v>
      </c>
      <c r="C62" s="2977" t="s">
        <v>3136</v>
      </c>
      <c r="D62" s="2977">
        <v>2086</v>
      </c>
      <c r="E62" s="2977">
        <v>4172</v>
      </c>
      <c r="F62" s="2977" t="s">
        <v>3155</v>
      </c>
      <c r="G62" s="2977">
        <f t="shared" si="0"/>
        <v>2</v>
      </c>
      <c r="H62" s="2977" t="s">
        <v>3138</v>
      </c>
      <c r="I62" s="2977" t="s">
        <v>3260</v>
      </c>
      <c r="J62" s="2977">
        <v>211</v>
      </c>
      <c r="K62" s="2977">
        <v>213</v>
      </c>
      <c r="L62" s="2977">
        <v>510.55</v>
      </c>
      <c r="M62" s="2977">
        <f t="shared" si="1"/>
        <v>1021</v>
      </c>
      <c r="N62" s="2977">
        <v>0.95</v>
      </c>
      <c r="O62" s="2977" t="s">
        <v>3262</v>
      </c>
      <c r="P62" s="2977" t="s">
        <v>3141</v>
      </c>
    </row>
    <row r="63" spans="1:16" ht="24">
      <c r="A63" s="2974" t="s">
        <v>3259</v>
      </c>
      <c r="B63" s="2974" t="s">
        <v>3135</v>
      </c>
      <c r="C63" s="2974" t="s">
        <v>3136</v>
      </c>
      <c r="D63" s="2974">
        <v>7165.3</v>
      </c>
      <c r="E63" s="2974">
        <v>20062.84</v>
      </c>
      <c r="F63" s="2974" t="s">
        <v>3216</v>
      </c>
      <c r="G63" s="2974">
        <f t="shared" si="0"/>
        <v>2.8</v>
      </c>
      <c r="H63" s="2974" t="s">
        <v>3138</v>
      </c>
      <c r="I63" s="2974" t="s">
        <v>3260</v>
      </c>
      <c r="J63" s="2974">
        <v>109</v>
      </c>
      <c r="K63" s="2974">
        <v>110</v>
      </c>
      <c r="L63" s="2974">
        <v>54.82</v>
      </c>
      <c r="M63" s="2974">
        <f t="shared" si="1"/>
        <v>154</v>
      </c>
      <c r="N63" s="2974">
        <v>0.92</v>
      </c>
      <c r="O63" s="2974" t="s">
        <v>3208</v>
      </c>
      <c r="P63" s="2974" t="s">
        <v>3141</v>
      </c>
    </row>
    <row r="64" spans="1:16" ht="24">
      <c r="A64" s="2974" t="s">
        <v>3263</v>
      </c>
      <c r="B64" s="2974" t="s">
        <v>3135</v>
      </c>
      <c r="C64" s="2974" t="s">
        <v>3136</v>
      </c>
      <c r="D64" s="2974">
        <v>1089</v>
      </c>
      <c r="E64" s="2974">
        <v>3811.5</v>
      </c>
      <c r="F64" s="2974" t="s">
        <v>3137</v>
      </c>
      <c r="G64" s="2974">
        <f t="shared" si="0"/>
        <v>3.5</v>
      </c>
      <c r="H64" s="2974" t="s">
        <v>3138</v>
      </c>
      <c r="I64" s="2974" t="s">
        <v>3260</v>
      </c>
      <c r="J64" s="2974">
        <v>47</v>
      </c>
      <c r="K64" s="2974">
        <v>48</v>
      </c>
      <c r="L64" s="2974">
        <v>125.93</v>
      </c>
      <c r="M64" s="2974">
        <f t="shared" si="1"/>
        <v>441</v>
      </c>
      <c r="N64" s="2974">
        <v>2.13</v>
      </c>
      <c r="O64" s="2974" t="s">
        <v>3264</v>
      </c>
      <c r="P64" s="2974" t="s">
        <v>3141</v>
      </c>
    </row>
    <row r="65" spans="1:16" ht="24">
      <c r="A65" s="2974" t="s">
        <v>3265</v>
      </c>
      <c r="B65" s="2974" t="s">
        <v>3135</v>
      </c>
      <c r="C65" s="2974" t="s">
        <v>3136</v>
      </c>
      <c r="D65" s="2974">
        <v>5529</v>
      </c>
      <c r="E65" s="2974">
        <v>3317.4</v>
      </c>
      <c r="F65" s="2974" t="s">
        <v>3266</v>
      </c>
      <c r="G65" s="2974">
        <f t="shared" si="0"/>
        <v>0.6</v>
      </c>
      <c r="H65" s="2974" t="s">
        <v>3138</v>
      </c>
      <c r="I65" s="2974" t="s">
        <v>3267</v>
      </c>
      <c r="J65" s="2974">
        <v>556</v>
      </c>
      <c r="K65" s="2974">
        <v>558</v>
      </c>
      <c r="L65" s="2974">
        <v>1682.03</v>
      </c>
      <c r="M65" s="2974">
        <f t="shared" si="1"/>
        <v>1009</v>
      </c>
      <c r="N65" s="2974">
        <v>0.36</v>
      </c>
      <c r="O65" s="2974" t="s">
        <v>3268</v>
      </c>
      <c r="P65" s="2974" t="s">
        <v>3141</v>
      </c>
    </row>
    <row r="66" spans="1:16" ht="24">
      <c r="A66" s="2974" t="s">
        <v>3269</v>
      </c>
      <c r="B66" s="2974" t="s">
        <v>3135</v>
      </c>
      <c r="C66" s="2974" t="s">
        <v>3136</v>
      </c>
      <c r="D66" s="2974">
        <v>3276.1</v>
      </c>
      <c r="E66" s="2974">
        <v>4914.1499999999996</v>
      </c>
      <c r="F66" s="2974" t="s">
        <v>3253</v>
      </c>
      <c r="G66" s="2974">
        <f t="shared" si="0"/>
        <v>1.5</v>
      </c>
      <c r="H66" s="2974" t="s">
        <v>3138</v>
      </c>
      <c r="I66" s="2974" t="s">
        <v>3270</v>
      </c>
      <c r="J66" s="2974">
        <v>135</v>
      </c>
      <c r="K66" s="2974">
        <v>137</v>
      </c>
      <c r="L66" s="2974">
        <v>278.79000000000002</v>
      </c>
      <c r="M66" s="2974">
        <f t="shared" si="1"/>
        <v>418</v>
      </c>
      <c r="N66" s="2974">
        <v>1.48</v>
      </c>
      <c r="O66" s="2974" t="s">
        <v>3271</v>
      </c>
      <c r="P66" s="2974" t="s">
        <v>3141</v>
      </c>
    </row>
    <row r="67" spans="1:16" ht="24">
      <c r="A67" s="2974" t="s">
        <v>3272</v>
      </c>
      <c r="B67" s="2974" t="s">
        <v>3135</v>
      </c>
      <c r="C67" s="2974" t="s">
        <v>3136</v>
      </c>
      <c r="D67" s="2974">
        <v>9081</v>
      </c>
      <c r="E67" s="2974">
        <v>31783.5</v>
      </c>
      <c r="F67" s="2974" t="s">
        <v>3137</v>
      </c>
      <c r="G67" s="2974">
        <f t="shared" ref="G67:G77" si="2">ROUND(E67/D67,2)</f>
        <v>3.5</v>
      </c>
      <c r="H67" s="2974" t="s">
        <v>3138</v>
      </c>
      <c r="I67" s="2974" t="s">
        <v>3273</v>
      </c>
      <c r="J67" s="2974">
        <v>386</v>
      </c>
      <c r="K67" s="2974">
        <v>390</v>
      </c>
      <c r="L67" s="2974">
        <v>122.7</v>
      </c>
      <c r="M67" s="2974">
        <f t="shared" ref="M67:M77" si="3">ROUND(K67/D67*10000,0)</f>
        <v>429</v>
      </c>
      <c r="N67" s="2974">
        <v>1.04</v>
      </c>
      <c r="O67" s="2974" t="s">
        <v>3264</v>
      </c>
      <c r="P67" s="2974" t="s">
        <v>3141</v>
      </c>
    </row>
    <row r="68" spans="1:16" ht="24">
      <c r="A68" s="2974" t="s">
        <v>3274</v>
      </c>
      <c r="B68" s="2974" t="s">
        <v>3135</v>
      </c>
      <c r="C68" s="2974" t="s">
        <v>3136</v>
      </c>
      <c r="D68" s="2974">
        <v>2770.9</v>
      </c>
      <c r="E68" s="2974">
        <v>9698.15</v>
      </c>
      <c r="F68" s="2974" t="s">
        <v>3137</v>
      </c>
      <c r="G68" s="2974">
        <f t="shared" si="2"/>
        <v>3.5</v>
      </c>
      <c r="H68" s="2974" t="s">
        <v>3138</v>
      </c>
      <c r="I68" s="2974" t="s">
        <v>3275</v>
      </c>
      <c r="J68" s="2974">
        <v>279</v>
      </c>
      <c r="K68" s="2974">
        <v>282</v>
      </c>
      <c r="L68" s="2974">
        <v>290.77</v>
      </c>
      <c r="M68" s="2974">
        <f t="shared" si="3"/>
        <v>1018</v>
      </c>
      <c r="N68" s="2974">
        <v>1.08</v>
      </c>
      <c r="O68" s="2974" t="s">
        <v>3276</v>
      </c>
      <c r="P68" s="2974" t="s">
        <v>3141</v>
      </c>
    </row>
    <row r="69" spans="1:16" ht="24">
      <c r="A69" s="2974" t="s">
        <v>3274</v>
      </c>
      <c r="B69" s="2974" t="s">
        <v>3135</v>
      </c>
      <c r="C69" s="2974" t="s">
        <v>3136</v>
      </c>
      <c r="D69" s="2974">
        <v>11986.4</v>
      </c>
      <c r="E69" s="2974">
        <v>41952.4</v>
      </c>
      <c r="F69" s="2974" t="s">
        <v>3137</v>
      </c>
      <c r="G69" s="2974">
        <f t="shared" si="2"/>
        <v>3.5</v>
      </c>
      <c r="H69" s="2974" t="s">
        <v>3138</v>
      </c>
      <c r="I69" s="2974" t="s">
        <v>3275</v>
      </c>
      <c r="J69" s="2974">
        <v>1204</v>
      </c>
      <c r="K69" s="2974">
        <v>1214</v>
      </c>
      <c r="L69" s="2974">
        <v>289.37</v>
      </c>
      <c r="M69" s="2974">
        <f t="shared" si="3"/>
        <v>1013</v>
      </c>
      <c r="N69" s="2974">
        <v>0.83</v>
      </c>
      <c r="O69" s="2974" t="s">
        <v>3276</v>
      </c>
      <c r="P69" s="2974" t="s">
        <v>3141</v>
      </c>
    </row>
    <row r="70" spans="1:16" s="2978" customFormat="1" ht="24">
      <c r="A70" s="2977" t="s">
        <v>3277</v>
      </c>
      <c r="B70" s="2977" t="s">
        <v>3135</v>
      </c>
      <c r="C70" s="2977" t="s">
        <v>3136</v>
      </c>
      <c r="D70" s="2977">
        <v>19053</v>
      </c>
      <c r="E70" s="2977">
        <v>28579.5</v>
      </c>
      <c r="F70" s="2977" t="s">
        <v>3253</v>
      </c>
      <c r="G70" s="2977">
        <f t="shared" si="2"/>
        <v>1.5</v>
      </c>
      <c r="H70" s="2977" t="s">
        <v>3138</v>
      </c>
      <c r="I70" s="2977" t="s">
        <v>3275</v>
      </c>
      <c r="J70" s="2977">
        <v>1912</v>
      </c>
      <c r="K70" s="2977">
        <v>1914</v>
      </c>
      <c r="L70" s="2977">
        <v>669.71</v>
      </c>
      <c r="M70" s="2977">
        <f t="shared" si="3"/>
        <v>1005</v>
      </c>
      <c r="N70" s="2977">
        <v>0.1</v>
      </c>
      <c r="O70" s="2977" t="s">
        <v>3278</v>
      </c>
      <c r="P70" s="2977" t="s">
        <v>3141</v>
      </c>
    </row>
    <row r="71" spans="1:16" ht="24">
      <c r="A71" s="2974" t="s">
        <v>3279</v>
      </c>
      <c r="B71" s="2974" t="s">
        <v>3135</v>
      </c>
      <c r="C71" s="2974" t="s">
        <v>3136</v>
      </c>
      <c r="D71" s="2974">
        <v>7380</v>
      </c>
      <c r="E71" s="2974">
        <v>20664</v>
      </c>
      <c r="F71" s="2974" t="s">
        <v>3216</v>
      </c>
      <c r="G71" s="2974">
        <f t="shared" si="2"/>
        <v>2.8</v>
      </c>
      <c r="H71" s="2974" t="s">
        <v>3138</v>
      </c>
      <c r="I71" s="2974" t="s">
        <v>3280</v>
      </c>
      <c r="J71" s="2974">
        <v>81</v>
      </c>
      <c r="K71" s="2974">
        <v>82</v>
      </c>
      <c r="L71" s="2974">
        <v>39.67</v>
      </c>
      <c r="M71" s="2974">
        <f t="shared" si="3"/>
        <v>111</v>
      </c>
      <c r="N71" s="2974">
        <v>1.23</v>
      </c>
      <c r="O71" s="2974" t="s">
        <v>3208</v>
      </c>
      <c r="P71" s="2974" t="s">
        <v>3141</v>
      </c>
    </row>
    <row r="72" spans="1:16" ht="24">
      <c r="A72" s="2974" t="s">
        <v>3281</v>
      </c>
      <c r="B72" s="2974" t="s">
        <v>3135</v>
      </c>
      <c r="C72" s="2974" t="s">
        <v>3136</v>
      </c>
      <c r="D72" s="2974">
        <v>4310.3</v>
      </c>
      <c r="E72" s="2974">
        <v>8620.6</v>
      </c>
      <c r="F72" s="2974" t="s">
        <v>3155</v>
      </c>
      <c r="G72" s="2974">
        <f t="shared" si="2"/>
        <v>2</v>
      </c>
      <c r="H72" s="2974" t="s">
        <v>3138</v>
      </c>
      <c r="I72" s="2974" t="s">
        <v>3282</v>
      </c>
      <c r="J72" s="2974">
        <v>181</v>
      </c>
      <c r="K72" s="2974">
        <v>182</v>
      </c>
      <c r="L72" s="2974">
        <v>211.12</v>
      </c>
      <c r="M72" s="2974">
        <f t="shared" si="3"/>
        <v>422</v>
      </c>
      <c r="N72" s="2974">
        <v>0.55000000000000004</v>
      </c>
      <c r="O72" s="2974" t="s">
        <v>3283</v>
      </c>
      <c r="P72" s="2974" t="s">
        <v>3141</v>
      </c>
    </row>
    <row r="73" spans="1:16" ht="24">
      <c r="A73" s="2974" t="s">
        <v>3284</v>
      </c>
      <c r="B73" s="2974" t="s">
        <v>3135</v>
      </c>
      <c r="C73" s="2974" t="s">
        <v>3136</v>
      </c>
      <c r="D73" s="2974">
        <v>14448.7</v>
      </c>
      <c r="E73" s="2974">
        <v>28897.4</v>
      </c>
      <c r="F73" s="2974" t="s">
        <v>3155</v>
      </c>
      <c r="G73" s="2974">
        <f t="shared" si="2"/>
        <v>2</v>
      </c>
      <c r="H73" s="2974" t="s">
        <v>3138</v>
      </c>
      <c r="I73" s="2974" t="s">
        <v>3285</v>
      </c>
      <c r="J73" s="2974">
        <v>587</v>
      </c>
      <c r="K73" s="2974">
        <v>590</v>
      </c>
      <c r="L73" s="2974">
        <v>204.16</v>
      </c>
      <c r="M73" s="2974">
        <f t="shared" si="3"/>
        <v>408</v>
      </c>
      <c r="N73" s="2974">
        <v>0.51</v>
      </c>
      <c r="O73" s="2974" t="s">
        <v>3286</v>
      </c>
      <c r="P73" s="2974" t="s">
        <v>3141</v>
      </c>
    </row>
    <row r="74" spans="1:16" ht="24">
      <c r="A74" s="2974" t="s">
        <v>3287</v>
      </c>
      <c r="B74" s="2974" t="s">
        <v>3135</v>
      </c>
      <c r="C74" s="2974" t="s">
        <v>3136</v>
      </c>
      <c r="D74" s="2974">
        <v>19630</v>
      </c>
      <c r="E74" s="2974">
        <v>58890</v>
      </c>
      <c r="F74" s="2974" t="s">
        <v>3145</v>
      </c>
      <c r="G74" s="2974">
        <f t="shared" si="2"/>
        <v>3</v>
      </c>
      <c r="H74" s="2974" t="s">
        <v>3138</v>
      </c>
      <c r="I74" s="2974" t="s">
        <v>3288</v>
      </c>
      <c r="J74" s="2974">
        <v>1970</v>
      </c>
      <c r="K74" s="2974">
        <v>1974</v>
      </c>
      <c r="L74" s="2974">
        <v>335.19</v>
      </c>
      <c r="M74" s="2974">
        <f t="shared" si="3"/>
        <v>1006</v>
      </c>
      <c r="N74" s="2974">
        <v>0.2</v>
      </c>
      <c r="O74" s="2974" t="s">
        <v>3289</v>
      </c>
      <c r="P74" s="2974" t="s">
        <v>3141</v>
      </c>
    </row>
    <row r="75" spans="1:16" ht="24">
      <c r="A75" s="2974" t="s">
        <v>3287</v>
      </c>
      <c r="B75" s="2974" t="s">
        <v>3135</v>
      </c>
      <c r="C75" s="2974" t="s">
        <v>3136</v>
      </c>
      <c r="D75" s="2974">
        <v>18548</v>
      </c>
      <c r="E75" s="2974">
        <v>55644</v>
      </c>
      <c r="F75" s="2974" t="s">
        <v>3145</v>
      </c>
      <c r="G75" s="2974">
        <f t="shared" si="2"/>
        <v>3</v>
      </c>
      <c r="H75" s="2974" t="s">
        <v>3138</v>
      </c>
      <c r="I75" s="2974" t="s">
        <v>3288</v>
      </c>
      <c r="J75" s="2974">
        <v>1862</v>
      </c>
      <c r="K75" s="2974">
        <v>1866</v>
      </c>
      <c r="L75" s="2974">
        <v>335.35</v>
      </c>
      <c r="M75" s="2974">
        <f t="shared" si="3"/>
        <v>1006</v>
      </c>
      <c r="N75" s="2974">
        <v>0.21</v>
      </c>
      <c r="O75" s="2974" t="s">
        <v>3290</v>
      </c>
      <c r="P75" s="2974" t="s">
        <v>3141</v>
      </c>
    </row>
    <row r="76" spans="1:16" ht="24">
      <c r="A76" s="2974" t="s">
        <v>3291</v>
      </c>
      <c r="B76" s="2974" t="s">
        <v>3135</v>
      </c>
      <c r="C76" s="2974" t="s">
        <v>3136</v>
      </c>
      <c r="D76" s="2974">
        <v>7062.9</v>
      </c>
      <c r="E76" s="2974">
        <v>21894.99</v>
      </c>
      <c r="F76" s="2974" t="s">
        <v>3292</v>
      </c>
      <c r="G76" s="2974">
        <f t="shared" si="2"/>
        <v>3.1</v>
      </c>
      <c r="H76" s="2974" t="s">
        <v>3138</v>
      </c>
      <c r="I76" s="2974" t="s">
        <v>3293</v>
      </c>
      <c r="J76" s="2974">
        <v>181</v>
      </c>
      <c r="K76" s="2974">
        <v>182</v>
      </c>
      <c r="L76" s="2974">
        <v>83.12</v>
      </c>
      <c r="M76" s="2974">
        <f t="shared" si="3"/>
        <v>258</v>
      </c>
      <c r="N76" s="2974">
        <v>0.55000000000000004</v>
      </c>
      <c r="O76" s="2974" t="s">
        <v>3294</v>
      </c>
      <c r="P76" s="2974" t="s">
        <v>3141</v>
      </c>
    </row>
    <row r="77" spans="1:16" ht="24">
      <c r="A77" s="2974" t="s">
        <v>3295</v>
      </c>
      <c r="B77" s="2974" t="s">
        <v>3135</v>
      </c>
      <c r="C77" s="2974" t="s">
        <v>3136</v>
      </c>
      <c r="D77" s="2974">
        <v>21208</v>
      </c>
      <c r="E77" s="2974">
        <v>80590.399999999994</v>
      </c>
      <c r="F77" s="2974" t="s">
        <v>3296</v>
      </c>
      <c r="G77" s="2974">
        <f t="shared" si="2"/>
        <v>3.8</v>
      </c>
      <c r="H77" s="2974" t="s">
        <v>3138</v>
      </c>
      <c r="I77" s="2974" t="s">
        <v>3297</v>
      </c>
      <c r="J77" s="2974">
        <v>5262</v>
      </c>
      <c r="K77" s="2974">
        <v>5265</v>
      </c>
      <c r="L77" s="2974">
        <v>653.29</v>
      </c>
      <c r="M77" s="2974">
        <f t="shared" si="3"/>
        <v>2483</v>
      </c>
      <c r="N77" s="2974">
        <v>0.06</v>
      </c>
      <c r="O77" s="2974" t="s">
        <v>3298</v>
      </c>
      <c r="P77" s="2974" t="s">
        <v>3141</v>
      </c>
    </row>
    <row r="115" spans="7:8" ht="13.5">
      <c r="G115" s="2979" t="s">
        <v>3307</v>
      </c>
      <c r="H115" s="2979" t="s">
        <v>3308</v>
      </c>
    </row>
    <row r="116" spans="7:8">
      <c r="G116" s="2981">
        <v>2019.1</v>
      </c>
      <c r="H116" s="2981">
        <v>7.68</v>
      </c>
    </row>
    <row r="117" spans="7:8">
      <c r="G117" s="2981">
        <v>2018.4</v>
      </c>
      <c r="H117" s="2981">
        <v>0.74</v>
      </c>
    </row>
    <row r="118" spans="7:8">
      <c r="G118" s="2981">
        <v>2018.3</v>
      </c>
      <c r="H118" s="2981">
        <v>0.32</v>
      </c>
    </row>
    <row r="119" spans="7:8">
      <c r="G119" s="2981">
        <v>2018.2</v>
      </c>
      <c r="H119" s="2981">
        <v>0.83</v>
      </c>
    </row>
    <row r="120" spans="7:8">
      <c r="G120" s="2981">
        <v>2018.1</v>
      </c>
      <c r="H120" s="2981">
        <v>1.65</v>
      </c>
    </row>
    <row r="121" spans="7:8">
      <c r="G121" s="2981">
        <v>2017.4</v>
      </c>
      <c r="H121" s="2981">
        <v>3.13</v>
      </c>
    </row>
    <row r="122" spans="7:8">
      <c r="G122" s="2981">
        <v>2017.3</v>
      </c>
      <c r="H122" s="2981">
        <v>1.25</v>
      </c>
    </row>
    <row r="123" spans="7:8">
      <c r="G123" s="2981">
        <v>2017.2</v>
      </c>
      <c r="H123" s="2981">
        <v>0.67</v>
      </c>
    </row>
    <row r="124" spans="7:8">
      <c r="G124" s="2981">
        <v>2017.1</v>
      </c>
      <c r="H124" s="2981">
        <v>0.53</v>
      </c>
    </row>
    <row r="125" spans="7:8">
      <c r="G125" s="2981">
        <v>2016.4</v>
      </c>
      <c r="H125" s="2981">
        <v>0.67</v>
      </c>
    </row>
    <row r="126" spans="7:8">
      <c r="G126" s="2981">
        <v>2016.3</v>
      </c>
      <c r="H126" s="2981">
        <v>-0.74</v>
      </c>
    </row>
    <row r="127" spans="7:8">
      <c r="G127" s="2981">
        <v>2016.2</v>
      </c>
      <c r="H127" s="2981">
        <v>7.06</v>
      </c>
    </row>
    <row r="128" spans="7:8" ht="13.5">
      <c r="G128" s="2980"/>
      <c r="H128" s="2980">
        <f>AVERAGE(H116:H127)</f>
        <v>1.9825000000000006</v>
      </c>
    </row>
    <row r="129" spans="7:8" ht="13.5">
      <c r="G129" s="2980"/>
      <c r="H129" s="2980"/>
    </row>
    <row r="130" spans="7:8" ht="13.5">
      <c r="G130" s="2980"/>
      <c r="H130" s="2980"/>
    </row>
    <row r="131" spans="7:8" ht="13.5">
      <c r="G131" s="2980"/>
      <c r="H131" s="2980"/>
    </row>
    <row r="132" spans="7:8" ht="13.5">
      <c r="G132" s="2980"/>
      <c r="H132" s="2980"/>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73699</v>
      </c>
      <c r="C2" s="320" t="s">
        <v>2449</v>
      </c>
      <c r="D2" s="320"/>
      <c r="E2" s="320"/>
      <c r="F2" s="320"/>
      <c r="G2" s="320"/>
      <c r="H2" s="320"/>
      <c r="I2" s="320"/>
      <c r="J2" s="320"/>
      <c r="K2" s="320"/>
    </row>
    <row r="3" spans="1:33" ht="18" customHeight="1" thickBot="1">
      <c r="A3" s="247" t="s">
        <v>2318</v>
      </c>
      <c r="B3" s="248">
        <f ca="1">ROUND(B2*10000/IF(C1="",'数据-汇总表'!E3,INDIRECT("'数据-取费表'!K"&amp;$K$1)),0)</f>
        <v>4977</v>
      </c>
      <c r="C3" s="320" t="s">
        <v>2450</v>
      </c>
      <c r="D3" s="320"/>
      <c r="E3" s="320"/>
      <c r="F3" s="320"/>
      <c r="G3" s="320"/>
      <c r="H3" s="320"/>
      <c r="I3" s="320"/>
      <c r="J3" s="320"/>
      <c r="K3" s="320"/>
    </row>
    <row r="4" spans="1:33" s="956" customFormat="1" ht="16.5" customHeight="1">
      <c r="A4" s="953" t="s">
        <v>2451</v>
      </c>
      <c r="B4" s="954"/>
      <c r="C4" s="996">
        <f ca="1">SUM(C8:K8)</f>
        <v>82955</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5976</v>
      </c>
      <c r="D6" s="962">
        <f ca="1">'收益法 (车库)'!B3</f>
        <v>1745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134999.90999999997</v>
      </c>
      <c r="D7" s="321">
        <f>SUMIF('数据-汇总表'!$C19:$C33,假设开发法!D5,'数据-汇总表'!$E19:$E33)</f>
        <v>13075.2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80673</v>
      </c>
      <c r="D8" s="997">
        <f ca="1">'收益法 (车库)'!B2</f>
        <v>2282</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609</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18</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59</v>
      </c>
      <c r="D14" s="1033">
        <f ca="1">IF(C1="",'数据-汇总表'!E3,INDIRECT("'数据-取费表'!K"&amp;$K$1)+INDIRECT("'数据-取费表'!S"&amp;$K$1))</f>
        <v>148075.10999999999</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695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148075.10999999999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3337</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592</v>
      </c>
      <c r="D20" s="1033">
        <f ca="1">IF(C1="",'数据-汇总表'!E6,IF(INDIRECT("'数据-取费表'!c"&amp;$K$1)="住宅",INDIRECT("'数据-取费表'!s"&amp;$K$1),INDIRECT("'数据-取费表'!k"&amp;$K$1)+INDIRECT("'数据-取费表'!s"&amp;$K$1)))</f>
        <v>148075.10999999999</v>
      </c>
      <c r="E20" s="24">
        <f>'数据-取费表'!B28</f>
        <v>40</v>
      </c>
      <c r="F20" s="976"/>
      <c r="G20" s="15"/>
      <c r="H20" s="981"/>
      <c r="I20" s="981"/>
      <c r="J20" s="981"/>
      <c r="K20" s="982"/>
    </row>
    <row r="21" spans="1:33" s="975" customFormat="1" ht="13.5" customHeight="1">
      <c r="A21" s="961" t="s">
        <v>802</v>
      </c>
      <c r="B21" s="985" t="s">
        <v>2482</v>
      </c>
      <c r="C21" s="986">
        <f ca="1">C16+C17+C18</f>
        <v>695</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50</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4</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146</v>
      </c>
      <c r="D28" s="324">
        <f ca="1">C29</f>
        <v>1.5599999999999999E-2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1.5599999999999999E-2</v>
      </c>
      <c r="D29" s="328"/>
      <c r="E29" s="329"/>
      <c r="F29" s="334"/>
      <c r="G29" s="140" t="s">
        <v>2498</v>
      </c>
      <c r="H29" s="979"/>
      <c r="I29" s="979"/>
      <c r="J29" s="979"/>
      <c r="K29" s="980"/>
    </row>
    <row r="30" spans="1:33" s="335" customFormat="1" ht="13.5" customHeight="1">
      <c r="A30" s="971" t="s">
        <v>804</v>
      </c>
      <c r="B30" s="994" t="s">
        <v>2499</v>
      </c>
      <c r="C30" s="336">
        <f ca="1">ROUND((C21+C22+C23)*F28,0)</f>
        <v>146</v>
      </c>
      <c r="D30" s="328"/>
      <c r="E30" s="329"/>
      <c r="F30" s="334"/>
      <c r="G30" s="140"/>
      <c r="H30" s="979"/>
      <c r="I30" s="979"/>
      <c r="J30" s="979"/>
      <c r="K30" s="980"/>
    </row>
    <row r="31" spans="1:33" s="975" customFormat="1" ht="13.5" customHeight="1" thickBot="1">
      <c r="A31" s="2556" t="s">
        <v>2500</v>
      </c>
      <c r="B31" s="1005" t="s">
        <v>2501</v>
      </c>
      <c r="C31" s="1006">
        <f ca="1">ROUND(C4*F31/(1+'数据-取费表'!C42),0)</f>
        <v>4345</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73699</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3100</v>
      </c>
      <c r="E1" s="1820" t="s">
        <v>1383</v>
      </c>
      <c r="F1" s="1283">
        <f ca="1">J53</f>
        <v>33.739999999999995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80673</v>
      </c>
      <c r="C2" s="1844" t="s">
        <v>1512</v>
      </c>
      <c r="D2" s="1844"/>
      <c r="E2" s="1845"/>
      <c r="F2" s="1846"/>
      <c r="G2" s="1847"/>
      <c r="H2" s="1839"/>
      <c r="I2" s="1839"/>
      <c r="J2" s="1839"/>
      <c r="K2" s="1840"/>
      <c r="L2" s="1839"/>
      <c r="M2" s="1839"/>
    </row>
    <row r="3" spans="1:37" ht="18" customHeight="1" thickBot="1">
      <c r="A3" s="1848" t="s">
        <v>1513</v>
      </c>
      <c r="B3" s="1849">
        <f ca="1">IF(ISERROR(B2*10000/F43),0,ROUND(B2*10000/F43,0))</f>
        <v>5976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6512</v>
      </c>
      <c r="D5" s="1821" t="s">
        <v>1398</v>
      </c>
      <c r="E5" s="1293"/>
      <c r="F5" s="1294"/>
      <c r="G5" s="1850"/>
      <c r="H5" s="344">
        <v>1</v>
      </c>
      <c r="I5" s="345" t="s">
        <v>1397</v>
      </c>
      <c r="J5" s="1292">
        <f ca="1">J6+J10+J12</f>
        <v>0</v>
      </c>
      <c r="K5" s="1821" t="s">
        <v>1398</v>
      </c>
      <c r="L5" s="1293"/>
      <c r="M5" s="1294"/>
    </row>
    <row r="6" spans="1:37" ht="18" customHeight="1">
      <c r="A6" s="1291" t="s">
        <v>1032</v>
      </c>
      <c r="B6" s="3299" t="s">
        <v>1399</v>
      </c>
      <c r="C6" s="1296">
        <f ca="1">ROUND(F6*F8*F7*(1-F9)/10000,0)</f>
        <v>6504</v>
      </c>
      <c r="D6" s="164" t="s">
        <v>3017</v>
      </c>
      <c r="E6" s="347" t="s">
        <v>1401</v>
      </c>
      <c r="F6" s="348">
        <f ca="1">INDIRECT("'数据-取费表'!u"&amp;$G$1)</f>
        <v>1.5</v>
      </c>
      <c r="G6" s="1850"/>
      <c r="H6" s="1291" t="s">
        <v>1032</v>
      </c>
      <c r="I6" s="3299" t="s">
        <v>1399</v>
      </c>
      <c r="J6" s="346">
        <f ca="1">ROUND(M6*M8*M7*(1-M9)/10000,0)</f>
        <v>0</v>
      </c>
      <c r="K6" s="164" t="s">
        <v>3016</v>
      </c>
      <c r="L6" s="347" t="s">
        <v>1401</v>
      </c>
      <c r="M6" s="348">
        <f ca="1">INDIRECT("'数据-取费表'!z"&amp;$G$1)</f>
        <v>0</v>
      </c>
    </row>
    <row r="7" spans="1:37" ht="18" customHeight="1">
      <c r="A7" s="1295"/>
      <c r="B7" s="3300"/>
      <c r="C7" s="1297"/>
      <c r="D7" s="352"/>
      <c r="E7" s="1298" t="s">
        <v>1402</v>
      </c>
      <c r="F7" s="348">
        <f ca="1">IF(INDIRECT("'数据-取费表'!ah"&amp;$G$1)="",INDIRECT("'数据-取费表'!k"&amp;$G$1),INDIRECT("'数据-取费表'!ah"&amp;$G$1))</f>
        <v>134999.90999999997</v>
      </c>
      <c r="G7" s="1850"/>
      <c r="H7" s="349"/>
      <c r="I7" s="3300"/>
      <c r="J7" s="351"/>
      <c r="K7" s="352"/>
      <c r="L7" s="347" t="s">
        <v>1402</v>
      </c>
      <c r="M7" s="348">
        <f ca="1">F7</f>
        <v>134999.90999999997</v>
      </c>
    </row>
    <row r="8" spans="1:37" ht="18" customHeight="1">
      <c r="A8" s="349"/>
      <c r="B8" s="3300"/>
      <c r="C8" s="351"/>
      <c r="D8" s="352"/>
      <c r="E8" s="347" t="s">
        <v>1403</v>
      </c>
      <c r="F8" s="348">
        <f ca="1">INDIRECT("'数据-取费表'!ai"&amp;$G$1)</f>
        <v>365</v>
      </c>
      <c r="G8" s="1850"/>
      <c r="H8" s="349"/>
      <c r="I8" s="3300"/>
      <c r="J8" s="351"/>
      <c r="K8" s="352"/>
      <c r="L8" s="347" t="s">
        <v>1403</v>
      </c>
      <c r="M8" s="348">
        <f ca="1">INDIRECT("'数据-取费表'!ai"&amp;$G$1)</f>
        <v>365</v>
      </c>
    </row>
    <row r="9" spans="1:37" ht="18" customHeight="1">
      <c r="A9" s="349"/>
      <c r="B9" s="3301"/>
      <c r="C9" s="351"/>
      <c r="D9" s="352"/>
      <c r="E9" s="347" t="s">
        <v>1404</v>
      </c>
      <c r="F9" s="357">
        <f ca="1">INDIRECT("'数据-取费表'!w"&amp;$G$1)</f>
        <v>0.12</v>
      </c>
      <c r="G9" s="1850"/>
      <c r="H9" s="349"/>
      <c r="I9" s="3301"/>
      <c r="J9" s="351"/>
      <c r="K9" s="352"/>
      <c r="L9" s="358" t="s">
        <v>1404</v>
      </c>
      <c r="M9" s="359">
        <f ca="1">INDIRECT("'数据-取费表'!ab"&amp;$G$1)</f>
        <v>0</v>
      </c>
    </row>
    <row r="10" spans="1:37" ht="18" customHeight="1">
      <c r="A10" s="1291" t="s">
        <v>1036</v>
      </c>
      <c r="B10" s="1822" t="s">
        <v>1405</v>
      </c>
      <c r="C10" s="361">
        <f ca="1">ROUND(IF(F10="押一",C6/12*F11,IF(F10="押二",C6/12*2*F11,IF(F10="押三",C6/12*3*F11,C11*F11))),0)</f>
        <v>8</v>
      </c>
      <c r="D10" s="1823" t="s">
        <v>3026</v>
      </c>
      <c r="E10" s="358" t="s">
        <v>1406</v>
      </c>
      <c r="F10" s="1366" t="s">
        <v>3101</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46102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28350</v>
      </c>
      <c r="D14" s="1799" t="s">
        <v>1414</v>
      </c>
      <c r="E14" s="1793"/>
      <c r="F14" s="364"/>
      <c r="G14" s="1850"/>
      <c r="H14" s="1201" t="s">
        <v>1032</v>
      </c>
      <c r="I14" s="347" t="s">
        <v>1415</v>
      </c>
      <c r="J14" s="24">
        <f ca="1">C29</f>
        <v>46102</v>
      </c>
      <c r="K14" s="15"/>
      <c r="L14" s="979"/>
      <c r="M14" s="980"/>
    </row>
    <row r="15" spans="1:37" s="1857" customFormat="1" ht="18" customHeight="1" thickBot="1">
      <c r="A15" s="1201" t="s">
        <v>1033</v>
      </c>
      <c r="B15" s="347" t="s">
        <v>1416</v>
      </c>
      <c r="C15" s="24">
        <f ca="1">ROUND(C14*F15,0)</f>
        <v>851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1214</v>
      </c>
      <c r="K16" s="1337" t="s">
        <v>1421</v>
      </c>
      <c r="L16" s="1338"/>
      <c r="M16" s="1294"/>
    </row>
    <row r="17" spans="1:37" s="1857" customFormat="1" ht="18" customHeight="1">
      <c r="A17" s="1201" t="s">
        <v>1386</v>
      </c>
      <c r="B17" s="347" t="s">
        <v>1422</v>
      </c>
      <c r="C17" s="24">
        <f ca="1">ROUND(F17*(F43+INDIRECT("'数据-取费表'!S"&amp;$G$1))/10000,0)</f>
        <v>2700</v>
      </c>
      <c r="D17" s="347" t="s">
        <v>1423</v>
      </c>
      <c r="E17" s="347" t="s">
        <v>1424</v>
      </c>
      <c r="F17" s="26">
        <f>'数据-取费表'!B35</f>
        <v>200</v>
      </c>
      <c r="G17" s="1853"/>
      <c r="H17" s="1201" t="s">
        <v>1032</v>
      </c>
      <c r="I17" s="347" t="s">
        <v>1425</v>
      </c>
      <c r="J17" s="24">
        <f ca="1">ROUND(IF(项目基本情况!B11="自然人",J5*M17,J18+J19+J20),1)</f>
        <v>522.4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425</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32326</v>
      </c>
      <c r="D19" s="140" t="s">
        <v>1432</v>
      </c>
      <c r="E19" s="1817"/>
      <c r="F19" s="26"/>
      <c r="G19" s="1850"/>
      <c r="H19" s="1201" t="s">
        <v>1033</v>
      </c>
      <c r="I19" s="347" t="s">
        <v>1433</v>
      </c>
      <c r="J19" s="24">
        <f ca="1">IF(K19="按租金收入计税",ROUND(J5*M19,2),ROUND(C29*M19*0.7,2))</f>
        <v>387.26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970</v>
      </c>
      <c r="D20" s="369" t="s">
        <v>1436</v>
      </c>
      <c r="E20" s="347" t="s">
        <v>1418</v>
      </c>
      <c r="F20" s="367">
        <f>'数据-取费表'!B37</f>
        <v>0.03</v>
      </c>
      <c r="G20" s="1853"/>
      <c r="H20" s="1201" t="s">
        <v>1385</v>
      </c>
      <c r="I20" s="164" t="s">
        <v>1437</v>
      </c>
      <c r="J20" s="25">
        <f ca="1">ROUND(M20*M21/10000,2)</f>
        <v>135.1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150106.66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691.5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1989</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-1214</v>
      </c>
      <c r="K25" s="1345" t="s">
        <v>1460</v>
      </c>
      <c r="L25" s="1346"/>
      <c r="M25" s="1347"/>
    </row>
    <row r="26" spans="1:37">
      <c r="A26" s="1201" t="s">
        <v>1031</v>
      </c>
      <c r="B26" s="347" t="s">
        <v>1461</v>
      </c>
      <c r="C26" s="24">
        <f ca="1">ROUND((C19+C20)*F26,0)</f>
        <v>6659</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46102</v>
      </c>
      <c r="D29" s="1342"/>
      <c r="E29" s="1340"/>
      <c r="F29" s="1343"/>
      <c r="G29" s="1853"/>
      <c r="H29" s="380" t="s">
        <v>1030</v>
      </c>
      <c r="I29" s="381" t="s">
        <v>1475</v>
      </c>
      <c r="J29" s="382">
        <f ca="1">ROUND(J26/(1+F40)^F41,0)</f>
        <v>0</v>
      </c>
      <c r="K29" s="383" t="s">
        <v>1476</v>
      </c>
      <c r="L29" s="384"/>
      <c r="M29" s="385">
        <f ca="1">INDIRECT("'数据-取费表'!k"&amp;$G$1)</f>
        <v>134999.90999999997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2083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1257.5999999999999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341.1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781.44</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135.1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150106.66</v>
      </c>
      <c r="G35" s="1850"/>
      <c r="H35" s="745"/>
      <c r="I35" s="1859"/>
      <c r="J35" s="1860"/>
      <c r="K35" s="1861"/>
      <c r="L35" s="1858"/>
      <c r="M35" s="1858"/>
    </row>
    <row r="36" spans="1:18" ht="18" customHeight="1">
      <c r="A36" s="1352" t="s">
        <v>1036</v>
      </c>
      <c r="B36" s="347" t="s">
        <v>1445</v>
      </c>
      <c r="C36" s="24">
        <f ca="1">ROUND(C29*F36,1)</f>
        <v>691.5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69.2</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65.099999999999994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4429</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80673</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1.4999999999999999E-2</v>
      </c>
      <c r="G42" s="1850"/>
      <c r="H42" s="732"/>
      <c r="I42" s="1859"/>
      <c r="J42" s="1860"/>
      <c r="K42" s="751"/>
      <c r="L42" s="732"/>
      <c r="M42" s="732"/>
    </row>
    <row r="43" spans="1:18" ht="18" customHeight="1" thickBot="1">
      <c r="A43" s="380" t="s">
        <v>1030</v>
      </c>
      <c r="B43" s="381" t="s">
        <v>1483</v>
      </c>
      <c r="C43" s="382">
        <f ca="1">ROUND(C40*10000/F43,0)</f>
        <v>5976</v>
      </c>
      <c r="D43" s="383" t="s">
        <v>1484</v>
      </c>
      <c r="E43" s="384" t="s">
        <v>1485</v>
      </c>
      <c r="F43" s="385">
        <f ca="1">INDIRECT("'数据-取费表'!k"&amp;$G$1)</f>
        <v>134999.90999999997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-153126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80673</v>
      </c>
      <c r="R47" s="1885" t="s">
        <v>1525</v>
      </c>
    </row>
    <row r="48" spans="1:18" s="1841" customFormat="1" ht="28.5" thickBot="1">
      <c r="A48" s="1360" t="s">
        <v>1132</v>
      </c>
      <c r="B48" s="345" t="s">
        <v>1397</v>
      </c>
      <c r="C48" s="1816">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46102</v>
      </c>
      <c r="R49" s="1885" t="s">
        <v>1525</v>
      </c>
    </row>
    <row r="50" spans="1:18" s="1841" customFormat="1" ht="13.5" thickBot="1">
      <c r="A50" s="1195"/>
      <c r="B50" s="1198"/>
      <c r="C50" s="1368"/>
      <c r="D50" s="1172"/>
      <c r="E50" s="1277" t="s">
        <v>1402</v>
      </c>
      <c r="F50" s="1278">
        <f ca="1">F7</f>
        <v>134999.90999999997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8795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97" t="s">
        <v>1544</v>
      </c>
      <c r="L53" s="3298"/>
      <c r="O53" s="1883" t="s">
        <v>1043</v>
      </c>
      <c r="P53" s="1884" t="s">
        <v>1545</v>
      </c>
      <c r="Q53" s="1885">
        <f ca="1">Q47+Q48</f>
        <v>80673</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46102</v>
      </c>
      <c r="D56" s="1913"/>
      <c r="E56" s="1914"/>
      <c r="F56" s="1906"/>
      <c r="I56" s="1915" t="s">
        <v>1550</v>
      </c>
      <c r="J56" s="1916" t="s">
        <v>3077</v>
      </c>
      <c r="K56" s="1886" t="s">
        <v>1551</v>
      </c>
      <c r="L56" s="1889" t="str">
        <f ca="1">IF(L48&lt;J51,"——",L48-J53)</f>
        <v>——</v>
      </c>
      <c r="O56" s="1883" t="s">
        <v>1037</v>
      </c>
      <c r="P56" s="1884" t="s">
        <v>1524</v>
      </c>
      <c r="Q56" s="1885">
        <f ca="1">C40+J29</f>
        <v>80673</v>
      </c>
      <c r="R56" s="1885" t="s">
        <v>1525</v>
      </c>
    </row>
    <row r="57" spans="1:18" s="1841" customFormat="1" ht="24.75" thickBot="1">
      <c r="A57" s="1917"/>
      <c r="B57" s="1169" t="s">
        <v>1474</v>
      </c>
      <c r="C57" s="282">
        <f ca="1">C29</f>
        <v>46102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4768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4007.7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3872.57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135.1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80673</v>
      </c>
      <c r="R62" s="1885" t="s">
        <v>1044</v>
      </c>
    </row>
    <row r="63" spans="1:18" s="1841" customFormat="1" ht="13.5" thickBot="1">
      <c r="A63" s="372"/>
      <c r="B63" s="1175"/>
      <c r="C63" s="29"/>
      <c r="D63" s="1185"/>
      <c r="E63" s="1169" t="s">
        <v>1495</v>
      </c>
      <c r="F63" s="348">
        <f t="shared" ca="1" si="0"/>
        <v>150106.66</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691.5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69.2</v>
      </c>
      <c r="D65" s="1183" t="s">
        <v>1450</v>
      </c>
      <c r="E65" s="1169" t="s">
        <v>1451</v>
      </c>
      <c r="F65" s="376">
        <f t="shared" ca="1" si="0"/>
        <v>1.5E-3</v>
      </c>
      <c r="I65" s="1928" t="s">
        <v>1575</v>
      </c>
      <c r="J65" s="1929">
        <v>40</v>
      </c>
      <c r="K65" s="1929">
        <v>30</v>
      </c>
      <c r="L65" s="1929">
        <v>50</v>
      </c>
      <c r="M65" s="1931">
        <v>0.02</v>
      </c>
      <c r="O65" s="1883" t="s">
        <v>1037</v>
      </c>
      <c r="P65" s="1884" t="s">
        <v>1576</v>
      </c>
      <c r="Q65" s="1885">
        <f ca="1">C40+J29</f>
        <v>80673</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-4768</v>
      </c>
      <c r="D67" s="1182" t="s">
        <v>1460</v>
      </c>
      <c r="E67" s="1187"/>
      <c r="F67" s="1188"/>
      <c r="O67" s="1893" t="s">
        <v>1039</v>
      </c>
      <c r="P67" s="1884" t="s">
        <v>1558</v>
      </c>
      <c r="Q67" s="1932">
        <f ca="1">L51</f>
        <v>8795</v>
      </c>
      <c r="R67" s="1885" t="s">
        <v>1578</v>
      </c>
    </row>
    <row r="68" spans="1:18" s="1841" customFormat="1" ht="16.5" thickBot="1">
      <c r="A68" s="1166" t="s">
        <v>1029</v>
      </c>
      <c r="B68" s="1167" t="s">
        <v>1481</v>
      </c>
      <c r="C68" s="346">
        <f ca="1">ROUND(C67*(1-((1+F70)/(1+F68))^F69)/(F68-F70),0)</f>
        <v>-72453</v>
      </c>
      <c r="D68" s="1184" t="s">
        <v>1465</v>
      </c>
      <c r="E68" s="1169" t="s">
        <v>1466</v>
      </c>
      <c r="F68" s="357">
        <f ca="1">F40</f>
        <v>5.5E-2</v>
      </c>
      <c r="O68" s="1893" t="s">
        <v>1040</v>
      </c>
      <c r="P68" s="1933" t="s">
        <v>1579</v>
      </c>
      <c r="Q68" s="1885">
        <f ca="1">ROUND(Q69-Q70*Q71,0)</f>
        <v>510</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4429</v>
      </c>
      <c r="R69" s="1885" t="s">
        <v>1525</v>
      </c>
    </row>
    <row r="70" spans="1:18" s="1841" customFormat="1" ht="13.5" thickBot="1">
      <c r="A70" s="1173"/>
      <c r="B70" s="1174"/>
      <c r="C70" s="355"/>
      <c r="D70" s="1185"/>
      <c r="E70" s="1169" t="s">
        <v>1473</v>
      </c>
      <c r="F70" s="1275"/>
      <c r="O70" s="1893" t="s">
        <v>1046</v>
      </c>
      <c r="P70" s="1933" t="s">
        <v>1581</v>
      </c>
      <c r="Q70" s="1885">
        <f ca="1">C13</f>
        <v>46102</v>
      </c>
      <c r="R70" s="1885" t="s">
        <v>1525</v>
      </c>
    </row>
    <row r="71" spans="1:18" s="1841" customFormat="1" ht="13.5" thickBot="1">
      <c r="A71" s="1190" t="s">
        <v>1030</v>
      </c>
      <c r="B71" s="1191" t="s">
        <v>1483</v>
      </c>
      <c r="C71" s="382">
        <f ca="1">ROUND(C68*10000/F71,0)</f>
        <v>-5367</v>
      </c>
      <c r="D71" s="1192" t="s">
        <v>1484</v>
      </c>
      <c r="E71" s="1193" t="s">
        <v>1485</v>
      </c>
      <c r="F71" s="385">
        <f ca="1">F43</f>
        <v>134999.90999999997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3919</v>
      </c>
      <c r="D75" s="1841"/>
      <c r="E75" s="1841"/>
      <c r="F75" s="1841"/>
      <c r="K75" s="1867"/>
      <c r="L75" s="1841"/>
      <c r="O75" s="1883" t="s">
        <v>1043</v>
      </c>
      <c r="P75" s="1884" t="s">
        <v>1545</v>
      </c>
      <c r="Q75" s="1885">
        <f ca="1">Q65+Q66</f>
        <v>80673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0.11499999999999999</v>
      </c>
    </row>
    <row r="80" spans="1:18">
      <c r="B80" s="386" t="s">
        <v>1507</v>
      </c>
      <c r="C80" s="318">
        <f ca="1">ROUND(C75/C39,3)</f>
        <v>0.88500000000000001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3100</v>
      </c>
      <c r="E1" s="1820" t="s">
        <v>1383</v>
      </c>
      <c r="F1" s="1283">
        <f ca="1">J53</f>
        <v>33.739999999999995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2282</v>
      </c>
      <c r="C2" s="1844" t="s">
        <v>1512</v>
      </c>
      <c r="D2" s="1844"/>
      <c r="E2" s="1845"/>
      <c r="F2" s="1846"/>
      <c r="G2" s="1847"/>
      <c r="H2" s="1839"/>
      <c r="I2" s="1839"/>
      <c r="J2" s="1839"/>
      <c r="K2" s="1840"/>
      <c r="L2" s="1839"/>
      <c r="M2" s="1839"/>
    </row>
    <row r="3" spans="1:37" ht="18" customHeight="1" thickBot="1">
      <c r="A3" s="1848" t="s">
        <v>1513</v>
      </c>
      <c r="B3" s="1849">
        <f ca="1">IF(ISERROR(B2*10000/F43),0,ROUND(B2*10000/F43,0))</f>
        <v>1745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231</v>
      </c>
      <c r="D5" s="1821" t="s">
        <v>1398</v>
      </c>
      <c r="E5" s="1293"/>
      <c r="F5" s="1294"/>
      <c r="G5" s="1850"/>
      <c r="H5" s="344">
        <v>1</v>
      </c>
      <c r="I5" s="345" t="s">
        <v>1397</v>
      </c>
      <c r="J5" s="1292">
        <f ca="1">J6+J10+J12</f>
        <v>0</v>
      </c>
      <c r="K5" s="1821" t="s">
        <v>1398</v>
      </c>
      <c r="L5" s="1293"/>
      <c r="M5" s="1294"/>
    </row>
    <row r="6" spans="1:37" ht="18" customHeight="1">
      <c r="A6" s="1291" t="s">
        <v>1032</v>
      </c>
      <c r="B6" s="3299" t="s">
        <v>1399</v>
      </c>
      <c r="C6" s="1296">
        <f ca="1">ROUND(F6*F8*F7*(1-F9)/10000,0)</f>
        <v>231</v>
      </c>
      <c r="D6" s="164" t="s">
        <v>3017</v>
      </c>
      <c r="E6" s="347" t="s">
        <v>1401</v>
      </c>
      <c r="F6" s="348">
        <f ca="1">INDIRECT("'数据-取费表'!u"&amp;$G$1)</f>
        <v>0.55000000000000004</v>
      </c>
      <c r="G6" s="1850"/>
      <c r="H6" s="1291" t="s">
        <v>1032</v>
      </c>
      <c r="I6" s="3299" t="s">
        <v>1399</v>
      </c>
      <c r="J6" s="346">
        <f ca="1">ROUND(M6*M8*M7*(1-M9)/10000,0)</f>
        <v>0</v>
      </c>
      <c r="K6" s="164" t="s">
        <v>3016</v>
      </c>
      <c r="L6" s="347" t="s">
        <v>1401</v>
      </c>
      <c r="M6" s="348">
        <f ca="1">INDIRECT("'数据-取费表'!z"&amp;$G$1)</f>
        <v>0</v>
      </c>
    </row>
    <row r="7" spans="1:37" ht="18" customHeight="1">
      <c r="A7" s="1295"/>
      <c r="B7" s="3300"/>
      <c r="C7" s="1297"/>
      <c r="D7" s="352"/>
      <c r="E7" s="2956" t="s">
        <v>1402</v>
      </c>
      <c r="F7" s="348">
        <f ca="1">IF(INDIRECT("'数据-取费表'!ah"&amp;$G$1)="",INDIRECT("'数据-取费表'!k"&amp;$G$1),INDIRECT("'数据-取费表'!ah"&amp;$G$1))</f>
        <v>13075.2</v>
      </c>
      <c r="G7" s="1850"/>
      <c r="H7" s="349"/>
      <c r="I7" s="3300"/>
      <c r="J7" s="351"/>
      <c r="K7" s="352"/>
      <c r="L7" s="347" t="s">
        <v>1402</v>
      </c>
      <c r="M7" s="348">
        <f ca="1">F7</f>
        <v>13075.2</v>
      </c>
    </row>
    <row r="8" spans="1:37" ht="18" customHeight="1">
      <c r="A8" s="349"/>
      <c r="B8" s="3300"/>
      <c r="C8" s="351"/>
      <c r="D8" s="352"/>
      <c r="E8" s="347" t="s">
        <v>1403</v>
      </c>
      <c r="F8" s="348">
        <f ca="1">INDIRECT("'数据-取费表'!ai"&amp;$G$1)</f>
        <v>365</v>
      </c>
      <c r="G8" s="1850"/>
      <c r="H8" s="349"/>
      <c r="I8" s="3300"/>
      <c r="J8" s="351"/>
      <c r="K8" s="352"/>
      <c r="L8" s="347" t="s">
        <v>1403</v>
      </c>
      <c r="M8" s="348">
        <f ca="1">INDIRECT("'数据-取费表'!ai"&amp;$G$1)</f>
        <v>365</v>
      </c>
    </row>
    <row r="9" spans="1:37" ht="18" customHeight="1">
      <c r="A9" s="349"/>
      <c r="B9" s="3301"/>
      <c r="C9" s="351"/>
      <c r="D9" s="352"/>
      <c r="E9" s="347" t="s">
        <v>1404</v>
      </c>
      <c r="F9" s="357">
        <f ca="1">INDIRECT("'数据-取费表'!w"&amp;$G$1)</f>
        <v>0.12</v>
      </c>
      <c r="G9" s="1850"/>
      <c r="H9" s="349"/>
      <c r="I9" s="3301"/>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3059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2092</v>
      </c>
      <c r="D14" s="2959" t="s">
        <v>1414</v>
      </c>
      <c r="E14" s="2958"/>
      <c r="F14" s="364"/>
      <c r="G14" s="1850"/>
      <c r="H14" s="1201" t="s">
        <v>1032</v>
      </c>
      <c r="I14" s="347" t="s">
        <v>1415</v>
      </c>
      <c r="J14" s="24">
        <f ca="1">C29</f>
        <v>3059</v>
      </c>
      <c r="K14" s="2955"/>
      <c r="L14" s="979"/>
      <c r="M14" s="980"/>
    </row>
    <row r="15" spans="1:37" s="1857" customFormat="1" ht="18" customHeight="1" thickBot="1">
      <c r="A15" s="1201" t="s">
        <v>1033</v>
      </c>
      <c r="B15" s="347" t="s">
        <v>1416</v>
      </c>
      <c r="C15" s="24">
        <f ca="1">ROUND(C14*F15,0)</f>
        <v>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v>
      </c>
      <c r="K16" s="1337" t="s">
        <v>1421</v>
      </c>
      <c r="L16" s="2961"/>
      <c r="M16" s="1294"/>
    </row>
    <row r="17" spans="1:37" s="1857" customFormat="1" ht="18" customHeight="1">
      <c r="A17" s="1201" t="s">
        <v>1386</v>
      </c>
      <c r="B17" s="347" t="s">
        <v>1422</v>
      </c>
      <c r="C17" s="24">
        <f ca="1">ROUND(F17*(F43+INDIRECT("'数据-取费表'!S"&amp;$G$1))/10000,0)</f>
        <v>262</v>
      </c>
      <c r="D17" s="347" t="s">
        <v>1423</v>
      </c>
      <c r="E17" s="347" t="s">
        <v>1424</v>
      </c>
      <c r="F17" s="26">
        <f>'数据-取费表'!B35</f>
        <v>200</v>
      </c>
      <c r="G17" s="1853"/>
      <c r="H17" s="1201" t="s">
        <v>1032</v>
      </c>
      <c r="I17" s="347" t="s">
        <v>1425</v>
      </c>
      <c r="J17" s="24">
        <f ca="1">ROUND(IF(项目基本情况!B11="自然人",J5*M17,J18+J19+J20),1)</f>
        <v>38.799999999999997</v>
      </c>
      <c r="K17" s="2959" t="s">
        <v>1426</v>
      </c>
      <c r="L17" s="296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31</v>
      </c>
      <c r="D18" s="347" t="s">
        <v>1417</v>
      </c>
      <c r="E18" s="347" t="s">
        <v>1418</v>
      </c>
      <c r="F18" s="367">
        <f>'数据-取费表'!B36</f>
        <v>1.4999999999999999E-2</v>
      </c>
      <c r="G18" s="1853"/>
      <c r="H18" s="1201" t="s">
        <v>1031</v>
      </c>
      <c r="I18" s="347" t="s">
        <v>1429</v>
      </c>
      <c r="J18" s="24">
        <f ca="1">ROUND(J5*M18/(1+'数据-取费表'!C42),2)</f>
        <v>0</v>
      </c>
      <c r="K18" s="2960"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2448</v>
      </c>
      <c r="D19" s="140" t="s">
        <v>1432</v>
      </c>
      <c r="E19" s="2954"/>
      <c r="F19" s="26"/>
      <c r="G19" s="1850"/>
      <c r="H19" s="1201" t="s">
        <v>1033</v>
      </c>
      <c r="I19" s="347" t="s">
        <v>1433</v>
      </c>
      <c r="J19" s="24">
        <f ca="1">IF(K19="按租金收入计税",ROUND(J5*M19,2),ROUND(C29*M19*0.7,2))</f>
        <v>25.7</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73</v>
      </c>
      <c r="D20" s="369" t="s">
        <v>1436</v>
      </c>
      <c r="E20" s="347" t="s">
        <v>1418</v>
      </c>
      <c r="F20" s="367">
        <f>'数据-取费表'!B37</f>
        <v>0.03</v>
      </c>
      <c r="G20" s="1853"/>
      <c r="H20" s="1201" t="s">
        <v>1385</v>
      </c>
      <c r="I20" s="164" t="s">
        <v>1437</v>
      </c>
      <c r="J20" s="25">
        <f ca="1">ROUND(M20*M21/10000,2)</f>
        <v>13.08</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14538.34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4"/>
      <c r="F22" s="26"/>
      <c r="G22" s="1850"/>
      <c r="H22" s="1201" t="s">
        <v>1036</v>
      </c>
      <c r="I22" s="347" t="s">
        <v>1445</v>
      </c>
      <c r="J22" s="24">
        <f ca="1">ROUND(J14*M22,1)</f>
        <v>45.9</v>
      </c>
      <c r="K22" s="2960"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4"/>
      <c r="F25" s="26"/>
      <c r="G25" s="1850"/>
      <c r="H25" s="1329" t="s">
        <v>1028</v>
      </c>
      <c r="I25" s="1344" t="s">
        <v>1459</v>
      </c>
      <c r="J25" s="355">
        <f ca="1">J5-J16</f>
        <v>-85</v>
      </c>
      <c r="K25" s="1345" t="s">
        <v>1460</v>
      </c>
      <c r="L25" s="1346"/>
      <c r="M25" s="1347"/>
    </row>
    <row r="26" spans="1:37">
      <c r="A26" s="1201" t="s">
        <v>1031</v>
      </c>
      <c r="B26" s="347" t="s">
        <v>1461</v>
      </c>
      <c r="C26" s="24">
        <f ca="1">ROUND((C19+C20)*F26,0)</f>
        <v>126</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3059</v>
      </c>
      <c r="D29" s="1342"/>
      <c r="E29" s="1340"/>
      <c r="F29" s="1343"/>
      <c r="G29" s="1853"/>
      <c r="H29" s="380" t="s">
        <v>1030</v>
      </c>
      <c r="I29" s="381" t="s">
        <v>1475</v>
      </c>
      <c r="J29" s="382">
        <f ca="1">ROUND(J26/(1+F40)^F41,0)</f>
        <v>0</v>
      </c>
      <c r="K29" s="383" t="s">
        <v>1476</v>
      </c>
      <c r="L29" s="384"/>
      <c r="M29" s="385">
        <f ca="1">INDIRECT("'数据-取费表'!k"&amp;$G$1)</f>
        <v>13075.2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106</v>
      </c>
      <c r="D30" s="1337" t="s">
        <v>1421</v>
      </c>
      <c r="E30" s="2961"/>
      <c r="F30" s="1294"/>
      <c r="G30" s="1850"/>
      <c r="H30" s="745"/>
      <c r="I30" s="746"/>
      <c r="J30" s="747"/>
      <c r="K30" s="748"/>
      <c r="L30" s="749"/>
      <c r="M30" s="750"/>
    </row>
    <row r="31" spans="1:37" ht="18" customHeight="1">
      <c r="A31" s="1201" t="s">
        <v>1032</v>
      </c>
      <c r="B31" s="347" t="s">
        <v>1425</v>
      </c>
      <c r="C31" s="24">
        <f ca="1">ROUND(IF(项目基本情况!B11="自然人",C5*F31,C32+C33+C34),1)</f>
        <v>52.9</v>
      </c>
      <c r="D31" s="2959" t="s">
        <v>1426</v>
      </c>
      <c r="E31" s="296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12.1</v>
      </c>
      <c r="D32" s="2960"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27.72</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13.08</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14538.34</v>
      </c>
      <c r="G35" s="1850"/>
      <c r="H35" s="745"/>
      <c r="I35" s="1859"/>
      <c r="J35" s="1860"/>
      <c r="K35" s="1861"/>
      <c r="L35" s="1858"/>
      <c r="M35" s="1858"/>
    </row>
    <row r="36" spans="1:18" ht="18" customHeight="1">
      <c r="A36" s="1352" t="s">
        <v>1036</v>
      </c>
      <c r="B36" s="347" t="s">
        <v>1445</v>
      </c>
      <c r="C36" s="24">
        <f ca="1">ROUND(C29*F36,1)</f>
        <v>45.9</v>
      </c>
      <c r="D36" s="2960"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4.5999999999999996</v>
      </c>
      <c r="D37" s="2960"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2.2999999999999998</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2282</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1745</v>
      </c>
      <c r="D43" s="383" t="s">
        <v>1484</v>
      </c>
      <c r="E43" s="384" t="s">
        <v>1485</v>
      </c>
      <c r="F43" s="385">
        <f ca="1">INDIRECT("'数据-取费表'!k"&amp;$G$1)</f>
        <v>13075.2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-7464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2282</v>
      </c>
      <c r="R47" s="1885" t="s">
        <v>1525</v>
      </c>
    </row>
    <row r="48" spans="1:18" s="1841" customFormat="1" ht="28.5" thickBot="1">
      <c r="A48" s="1360" t="s">
        <v>1132</v>
      </c>
      <c r="B48" s="345" t="s">
        <v>1397</v>
      </c>
      <c r="C48" s="2953">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3059</v>
      </c>
      <c r="R49" s="1885" t="s">
        <v>1525</v>
      </c>
    </row>
    <row r="50" spans="1:18" s="1841" customFormat="1" ht="13.5" thickBot="1">
      <c r="A50" s="1195"/>
      <c r="B50" s="1198"/>
      <c r="C50" s="1368"/>
      <c r="D50" s="1172"/>
      <c r="E50" s="1277" t="s">
        <v>1402</v>
      </c>
      <c r="F50" s="1278">
        <f ca="1">F7</f>
        <v>13075.2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-2484</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97" t="s">
        <v>1544</v>
      </c>
      <c r="L53" s="3298"/>
      <c r="O53" s="1883" t="s">
        <v>1043</v>
      </c>
      <c r="P53" s="1884" t="s">
        <v>1545</v>
      </c>
      <c r="Q53" s="1885">
        <f ca="1">Q47+Q48</f>
        <v>2282</v>
      </c>
      <c r="R53" s="1885" t="s">
        <v>1044</v>
      </c>
    </row>
    <row r="54" spans="1:18" s="1841" customFormat="1" ht="13.5" thickBot="1">
      <c r="A54" s="1406"/>
      <c r="B54" s="1824" t="s">
        <v>1384</v>
      </c>
      <c r="C54" s="1178"/>
      <c r="D54" s="1823"/>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57"/>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3059</v>
      </c>
      <c r="D56" s="1913"/>
      <c r="E56" s="1914"/>
      <c r="F56" s="1906"/>
      <c r="I56" s="1915" t="s">
        <v>1550</v>
      </c>
      <c r="J56" s="1916" t="s">
        <v>3077</v>
      </c>
      <c r="K56" s="1886" t="s">
        <v>1551</v>
      </c>
      <c r="L56" s="1889" t="str">
        <f ca="1">IF(L48&lt;J51,"——",L48-J53)</f>
        <v>——</v>
      </c>
      <c r="O56" s="1883" t="s">
        <v>1037</v>
      </c>
      <c r="P56" s="1884" t="s">
        <v>1524</v>
      </c>
      <c r="Q56" s="1885">
        <f ca="1">C40+J29</f>
        <v>2282</v>
      </c>
      <c r="R56" s="1885" t="s">
        <v>1525</v>
      </c>
    </row>
    <row r="57" spans="1:18" s="1841" customFormat="1" ht="24.75" thickBot="1">
      <c r="A57" s="1917"/>
      <c r="B57" s="1169" t="s">
        <v>1474</v>
      </c>
      <c r="C57" s="282">
        <f ca="1">C29</f>
        <v>3059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321</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270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256.95999999999998</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13.08</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2282</v>
      </c>
      <c r="R62" s="1885" t="s">
        <v>1044</v>
      </c>
    </row>
    <row r="63" spans="1:18" s="1841" customFormat="1" ht="13.5" thickBot="1">
      <c r="A63" s="372"/>
      <c r="B63" s="1175"/>
      <c r="C63" s="29"/>
      <c r="D63" s="1185"/>
      <c r="E63" s="1169" t="s">
        <v>1495</v>
      </c>
      <c r="F63" s="348">
        <f t="shared" ca="1" si="0"/>
        <v>14538.34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45.9</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4.5999999999999996</v>
      </c>
      <c r="D65" s="1183" t="s">
        <v>1450</v>
      </c>
      <c r="E65" s="1169" t="s">
        <v>1451</v>
      </c>
      <c r="F65" s="376">
        <f t="shared" ca="1" si="0"/>
        <v>1.5E-3</v>
      </c>
      <c r="I65" s="1928" t="s">
        <v>1575</v>
      </c>
      <c r="J65" s="1929">
        <v>40</v>
      </c>
      <c r="K65" s="1929">
        <v>30</v>
      </c>
      <c r="L65" s="1929">
        <v>50</v>
      </c>
      <c r="M65" s="1931">
        <v>0.02</v>
      </c>
      <c r="O65" s="1883" t="s">
        <v>1037</v>
      </c>
      <c r="P65" s="1884" t="s">
        <v>1576</v>
      </c>
      <c r="Q65" s="1885">
        <f ca="1">C40+J29</f>
        <v>2282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-321</v>
      </c>
      <c r="D67" s="1182" t="s">
        <v>1460</v>
      </c>
      <c r="E67" s="1187"/>
      <c r="F67" s="1188"/>
      <c r="O67" s="1893" t="s">
        <v>1039</v>
      </c>
      <c r="P67" s="1884" t="s">
        <v>1558</v>
      </c>
      <c r="Q67" s="1932">
        <f ca="1">L51</f>
        <v>-2484</v>
      </c>
      <c r="R67" s="1885" t="s">
        <v>1578</v>
      </c>
    </row>
    <row r="68" spans="1:18" s="1841" customFormat="1" ht="16.5" thickBot="1">
      <c r="A68" s="1166" t="s">
        <v>1029</v>
      </c>
      <c r="B68" s="1167" t="s">
        <v>1481</v>
      </c>
      <c r="C68" s="346">
        <f ca="1">ROUND(C67*(1-((1+F70)/(1+F68))^F69)/(F68-F70),0)</f>
        <v>-5182</v>
      </c>
      <c r="D68" s="1184" t="s">
        <v>1465</v>
      </c>
      <c r="E68" s="1169" t="s">
        <v>1466</v>
      </c>
      <c r="F68" s="357">
        <f ca="1">F40</f>
        <v>0.05</v>
      </c>
      <c r="O68" s="1893" t="s">
        <v>1040</v>
      </c>
      <c r="P68" s="1933" t="s">
        <v>1579</v>
      </c>
      <c r="Q68" s="1885">
        <f ca="1">ROUND(Q69-Q70*Q71,0)</f>
        <v>-135</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125</v>
      </c>
      <c r="R69" s="1885" t="s">
        <v>1525</v>
      </c>
    </row>
    <row r="70" spans="1:18" s="1841" customFormat="1" ht="13.5" thickBot="1">
      <c r="A70" s="1173"/>
      <c r="B70" s="1174"/>
      <c r="C70" s="355"/>
      <c r="D70" s="1185"/>
      <c r="E70" s="1169" t="s">
        <v>1473</v>
      </c>
      <c r="F70" s="1275"/>
      <c r="O70" s="1893" t="s">
        <v>1046</v>
      </c>
      <c r="P70" s="1933" t="s">
        <v>1581</v>
      </c>
      <c r="Q70" s="1885">
        <f ca="1">C13</f>
        <v>3059</v>
      </c>
      <c r="R70" s="1885" t="s">
        <v>1525</v>
      </c>
    </row>
    <row r="71" spans="1:18" s="1841" customFormat="1" ht="13.5" thickBot="1">
      <c r="A71" s="1190" t="s">
        <v>1030</v>
      </c>
      <c r="B71" s="1191" t="s">
        <v>1483</v>
      </c>
      <c r="C71" s="382">
        <f ca="1">ROUND(C68*10000/F71,0)</f>
        <v>-3963</v>
      </c>
      <c r="D71" s="1192" t="s">
        <v>1484</v>
      </c>
      <c r="E71" s="1193" t="s">
        <v>1485</v>
      </c>
      <c r="F71" s="385">
        <f ca="1">F43</f>
        <v>13075.2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260</v>
      </c>
      <c r="D75" s="1841"/>
      <c r="E75" s="1841"/>
      <c r="F75" s="1841"/>
      <c r="K75" s="1867"/>
      <c r="L75" s="1841"/>
      <c r="O75" s="1883" t="s">
        <v>1043</v>
      </c>
      <c r="P75" s="1884" t="s">
        <v>1545</v>
      </c>
      <c r="Q75" s="1885">
        <f ca="1">Q65+Q66</f>
        <v>2282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-1.08</v>
      </c>
    </row>
    <row r="80" spans="1:18">
      <c r="B80" s="386" t="s">
        <v>1507</v>
      </c>
      <c r="C80" s="318">
        <f ca="1">ROUND(C75/C39,3)</f>
        <v>2.08</v>
      </c>
    </row>
    <row r="81" spans="2:3">
      <c r="B81" s="314" t="s">
        <v>1508</v>
      </c>
      <c r="C81" s="282"/>
    </row>
    <row r="82" spans="2:3">
      <c r="B82" s="317" t="s">
        <v>1509</v>
      </c>
      <c r="C82" s="319">
        <f ca="1">1-C83</f>
        <v>-0.34000000000000008</v>
      </c>
    </row>
    <row r="83" spans="2:3">
      <c r="B83" s="317" t="s">
        <v>1510</v>
      </c>
      <c r="C83" s="318">
        <f ca="1">ROUND(C13/C40,3)</f>
        <v>1.34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9" t="s">
        <v>1399</v>
      </c>
      <c r="C6" s="1296">
        <f ca="1">ROUND(F6*F8*F7*(1-F9),0)</f>
        <v>0</v>
      </c>
      <c r="D6" s="164" t="s">
        <v>3014</v>
      </c>
      <c r="E6" s="347" t="s">
        <v>1401</v>
      </c>
      <c r="F6" s="348">
        <f ca="1">INDIRECT("'数据-取费表'!u"&amp;$G$1)</f>
        <v>0</v>
      </c>
      <c r="G6" s="1850"/>
      <c r="H6" s="1291" t="s">
        <v>1032</v>
      </c>
      <c r="I6" s="3299" t="s">
        <v>1399</v>
      </c>
      <c r="J6" s="346">
        <f ca="1">ROUND(M6*M8*M7*(1-M9),0)</f>
        <v>0</v>
      </c>
      <c r="K6" s="1833" t="s">
        <v>3015</v>
      </c>
      <c r="L6" s="347" t="s">
        <v>1401</v>
      </c>
      <c r="M6" s="348">
        <f ca="1">INDIRECT("'数据-取费表'!z"&amp;$G$1)</f>
        <v>0</v>
      </c>
    </row>
    <row r="7" spans="1:37" ht="18" customHeight="1">
      <c r="A7" s="1295"/>
      <c r="B7" s="3300"/>
      <c r="C7" s="1297"/>
      <c r="D7" s="352"/>
      <c r="E7" s="1298" t="s">
        <v>1402</v>
      </c>
      <c r="F7" s="348">
        <f ca="1">IF(INDIRECT("'数据-取费表'!ah"&amp;$G$1)="",INDIRECT("'数据-取费表'!k"&amp;$G$1),INDIRECT("'数据-取费表'!ah"&amp;$G$1))</f>
        <v>0</v>
      </c>
      <c r="G7" s="1850"/>
      <c r="H7" s="349"/>
      <c r="I7" s="3300"/>
      <c r="J7" s="351"/>
      <c r="K7" s="352"/>
      <c r="L7" s="347" t="s">
        <v>1402</v>
      </c>
      <c r="M7" s="348">
        <f ca="1">F7</f>
        <v>0</v>
      </c>
    </row>
    <row r="8" spans="1:37" ht="18" customHeight="1">
      <c r="A8" s="349"/>
      <c r="B8" s="3300"/>
      <c r="C8" s="351"/>
      <c r="D8" s="352"/>
      <c r="E8" s="347" t="s">
        <v>1403</v>
      </c>
      <c r="F8" s="348">
        <f ca="1">INDIRECT("'数据-取费表'!ai"&amp;$G$1)</f>
        <v>0</v>
      </c>
      <c r="G8" s="1850"/>
      <c r="H8" s="349"/>
      <c r="I8" s="3300"/>
      <c r="J8" s="351"/>
      <c r="K8" s="352"/>
      <c r="L8" s="347" t="s">
        <v>1403</v>
      </c>
      <c r="M8" s="348">
        <f ca="1">INDIRECT("'数据-取费表'!ai"&amp;$G$1)</f>
        <v>0</v>
      </c>
    </row>
    <row r="9" spans="1:37" ht="18" customHeight="1">
      <c r="A9" s="349"/>
      <c r="B9" s="3301"/>
      <c r="C9" s="351"/>
      <c r="D9" s="352"/>
      <c r="E9" s="347" t="s">
        <v>1404</v>
      </c>
      <c r="F9" s="357">
        <f ca="1">INDIRECT("'数据-取费表'!w"&amp;$G$1)</f>
        <v>0</v>
      </c>
      <c r="G9" s="1850"/>
      <c r="H9" s="349"/>
      <c r="I9" s="3301"/>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97" t="s">
        <v>1544</v>
      </c>
      <c r="L53" s="3298"/>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82955</v>
      </c>
      <c r="C2" s="2562" t="s">
        <v>2505</v>
      </c>
      <c r="D2" s="2563" t="s">
        <v>2506</v>
      </c>
      <c r="E2" s="2564">
        <f>SUM(E6:E13)</f>
        <v>148075.10999999999</v>
      </c>
    </row>
    <row r="3" spans="1:6" ht="15.75">
      <c r="A3" s="2560" t="s">
        <v>1391</v>
      </c>
      <c r="B3" s="2561">
        <f ca="1">ROUND(B2*10000/E2,0)</f>
        <v>5602</v>
      </c>
      <c r="C3" s="2562" t="s">
        <v>2513</v>
      </c>
      <c r="D3" s="2565"/>
      <c r="E3" s="2566"/>
    </row>
    <row r="4" spans="1:6" ht="15.75">
      <c r="A4" s="2567"/>
      <c r="B4" s="2565"/>
      <c r="C4" s="2565"/>
      <c r="D4" s="2565"/>
      <c r="E4" s="2566"/>
    </row>
    <row r="5" spans="1:6" ht="15">
      <c r="A5" s="2568" t="s">
        <v>2507</v>
      </c>
      <c r="B5" s="3302" t="s">
        <v>2508</v>
      </c>
      <c r="C5" s="3302"/>
      <c r="D5" s="2569"/>
      <c r="E5" s="2570" t="s">
        <v>2509</v>
      </c>
      <c r="F5" s="2571" t="s">
        <v>2510</v>
      </c>
    </row>
    <row r="6" spans="1:6">
      <c r="A6" s="2572" t="str">
        <f>'数据-取费表'!AN6</f>
        <v>收益法</v>
      </c>
      <c r="B6" s="2571">
        <f ca="1">IF(F6="是",'数据-取费表'!AO6,0)</f>
        <v>80673</v>
      </c>
      <c r="C6" s="2562" t="s">
        <v>2505</v>
      </c>
      <c r="D6" s="2565"/>
      <c r="E6" s="2573">
        <f>IF(OR(A6=0,F6="否"),0,'数据-取费表'!K6+'数据-取费表'!S6)</f>
        <v>134999.90999999997</v>
      </c>
      <c r="F6" s="2574" t="s">
        <v>2511</v>
      </c>
    </row>
    <row r="7" spans="1:6">
      <c r="A7" s="2572" t="str">
        <f>'数据-取费表'!AN7</f>
        <v>收益法 (车库)</v>
      </c>
      <c r="B7" s="2571">
        <f ca="1">IF(F7="是",'数据-取费表'!AO7,0)</f>
        <v>2282</v>
      </c>
      <c r="C7" s="2562" t="s">
        <v>2505</v>
      </c>
      <c r="D7" s="2565"/>
      <c r="E7" s="2573">
        <f>IF(OR(A7=0,F7="否"),0,'数据-取费表'!K7+'数据-取费表'!S7)</f>
        <v>13075.2</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3" t="s">
        <v>1073</v>
      </c>
      <c r="B1" s="3304"/>
      <c r="C1" s="3305"/>
      <c r="D1" s="3306">
        <f>SUM(I10,I15,I20,I21,I23)</f>
        <v>0</v>
      </c>
      <c r="E1" s="3306"/>
      <c r="F1" s="3306"/>
      <c r="G1" s="3306"/>
      <c r="H1" s="3306"/>
      <c r="I1" s="3307"/>
    </row>
    <row r="2" spans="1:9">
      <c r="A2" s="3308" t="s">
        <v>1074</v>
      </c>
      <c r="B2" s="3309" t="s">
        <v>1075</v>
      </c>
      <c r="C2" s="3309"/>
      <c r="D2" s="1301" t="s">
        <v>1076</v>
      </c>
      <c r="E2" s="1301" t="s">
        <v>1077</v>
      </c>
      <c r="F2" s="1301" t="s">
        <v>1078</v>
      </c>
      <c r="G2" s="1301" t="s">
        <v>1079</v>
      </c>
      <c r="H2" s="1301" t="s">
        <v>1080</v>
      </c>
      <c r="I2" s="1302" t="s">
        <v>1081</v>
      </c>
    </row>
    <row r="3" spans="1:9">
      <c r="A3" s="3308"/>
      <c r="B3" s="3309" t="s">
        <v>1082</v>
      </c>
      <c r="C3" s="3309"/>
      <c r="D3" s="1303"/>
      <c r="E3" s="1301"/>
      <c r="F3" s="1304"/>
      <c r="G3" s="1304"/>
      <c r="H3" s="1305"/>
      <c r="I3" s="1306">
        <f>ROUND(D3*E3*F3*G3*H3/10000,0)</f>
        <v>0</v>
      </c>
    </row>
    <row r="4" spans="1:9">
      <c r="A4" s="3308"/>
      <c r="B4" s="3309" t="s">
        <v>1083</v>
      </c>
      <c r="C4" s="3309"/>
      <c r="D4" s="1303"/>
      <c r="E4" s="1301"/>
      <c r="F4" s="1304"/>
      <c r="G4" s="1304"/>
      <c r="H4" s="1305"/>
      <c r="I4" s="1306">
        <f t="shared" ref="I4:I9" si="0">ROUND(D4*E4*F4*G4*H4/10000,0)</f>
        <v>0</v>
      </c>
    </row>
    <row r="5" spans="1:9">
      <c r="A5" s="3308"/>
      <c r="B5" s="3309" t="s">
        <v>1084</v>
      </c>
      <c r="C5" s="3309"/>
      <c r="D5" s="1303"/>
      <c r="E5" s="1301"/>
      <c r="F5" s="1304"/>
      <c r="G5" s="1304"/>
      <c r="H5" s="1305"/>
      <c r="I5" s="1306">
        <f t="shared" si="0"/>
        <v>0</v>
      </c>
    </row>
    <row r="6" spans="1:9">
      <c r="A6" s="3308"/>
      <c r="B6" s="3309" t="s">
        <v>1085</v>
      </c>
      <c r="C6" s="3309"/>
      <c r="D6" s="1303"/>
      <c r="E6" s="1301"/>
      <c r="F6" s="1304"/>
      <c r="G6" s="1304"/>
      <c r="H6" s="1305"/>
      <c r="I6" s="1306">
        <f t="shared" si="0"/>
        <v>0</v>
      </c>
    </row>
    <row r="7" spans="1:9">
      <c r="A7" s="3308"/>
      <c r="B7" s="3309" t="s">
        <v>1086</v>
      </c>
      <c r="C7" s="3309"/>
      <c r="D7" s="1303"/>
      <c r="E7" s="1301"/>
      <c r="F7" s="1304"/>
      <c r="G7" s="1304"/>
      <c r="H7" s="1305"/>
      <c r="I7" s="1306">
        <f t="shared" si="0"/>
        <v>0</v>
      </c>
    </row>
    <row r="8" spans="1:9">
      <c r="A8" s="3308"/>
      <c r="B8" s="3309" t="s">
        <v>1087</v>
      </c>
      <c r="C8" s="3309"/>
      <c r="D8" s="1303"/>
      <c r="E8" s="1301"/>
      <c r="F8" s="1304"/>
      <c r="G8" s="1304"/>
      <c r="H8" s="1305"/>
      <c r="I8" s="1306">
        <f t="shared" si="0"/>
        <v>0</v>
      </c>
    </row>
    <row r="9" spans="1:9">
      <c r="A9" s="3308"/>
      <c r="B9" s="3309" t="s">
        <v>1088</v>
      </c>
      <c r="C9" s="3309"/>
      <c r="D9" s="1303"/>
      <c r="E9" s="1301"/>
      <c r="F9" s="1304"/>
      <c r="G9" s="1304"/>
      <c r="H9" s="1305"/>
      <c r="I9" s="1306">
        <f t="shared" si="0"/>
        <v>0</v>
      </c>
    </row>
    <row r="10" spans="1:9">
      <c r="A10" s="3308"/>
      <c r="B10" s="3310" t="s">
        <v>1089</v>
      </c>
      <c r="C10" s="3310"/>
      <c r="D10" s="1307"/>
      <c r="E10" s="1307" t="e">
        <f>ROUND(D1*10000/D10/H9,0)</f>
        <v>#DIV/0!</v>
      </c>
      <c r="F10" s="1308"/>
      <c r="G10" s="1308"/>
      <c r="H10" s="1309"/>
      <c r="I10" s="1310">
        <f>SUM(I3:I9)</f>
        <v>0</v>
      </c>
    </row>
    <row r="11" spans="1:9" ht="14.25">
      <c r="A11" s="3308" t="s">
        <v>1090</v>
      </c>
      <c r="B11" s="3309" t="s">
        <v>1091</v>
      </c>
      <c r="C11" s="3309"/>
      <c r="D11" s="1303" t="s">
        <v>1092</v>
      </c>
      <c r="E11" s="1303" t="s">
        <v>1093</v>
      </c>
      <c r="F11" s="1304" t="s">
        <v>1094</v>
      </c>
      <c r="G11" s="1304" t="s">
        <v>1080</v>
      </c>
      <c r="H11" s="1311" t="s">
        <v>1095</v>
      </c>
      <c r="I11" s="1302" t="s">
        <v>1081</v>
      </c>
    </row>
    <row r="12" spans="1:9">
      <c r="A12" s="3308"/>
      <c r="B12" s="3309" t="s">
        <v>1096</v>
      </c>
      <c r="C12" s="3309"/>
      <c r="D12" s="1303"/>
      <c r="E12" s="1303"/>
      <c r="F12" s="1304"/>
      <c r="G12" s="1305"/>
      <c r="H12" s="1312"/>
      <c r="I12" s="1302">
        <f>ROUND(D12*E12*F12*G12/10000,0)</f>
        <v>0</v>
      </c>
    </row>
    <row r="13" spans="1:9">
      <c r="A13" s="3308"/>
      <c r="B13" s="3309" t="s">
        <v>1097</v>
      </c>
      <c r="C13" s="3309"/>
      <c r="D13" s="1303"/>
      <c r="E13" s="1303"/>
      <c r="F13" s="1304"/>
      <c r="G13" s="1305"/>
      <c r="H13" s="1312"/>
      <c r="I13" s="1302">
        <f>ROUND(D13*E13*F13*G13/10000,0)</f>
        <v>0</v>
      </c>
    </row>
    <row r="14" spans="1:9">
      <c r="A14" s="3308"/>
      <c r="B14" s="3309" t="s">
        <v>1098</v>
      </c>
      <c r="C14" s="3309"/>
      <c r="D14" s="1303"/>
      <c r="E14" s="1303"/>
      <c r="F14" s="1304"/>
      <c r="G14" s="1305"/>
      <c r="H14" s="1312"/>
      <c r="I14" s="1302">
        <f>ROUND(D14*E14*F14*G14/10000,0)</f>
        <v>0</v>
      </c>
    </row>
    <row r="15" spans="1:9">
      <c r="A15" s="3308"/>
      <c r="B15" s="3310" t="s">
        <v>1089</v>
      </c>
      <c r="C15" s="3310"/>
      <c r="D15" s="1307"/>
      <c r="E15" s="1307">
        <f>SUM(E12:E14)</f>
        <v>0</v>
      </c>
      <c r="F15" s="1308"/>
      <c r="G15" s="1305"/>
      <c r="H15" s="1312"/>
      <c r="I15" s="1313">
        <f>SUM(I12:I14)</f>
        <v>0</v>
      </c>
    </row>
    <row r="16" spans="1:9" ht="24">
      <c r="A16" s="3308" t="s">
        <v>1099</v>
      </c>
      <c r="B16" s="3309" t="s">
        <v>1100</v>
      </c>
      <c r="C16" s="3309"/>
      <c r="D16" s="1303" t="s">
        <v>1076</v>
      </c>
      <c r="E16" s="1314" t="s">
        <v>1101</v>
      </c>
      <c r="F16" s="1304" t="s">
        <v>1102</v>
      </c>
      <c r="G16" s="1305" t="s">
        <v>1080</v>
      </c>
      <c r="H16" s="1311" t="s">
        <v>1095</v>
      </c>
      <c r="I16" s="1302" t="s">
        <v>1081</v>
      </c>
    </row>
    <row r="17" spans="1:9" ht="14.25">
      <c r="A17" s="3308"/>
      <c r="B17" s="3309" t="s">
        <v>1103</v>
      </c>
      <c r="C17" s="3309"/>
      <c r="D17" s="1303"/>
      <c r="E17" s="1303"/>
      <c r="F17" s="1304"/>
      <c r="G17" s="1305"/>
      <c r="H17" s="1315"/>
      <c r="I17" s="1316">
        <f>ROUND(D17*E17*F17*G17/10000,0)</f>
        <v>0</v>
      </c>
    </row>
    <row r="18" spans="1:9" ht="14.25">
      <c r="A18" s="3308"/>
      <c r="B18" s="3309" t="s">
        <v>1104</v>
      </c>
      <c r="C18" s="3309"/>
      <c r="D18" s="1303"/>
      <c r="E18" s="1303"/>
      <c r="F18" s="1304"/>
      <c r="G18" s="1305"/>
      <c r="H18" s="1315"/>
      <c r="I18" s="1316">
        <f>ROUND(D18*E18*F18*G18/10000,0)</f>
        <v>0</v>
      </c>
    </row>
    <row r="19" spans="1:9" ht="14.25">
      <c r="A19" s="3308"/>
      <c r="B19" s="3309" t="s">
        <v>1105</v>
      </c>
      <c r="C19" s="3309"/>
      <c r="D19" s="1303"/>
      <c r="E19" s="1303"/>
      <c r="F19" s="1304"/>
      <c r="G19" s="1305"/>
      <c r="H19" s="1315"/>
      <c r="I19" s="1316">
        <f>ROUND(D19*E19*F19*G19/10000,0)</f>
        <v>0</v>
      </c>
    </row>
    <row r="20" spans="1:9">
      <c r="A20" s="3308"/>
      <c r="B20" s="3310" t="s">
        <v>1089</v>
      </c>
      <c r="C20" s="3310"/>
      <c r="D20" s="1307">
        <f>SUM(D17:D19)</f>
        <v>0</v>
      </c>
      <c r="E20" s="1307"/>
      <c r="F20" s="1308"/>
      <c r="G20" s="1305"/>
      <c r="H20" s="1312"/>
      <c r="I20" s="1313">
        <f>SUM(I17:I19)</f>
        <v>0</v>
      </c>
    </row>
    <row r="21" spans="1:9">
      <c r="A21" s="3308" t="s">
        <v>1106</v>
      </c>
      <c r="B21" s="3312"/>
      <c r="C21" s="3312"/>
      <c r="D21" s="3312"/>
      <c r="E21" s="3312"/>
      <c r="F21" s="3312"/>
      <c r="G21" s="3312"/>
      <c r="H21" s="1764">
        <v>0.1</v>
      </c>
      <c r="I21" s="1310">
        <f>ROUND(I10*H21,0)</f>
        <v>0</v>
      </c>
    </row>
    <row r="22" spans="1:9" ht="14.25">
      <c r="A22" s="3313" t="s">
        <v>1107</v>
      </c>
      <c r="B22" s="3314"/>
      <c r="C22" s="3315"/>
      <c r="D22" s="1317" t="s">
        <v>1108</v>
      </c>
      <c r="E22" s="1317" t="s">
        <v>1109</v>
      </c>
      <c r="F22" s="1318" t="s">
        <v>1110</v>
      </c>
      <c r="G22" s="1318" t="s">
        <v>1111</v>
      </c>
      <c r="H22" s="1311" t="s">
        <v>1112</v>
      </c>
      <c r="I22" s="1302" t="s">
        <v>1113</v>
      </c>
    </row>
    <row r="23" spans="1:9" ht="14.25" thickBot="1">
      <c r="A23" s="3316"/>
      <c r="B23" s="3317"/>
      <c r="C23" s="3318"/>
      <c r="D23" s="1319"/>
      <c r="E23" s="1319"/>
      <c r="F23" s="1319"/>
      <c r="G23" s="1320"/>
      <c r="H23" s="1321"/>
      <c r="I23" s="1322">
        <f>ROUND(E23*D23*F23*(1-G23)/10000,0)</f>
        <v>0</v>
      </c>
    </row>
    <row r="26" spans="1:9">
      <c r="A26" s="1323" t="s">
        <v>1114</v>
      </c>
      <c r="B26" s="1323"/>
      <c r="C26" s="1323"/>
      <c r="D26" s="1323"/>
      <c r="E26" s="3319">
        <f>C27-C30-C31-C32</f>
        <v>0</v>
      </c>
      <c r="F26" s="3319"/>
      <c r="G26" s="3319"/>
      <c r="H26" s="1736" t="s">
        <v>1336</v>
      </c>
    </row>
    <row r="27" spans="1:9">
      <c r="A27" s="1324">
        <v>1</v>
      </c>
      <c r="B27" s="1325" t="s">
        <v>1115</v>
      </c>
      <c r="C27" s="1325">
        <f>C28+C29</f>
        <v>0</v>
      </c>
      <c r="D27" s="1325"/>
      <c r="E27" s="3320"/>
      <c r="F27" s="3320"/>
      <c r="G27" s="3320"/>
    </row>
    <row r="28" spans="1:9">
      <c r="A28" s="1326" t="s">
        <v>1116</v>
      </c>
      <c r="B28" s="1325" t="s">
        <v>1117</v>
      </c>
      <c r="C28" s="1325"/>
      <c r="D28" s="1325"/>
      <c r="E28" s="3320"/>
      <c r="F28" s="3320"/>
      <c r="G28" s="332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1"/>
      <c r="F32" s="3311"/>
      <c r="G32" s="3311"/>
    </row>
    <row r="33" spans="1:7" hidden="1">
      <c r="A33" s="3321" t="s">
        <v>1126</v>
      </c>
      <c r="B33" s="3322"/>
      <c r="C33" s="3322"/>
      <c r="D33" s="3323"/>
      <c r="E33" s="3319"/>
      <c r="F33" s="3319"/>
      <c r="G33" s="3319"/>
    </row>
    <row r="34" spans="1:7" hidden="1">
      <c r="A34" s="1328">
        <v>1</v>
      </c>
      <c r="B34" s="1325" t="s">
        <v>1127</v>
      </c>
      <c r="C34" s="1325"/>
      <c r="D34" s="1325"/>
      <c r="E34" s="3320"/>
      <c r="F34" s="3320"/>
      <c r="G34" s="3320"/>
    </row>
    <row r="35" spans="1:7" hidden="1">
      <c r="A35" s="1328">
        <v>2</v>
      </c>
      <c r="B35" s="1325" t="s">
        <v>1128</v>
      </c>
      <c r="C35" s="1325"/>
      <c r="D35" s="1325"/>
      <c r="E35" s="3320"/>
      <c r="F35" s="3320"/>
      <c r="G35" s="3320"/>
    </row>
    <row r="36" spans="1:7" hidden="1">
      <c r="A36" s="1328">
        <v>3</v>
      </c>
      <c r="B36" s="1325" t="s">
        <v>1129</v>
      </c>
      <c r="C36" s="1325"/>
      <c r="D36" s="1325"/>
      <c r="E36" s="3320"/>
      <c r="F36" s="3320"/>
      <c r="G36" s="3320"/>
    </row>
    <row r="37" spans="1:7" hidden="1">
      <c r="A37" s="1328">
        <v>4</v>
      </c>
      <c r="B37" s="1325" t="s">
        <v>1130</v>
      </c>
      <c r="C37" s="1325"/>
      <c r="D37" s="1325"/>
      <c r="E37" s="3320"/>
      <c r="F37" s="3320"/>
      <c r="G37" s="3320"/>
    </row>
    <row r="38" spans="1:7" hidden="1">
      <c r="A38" s="3321" t="s">
        <v>1131</v>
      </c>
      <c r="B38" s="3322"/>
      <c r="C38" s="3322"/>
      <c r="D38" s="3323"/>
      <c r="E38" s="3319"/>
      <c r="F38" s="3319"/>
      <c r="G38" s="33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148075.10999999999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72" t="s">
        <v>2522</v>
      </c>
      <c r="D4" s="3273"/>
      <c r="E4" s="3274" t="s">
        <v>2523</v>
      </c>
      <c r="F4" s="3275"/>
      <c r="G4" s="3272" t="s">
        <v>2524</v>
      </c>
      <c r="H4" s="3273"/>
      <c r="I4" s="3272" t="s">
        <v>2525</v>
      </c>
      <c r="J4" s="3273"/>
      <c r="K4" s="2592" t="s">
        <v>2526</v>
      </c>
      <c r="L4" s="1130"/>
      <c r="M4" s="1131"/>
      <c r="N4" s="1131"/>
      <c r="O4" s="1131"/>
      <c r="P4" s="3276" t="s">
        <v>2527</v>
      </c>
      <c r="Q4" s="3277"/>
      <c r="R4" s="3259" t="s">
        <v>2523</v>
      </c>
      <c r="S4" s="3260"/>
      <c r="T4" s="3259" t="s">
        <v>2524</v>
      </c>
      <c r="U4" s="3260"/>
      <c r="V4" s="3284" t="s">
        <v>2525</v>
      </c>
      <c r="W4" s="3284"/>
      <c r="X4" s="1812"/>
      <c r="Y4" s="3259" t="s">
        <v>2527</v>
      </c>
      <c r="Z4" s="3260"/>
      <c r="AA4" s="3254" t="s">
        <v>2523</v>
      </c>
      <c r="AB4" s="3254" t="s">
        <v>2524</v>
      </c>
      <c r="AC4" s="3254" t="s">
        <v>2525</v>
      </c>
    </row>
    <row r="5" spans="1:29" ht="15">
      <c r="A5" s="404"/>
      <c r="B5" s="405"/>
      <c r="C5" s="3326" t="s">
        <v>2528</v>
      </c>
      <c r="D5" s="3327"/>
      <c r="E5" s="3324" t="s">
        <v>2529</v>
      </c>
      <c r="F5" s="3325"/>
      <c r="G5" s="3326" t="s">
        <v>2530</v>
      </c>
      <c r="H5" s="3327"/>
      <c r="I5" s="3326" t="s">
        <v>2531</v>
      </c>
      <c r="J5" s="3327"/>
      <c r="K5" s="2593"/>
      <c r="L5" s="1130"/>
      <c r="M5" s="1131"/>
      <c r="N5" s="1131"/>
      <c r="O5" s="1131"/>
      <c r="P5" s="3278"/>
      <c r="Q5" s="3279"/>
      <c r="R5" s="3261"/>
      <c r="S5" s="3262"/>
      <c r="T5" s="3261"/>
      <c r="U5" s="3262"/>
      <c r="V5" s="3284"/>
      <c r="W5" s="3284"/>
      <c r="X5" s="1812"/>
      <c r="Y5" s="3261"/>
      <c r="Z5" s="3262"/>
      <c r="AA5" s="3255"/>
      <c r="AB5" s="3255"/>
      <c r="AC5" s="3255"/>
    </row>
    <row r="6" spans="1:29" ht="15.75" thickBot="1">
      <c r="A6" s="406"/>
      <c r="B6" s="407"/>
      <c r="C6" s="3328" t="s">
        <v>2532</v>
      </c>
      <c r="D6" s="3329"/>
      <c r="E6" s="3330" t="s">
        <v>2532</v>
      </c>
      <c r="F6" s="3331"/>
      <c r="G6" s="3328" t="s">
        <v>2532</v>
      </c>
      <c r="H6" s="3329"/>
      <c r="I6" s="3328" t="s">
        <v>2532</v>
      </c>
      <c r="J6" s="3329"/>
      <c r="K6" s="2593" t="s">
        <v>2533</v>
      </c>
      <c r="L6" s="1130"/>
      <c r="M6" s="1131"/>
      <c r="N6" s="1131"/>
      <c r="O6" s="1131"/>
      <c r="P6" s="3280"/>
      <c r="Q6" s="3281"/>
      <c r="R6" s="3261"/>
      <c r="S6" s="3262"/>
      <c r="T6" s="3282"/>
      <c r="U6" s="3283"/>
      <c r="V6" s="3284"/>
      <c r="W6" s="3284"/>
      <c r="X6" s="1812"/>
      <c r="Y6" s="3282"/>
      <c r="Z6" s="3283"/>
      <c r="AA6" s="3256"/>
      <c r="AB6" s="3256"/>
      <c r="AC6" s="3256"/>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57" t="s">
        <v>2535</v>
      </c>
      <c r="Q7" s="3285"/>
      <c r="R7" s="770" t="s">
        <v>23</v>
      </c>
      <c r="S7" s="771">
        <f t="shared" ref="S7:S15" si="0">F7</f>
        <v>0</v>
      </c>
      <c r="T7" s="770" t="s">
        <v>23</v>
      </c>
      <c r="U7" s="771">
        <f t="shared" ref="U7:U15" si="1">H7</f>
        <v>0</v>
      </c>
      <c r="V7" s="770" t="s">
        <v>23</v>
      </c>
      <c r="W7" s="771">
        <f t="shared" ref="W7:W15" si="2">J7</f>
        <v>0</v>
      </c>
      <c r="X7" s="772"/>
      <c r="Y7" s="3257" t="s">
        <v>2535</v>
      </c>
      <c r="Z7" s="3258"/>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57" t="s">
        <v>2538</v>
      </c>
      <c r="Q8" s="3258"/>
      <c r="R8" s="770" t="s">
        <v>23</v>
      </c>
      <c r="S8" s="771">
        <f t="shared" si="0"/>
        <v>0</v>
      </c>
      <c r="T8" s="770" t="s">
        <v>23</v>
      </c>
      <c r="U8" s="771">
        <f t="shared" si="1"/>
        <v>0</v>
      </c>
      <c r="V8" s="770" t="s">
        <v>23</v>
      </c>
      <c r="W8" s="771">
        <f t="shared" si="2"/>
        <v>0</v>
      </c>
      <c r="X8" s="772"/>
      <c r="Y8" s="3257" t="s">
        <v>2538</v>
      </c>
      <c r="Z8" s="3258"/>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95"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95"/>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95"/>
      <c r="Q11" s="1794"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95"/>
      <c r="Q12" s="1794">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95"/>
      <c r="Q13" s="1794">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95"/>
      <c r="Q14" s="1794">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38" t="s">
        <v>2546</v>
      </c>
      <c r="Q15" s="1809" t="str">
        <f t="shared" si="6"/>
        <v>居住社区成熟度</v>
      </c>
      <c r="R15" s="774" t="s">
        <v>21</v>
      </c>
      <c r="S15" s="775">
        <f t="shared" si="0"/>
        <v>100</v>
      </c>
      <c r="T15" s="774" t="s">
        <v>21</v>
      </c>
      <c r="U15" s="775">
        <f t="shared" si="1"/>
        <v>100</v>
      </c>
      <c r="V15" s="774" t="s">
        <v>21</v>
      </c>
      <c r="W15" s="775">
        <f t="shared" si="2"/>
        <v>100</v>
      </c>
      <c r="X15" s="1812"/>
      <c r="Y15" s="3286"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339"/>
      <c r="Q16" s="1809"/>
      <c r="R16" s="774"/>
      <c r="S16" s="775"/>
      <c r="T16" s="774"/>
      <c r="U16" s="775"/>
      <c r="V16" s="774"/>
      <c r="W16" s="775"/>
      <c r="X16" s="1812"/>
      <c r="Y16" s="3287"/>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39"/>
      <c r="Q17" s="1809" t="str">
        <f>B17</f>
        <v>交通便捷度</v>
      </c>
      <c r="R17" s="774" t="s">
        <v>21</v>
      </c>
      <c r="S17" s="775">
        <f>F17</f>
        <v>100</v>
      </c>
      <c r="T17" s="774" t="s">
        <v>21</v>
      </c>
      <c r="U17" s="775">
        <f>H17</f>
        <v>100</v>
      </c>
      <c r="V17" s="774" t="s">
        <v>21</v>
      </c>
      <c r="W17" s="775">
        <f>J17</f>
        <v>100</v>
      </c>
      <c r="X17" s="1812"/>
      <c r="Y17" s="3287"/>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339"/>
      <c r="Q18" s="1809"/>
      <c r="R18" s="774"/>
      <c r="S18" s="775"/>
      <c r="T18" s="774"/>
      <c r="U18" s="775"/>
      <c r="V18" s="774"/>
      <c r="W18" s="775"/>
      <c r="X18" s="1812"/>
      <c r="Y18" s="3287"/>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39"/>
      <c r="Q19" s="1809" t="str">
        <f>B19</f>
        <v>公共配套设施</v>
      </c>
      <c r="R19" s="774" t="s">
        <v>21</v>
      </c>
      <c r="S19" s="775">
        <f>F19</f>
        <v>100</v>
      </c>
      <c r="T19" s="774" t="s">
        <v>21</v>
      </c>
      <c r="U19" s="775">
        <f>H19</f>
        <v>100</v>
      </c>
      <c r="V19" s="774" t="s">
        <v>21</v>
      </c>
      <c r="W19" s="775">
        <f>J19</f>
        <v>100</v>
      </c>
      <c r="X19" s="1812"/>
      <c r="Y19" s="3287"/>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339"/>
      <c r="Q20" s="1809"/>
      <c r="R20" s="774"/>
      <c r="S20" s="775"/>
      <c r="T20" s="774"/>
      <c r="U20" s="775"/>
      <c r="V20" s="774"/>
      <c r="W20" s="775"/>
      <c r="X20" s="1812"/>
      <c r="Y20" s="3287"/>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39"/>
      <c r="Q21" s="1809" t="str">
        <f>B21</f>
        <v>基础设施水平</v>
      </c>
      <c r="R21" s="774" t="s">
        <v>17</v>
      </c>
      <c r="S21" s="775">
        <f>F21</f>
        <v>100</v>
      </c>
      <c r="T21" s="774" t="s">
        <v>17</v>
      </c>
      <c r="U21" s="775">
        <f>H21</f>
        <v>100</v>
      </c>
      <c r="V21" s="774" t="s">
        <v>17</v>
      </c>
      <c r="W21" s="775">
        <f>J21</f>
        <v>100</v>
      </c>
      <c r="X21" s="1812"/>
      <c r="Y21" s="3287"/>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339"/>
      <c r="Q22" s="1809"/>
      <c r="R22" s="774"/>
      <c r="S22" s="775"/>
      <c r="T22" s="774"/>
      <c r="U22" s="775"/>
      <c r="V22" s="774"/>
      <c r="W22" s="775"/>
      <c r="X22" s="1812"/>
      <c r="Y22" s="3287"/>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39"/>
      <c r="Q23" s="1809" t="str">
        <f>B23</f>
        <v>自然及人文环境</v>
      </c>
      <c r="R23" s="774" t="s">
        <v>21</v>
      </c>
      <c r="S23" s="775">
        <f>F23</f>
        <v>100</v>
      </c>
      <c r="T23" s="774" t="s">
        <v>21</v>
      </c>
      <c r="U23" s="775">
        <f>H23</f>
        <v>100</v>
      </c>
      <c r="V23" s="774" t="s">
        <v>21</v>
      </c>
      <c r="W23" s="775">
        <f>J23</f>
        <v>100</v>
      </c>
      <c r="X23" s="1812"/>
      <c r="Y23" s="3287"/>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339"/>
      <c r="Q24" s="1809"/>
      <c r="R24" s="774"/>
      <c r="S24" s="775"/>
      <c r="T24" s="774"/>
      <c r="U24" s="775"/>
      <c r="V24" s="774"/>
      <c r="W24" s="775"/>
      <c r="X24" s="1812"/>
      <c r="Y24" s="3287"/>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339"/>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87"/>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339"/>
      <c r="Q26" s="1809" t="str">
        <f t="shared" si="8"/>
        <v>朝向</v>
      </c>
      <c r="R26" s="774" t="s">
        <v>21</v>
      </c>
      <c r="S26" s="775">
        <f t="shared" si="9"/>
        <v>100</v>
      </c>
      <c r="T26" s="774" t="s">
        <v>21</v>
      </c>
      <c r="U26" s="775">
        <f t="shared" si="10"/>
        <v>100</v>
      </c>
      <c r="V26" s="774" t="s">
        <v>21</v>
      </c>
      <c r="W26" s="775">
        <f t="shared" si="11"/>
        <v>100</v>
      </c>
      <c r="X26" s="1812"/>
      <c r="Y26" s="3287"/>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339"/>
      <c r="Q27" s="1794">
        <f t="shared" si="8"/>
        <v>111</v>
      </c>
      <c r="R27" s="770" t="s">
        <v>21</v>
      </c>
      <c r="S27" s="771">
        <f t="shared" si="9"/>
        <v>100</v>
      </c>
      <c r="T27" s="770" t="s">
        <v>21</v>
      </c>
      <c r="U27" s="771">
        <f t="shared" si="10"/>
        <v>100</v>
      </c>
      <c r="V27" s="770" t="s">
        <v>21</v>
      </c>
      <c r="W27" s="771">
        <f t="shared" si="11"/>
        <v>100</v>
      </c>
      <c r="X27" s="772"/>
      <c r="Y27" s="3287"/>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339"/>
      <c r="Q28" s="1809">
        <f t="shared" si="8"/>
        <v>111</v>
      </c>
      <c r="R28" s="774" t="s">
        <v>21</v>
      </c>
      <c r="S28" s="775">
        <f t="shared" si="9"/>
        <v>100</v>
      </c>
      <c r="T28" s="774" t="s">
        <v>21</v>
      </c>
      <c r="U28" s="775">
        <f t="shared" si="10"/>
        <v>100</v>
      </c>
      <c r="V28" s="774" t="s">
        <v>21</v>
      </c>
      <c r="W28" s="775">
        <f t="shared" si="11"/>
        <v>100</v>
      </c>
      <c r="X28" s="1812"/>
      <c r="Y28" s="3287"/>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339"/>
      <c r="Q29" s="1809">
        <f t="shared" si="8"/>
        <v>111</v>
      </c>
      <c r="R29" s="774" t="s">
        <v>21</v>
      </c>
      <c r="S29" s="775">
        <f t="shared" si="9"/>
        <v>100</v>
      </c>
      <c r="T29" s="774" t="s">
        <v>21</v>
      </c>
      <c r="U29" s="775">
        <f t="shared" si="10"/>
        <v>100</v>
      </c>
      <c r="V29" s="774" t="s">
        <v>21</v>
      </c>
      <c r="W29" s="775">
        <f t="shared" si="11"/>
        <v>100</v>
      </c>
      <c r="X29" s="1812"/>
      <c r="Y29" s="3287"/>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339"/>
      <c r="Q30" s="1809">
        <f t="shared" si="8"/>
        <v>111</v>
      </c>
      <c r="R30" s="774" t="s">
        <v>21</v>
      </c>
      <c r="S30" s="775">
        <f t="shared" si="9"/>
        <v>100</v>
      </c>
      <c r="T30" s="774" t="s">
        <v>21</v>
      </c>
      <c r="U30" s="775">
        <f t="shared" si="10"/>
        <v>100</v>
      </c>
      <c r="V30" s="774" t="s">
        <v>21</v>
      </c>
      <c r="W30" s="775">
        <f t="shared" si="11"/>
        <v>100</v>
      </c>
      <c r="X30" s="1812"/>
      <c r="Y30" s="3287"/>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339"/>
      <c r="Q31" s="1809">
        <f t="shared" si="8"/>
        <v>111</v>
      </c>
      <c r="R31" s="774" t="s">
        <v>21</v>
      </c>
      <c r="S31" s="775">
        <f t="shared" si="9"/>
        <v>100</v>
      </c>
      <c r="T31" s="774" t="s">
        <v>21</v>
      </c>
      <c r="U31" s="775">
        <f t="shared" si="10"/>
        <v>100</v>
      </c>
      <c r="V31" s="774" t="s">
        <v>21</v>
      </c>
      <c r="W31" s="775">
        <f t="shared" si="11"/>
        <v>100</v>
      </c>
      <c r="X31" s="1812"/>
      <c r="Y31" s="3287"/>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334" t="s">
        <v>2551</v>
      </c>
      <c r="Q32" s="1809" t="str">
        <f t="shared" si="8"/>
        <v>建筑类型</v>
      </c>
      <c r="R32" s="774" t="s">
        <v>21</v>
      </c>
      <c r="S32" s="775">
        <f t="shared" si="9"/>
        <v>100</v>
      </c>
      <c r="T32" s="774" t="s">
        <v>21</v>
      </c>
      <c r="U32" s="775">
        <f t="shared" si="10"/>
        <v>100</v>
      </c>
      <c r="V32" s="774" t="s">
        <v>21</v>
      </c>
      <c r="W32" s="775">
        <f t="shared" si="11"/>
        <v>100</v>
      </c>
      <c r="X32" s="1812"/>
      <c r="Y32" s="3289"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335"/>
      <c r="Q33" s="776" t="str">
        <f t="shared" si="8"/>
        <v>项目建筑规模</v>
      </c>
      <c r="R33" s="777" t="s">
        <v>21</v>
      </c>
      <c r="S33" s="778" t="e">
        <f t="shared" si="9"/>
        <v>#N/A</v>
      </c>
      <c r="T33" s="777" t="s">
        <v>21</v>
      </c>
      <c r="U33" s="778" t="e">
        <f t="shared" si="10"/>
        <v>#N/A</v>
      </c>
      <c r="V33" s="777" t="s">
        <v>21</v>
      </c>
      <c r="W33" s="778" t="e">
        <f t="shared" si="11"/>
        <v>#N/A</v>
      </c>
      <c r="X33" s="779"/>
      <c r="Y33" s="3289"/>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335"/>
      <c r="Q34" s="1809" t="str">
        <f t="shared" si="8"/>
        <v>建筑结构</v>
      </c>
      <c r="R34" s="774" t="s">
        <v>21</v>
      </c>
      <c r="S34" s="775">
        <f t="shared" si="9"/>
        <v>100</v>
      </c>
      <c r="T34" s="774" t="s">
        <v>21</v>
      </c>
      <c r="U34" s="775">
        <f t="shared" si="10"/>
        <v>100</v>
      </c>
      <c r="V34" s="774" t="s">
        <v>21</v>
      </c>
      <c r="W34" s="775">
        <f t="shared" si="11"/>
        <v>100</v>
      </c>
      <c r="X34" s="1812"/>
      <c r="Y34" s="3289"/>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335"/>
      <c r="Q35" s="1809" t="str">
        <f t="shared" si="8"/>
        <v>建筑品质</v>
      </c>
      <c r="R35" s="774" t="s">
        <v>21</v>
      </c>
      <c r="S35" s="775">
        <f t="shared" si="9"/>
        <v>100</v>
      </c>
      <c r="T35" s="774" t="s">
        <v>21</v>
      </c>
      <c r="U35" s="775">
        <f t="shared" si="10"/>
        <v>100</v>
      </c>
      <c r="V35" s="774" t="s">
        <v>21</v>
      </c>
      <c r="W35" s="775">
        <f t="shared" si="11"/>
        <v>100</v>
      </c>
      <c r="X35" s="1812"/>
      <c r="Y35" s="3289"/>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335"/>
      <c r="Q36" s="1809" t="str">
        <f t="shared" si="8"/>
        <v>公共部分装修</v>
      </c>
      <c r="R36" s="774" t="s">
        <v>21</v>
      </c>
      <c r="S36" s="775">
        <f t="shared" si="9"/>
        <v>100</v>
      </c>
      <c r="T36" s="774" t="s">
        <v>21</v>
      </c>
      <c r="U36" s="775">
        <f t="shared" si="10"/>
        <v>100</v>
      </c>
      <c r="V36" s="774" t="s">
        <v>21</v>
      </c>
      <c r="W36" s="775">
        <f t="shared" si="11"/>
        <v>100</v>
      </c>
      <c r="X36" s="1812"/>
      <c r="Y36" s="3289"/>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35"/>
      <c r="Q37" s="1794" t="str">
        <f t="shared" si="8"/>
        <v>成新度</v>
      </c>
      <c r="R37" s="770" t="s">
        <v>21</v>
      </c>
      <c r="S37" s="771" t="e">
        <f t="shared" si="9"/>
        <v>#N/A</v>
      </c>
      <c r="T37" s="770" t="s">
        <v>21</v>
      </c>
      <c r="U37" s="771" t="e">
        <f t="shared" si="10"/>
        <v>#N/A</v>
      </c>
      <c r="V37" s="770" t="s">
        <v>21</v>
      </c>
      <c r="W37" s="771" t="e">
        <f t="shared" si="11"/>
        <v>#N/A</v>
      </c>
      <c r="X37" s="772"/>
      <c r="Y37" s="3289"/>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335" t="s">
        <v>2551</v>
      </c>
      <c r="Q38" s="1809" t="str">
        <f t="shared" si="8"/>
        <v>物业管理</v>
      </c>
      <c r="R38" s="774" t="s">
        <v>21</v>
      </c>
      <c r="S38" s="775">
        <f t="shared" si="9"/>
        <v>100</v>
      </c>
      <c r="T38" s="774" t="s">
        <v>21</v>
      </c>
      <c r="U38" s="775">
        <f t="shared" si="10"/>
        <v>100</v>
      </c>
      <c r="V38" s="774" t="s">
        <v>21</v>
      </c>
      <c r="W38" s="775">
        <f t="shared" si="11"/>
        <v>100</v>
      </c>
      <c r="X38" s="1812"/>
      <c r="Y38" s="3289"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335"/>
      <c r="Q39" s="1809" t="str">
        <f t="shared" si="8"/>
        <v>市政基础设施</v>
      </c>
      <c r="R39" s="774" t="s">
        <v>21</v>
      </c>
      <c r="S39" s="775">
        <f t="shared" si="9"/>
        <v>100</v>
      </c>
      <c r="T39" s="774" t="s">
        <v>21</v>
      </c>
      <c r="U39" s="775">
        <f t="shared" si="10"/>
        <v>100</v>
      </c>
      <c r="V39" s="774" t="s">
        <v>21</v>
      </c>
      <c r="W39" s="775">
        <f t="shared" si="11"/>
        <v>100</v>
      </c>
      <c r="X39" s="1812"/>
      <c r="Y39" s="3289"/>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335"/>
      <c r="Q40" s="1809" t="str">
        <f t="shared" si="8"/>
        <v>房型</v>
      </c>
      <c r="R40" s="774" t="s">
        <v>21</v>
      </c>
      <c r="S40" s="775">
        <f t="shared" si="9"/>
        <v>100</v>
      </c>
      <c r="T40" s="774" t="s">
        <v>21</v>
      </c>
      <c r="U40" s="775">
        <f t="shared" si="10"/>
        <v>100</v>
      </c>
      <c r="V40" s="774" t="s">
        <v>21</v>
      </c>
      <c r="W40" s="775">
        <f t="shared" si="11"/>
        <v>100</v>
      </c>
      <c r="X40" s="1812"/>
      <c r="Y40" s="3289"/>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335"/>
      <c r="Q41" s="776" t="str">
        <f t="shared" si="8"/>
        <v>单套/主力户型建筑面积</v>
      </c>
      <c r="R41" s="777" t="s">
        <v>21</v>
      </c>
      <c r="S41" s="778">
        <f t="shared" si="9"/>
        <v>100</v>
      </c>
      <c r="T41" s="777" t="s">
        <v>21</v>
      </c>
      <c r="U41" s="778">
        <f t="shared" si="10"/>
        <v>100</v>
      </c>
      <c r="V41" s="777" t="s">
        <v>21</v>
      </c>
      <c r="W41" s="778">
        <f t="shared" si="11"/>
        <v>100</v>
      </c>
      <c r="X41" s="779"/>
      <c r="Y41" s="3289"/>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335"/>
      <c r="Q42" s="1809" t="str">
        <f t="shared" si="8"/>
        <v>内部装修</v>
      </c>
      <c r="R42" s="774" t="s">
        <v>21</v>
      </c>
      <c r="S42" s="775">
        <f t="shared" si="9"/>
        <v>100</v>
      </c>
      <c r="T42" s="774" t="s">
        <v>21</v>
      </c>
      <c r="U42" s="775">
        <f t="shared" si="10"/>
        <v>100</v>
      </c>
      <c r="V42" s="774" t="s">
        <v>21</v>
      </c>
      <c r="W42" s="775">
        <f t="shared" si="11"/>
        <v>100</v>
      </c>
      <c r="X42" s="1812"/>
      <c r="Y42" s="3289"/>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335"/>
      <c r="Q43" s="1809" t="str">
        <f t="shared" si="8"/>
        <v>内部装修维护情况</v>
      </c>
      <c r="R43" s="774" t="s">
        <v>21</v>
      </c>
      <c r="S43" s="775">
        <f t="shared" si="9"/>
        <v>100</v>
      </c>
      <c r="T43" s="774" t="s">
        <v>21</v>
      </c>
      <c r="U43" s="775">
        <f t="shared" si="10"/>
        <v>100</v>
      </c>
      <c r="V43" s="774" t="s">
        <v>21</v>
      </c>
      <c r="W43" s="775">
        <f t="shared" si="11"/>
        <v>100</v>
      </c>
      <c r="X43" s="1812"/>
      <c r="Y43" s="3289"/>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335"/>
      <c r="Q44" s="1794">
        <f t="shared" si="8"/>
        <v>111</v>
      </c>
      <c r="R44" s="770" t="s">
        <v>21</v>
      </c>
      <c r="S44" s="771">
        <f t="shared" si="9"/>
        <v>100</v>
      </c>
      <c r="T44" s="770" t="s">
        <v>21</v>
      </c>
      <c r="U44" s="771">
        <f t="shared" si="10"/>
        <v>100</v>
      </c>
      <c r="V44" s="770" t="s">
        <v>21</v>
      </c>
      <c r="W44" s="771">
        <f t="shared" si="11"/>
        <v>100</v>
      </c>
      <c r="X44" s="772"/>
      <c r="Y44" s="3289"/>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335"/>
      <c r="Q45" s="1809">
        <f t="shared" si="8"/>
        <v>111</v>
      </c>
      <c r="R45" s="774" t="s">
        <v>21</v>
      </c>
      <c r="S45" s="775">
        <f t="shared" si="9"/>
        <v>100</v>
      </c>
      <c r="T45" s="774" t="s">
        <v>21</v>
      </c>
      <c r="U45" s="775">
        <f t="shared" si="10"/>
        <v>100</v>
      </c>
      <c r="V45" s="774" t="s">
        <v>21</v>
      </c>
      <c r="W45" s="775">
        <f t="shared" si="11"/>
        <v>100</v>
      </c>
      <c r="X45" s="1812"/>
      <c r="Y45" s="3289"/>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336"/>
      <c r="Q46" s="1809">
        <f t="shared" si="8"/>
        <v>111</v>
      </c>
      <c r="R46" s="774" t="s">
        <v>20</v>
      </c>
      <c r="S46" s="775">
        <f t="shared" si="9"/>
        <v>100</v>
      </c>
      <c r="T46" s="774" t="s">
        <v>20</v>
      </c>
      <c r="U46" s="775">
        <f t="shared" si="10"/>
        <v>100</v>
      </c>
      <c r="V46" s="774" t="s">
        <v>20</v>
      </c>
      <c r="W46" s="775">
        <f t="shared" si="11"/>
        <v>100</v>
      </c>
      <c r="X46" s="1812"/>
      <c r="Y46" s="3337"/>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71" t="str">
        <f>A47</f>
        <v>成交单价（元/平方米）</v>
      </c>
      <c r="Q47" s="3271"/>
      <c r="R47" s="3333">
        <f>E47</f>
        <v>0</v>
      </c>
      <c r="S47" s="3333"/>
      <c r="T47" s="3333">
        <f>G47</f>
        <v>0</v>
      </c>
      <c r="U47" s="3333"/>
      <c r="V47" s="3333">
        <f>I47</f>
        <v>0</v>
      </c>
      <c r="W47" s="3333"/>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71" t="str">
        <f>A48</f>
        <v>比较价值（元/平方米）</v>
      </c>
      <c r="Q48" s="3271"/>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91" t="str">
        <f>A49</f>
        <v>估价对象XX用房的比较价值（楼面单价，元/平方米）</v>
      </c>
      <c r="Q49" s="3292"/>
      <c r="R49" s="3332" t="e">
        <f>IF(F1="售价",ROUND(AVERAGE(R48:V48),0),ROUND(AVERAGE(R48:V48),1))</f>
        <v>#DIV/0!</v>
      </c>
      <c r="S49" s="3332"/>
      <c r="T49" s="3332"/>
      <c r="U49" s="3332"/>
      <c r="V49" s="3332"/>
      <c r="W49" s="33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84" t="s">
        <v>2634</v>
      </c>
      <c r="AC4" s="3254" t="s">
        <v>2635</v>
      </c>
    </row>
    <row r="5" spans="1:29" ht="15">
      <c r="A5" s="404"/>
      <c r="B5" s="405"/>
      <c r="C5" s="3326" t="s">
        <v>2528</v>
      </c>
      <c r="D5" s="3327"/>
      <c r="E5" s="3324" t="s">
        <v>2529</v>
      </c>
      <c r="F5" s="3325"/>
      <c r="G5" s="3326" t="s">
        <v>2530</v>
      </c>
      <c r="H5" s="3327"/>
      <c r="I5" s="3326" t="s">
        <v>2531</v>
      </c>
      <c r="J5" s="3327"/>
      <c r="K5" s="610"/>
      <c r="L5" s="1130"/>
      <c r="M5" s="1131"/>
      <c r="N5" s="1131"/>
      <c r="O5" s="1131"/>
      <c r="P5" s="3278"/>
      <c r="Q5" s="3279"/>
      <c r="R5" s="3261"/>
      <c r="S5" s="3262"/>
      <c r="T5" s="3261"/>
      <c r="U5" s="3262"/>
      <c r="V5" s="3284"/>
      <c r="W5" s="3284"/>
      <c r="X5" s="1812"/>
      <c r="Y5" s="3261"/>
      <c r="Z5" s="3262"/>
      <c r="AA5" s="3255"/>
      <c r="AB5" s="3284"/>
      <c r="AC5" s="3255"/>
    </row>
    <row r="6" spans="1:29" ht="15.75" thickBot="1">
      <c r="A6" s="406"/>
      <c r="B6" s="407"/>
      <c r="C6" s="3328" t="s">
        <v>2532</v>
      </c>
      <c r="D6" s="3329"/>
      <c r="E6" s="3330" t="s">
        <v>2532</v>
      </c>
      <c r="F6" s="3331"/>
      <c r="G6" s="3328" t="s">
        <v>2532</v>
      </c>
      <c r="H6" s="3329"/>
      <c r="I6" s="3328" t="s">
        <v>2532</v>
      </c>
      <c r="J6" s="3329"/>
      <c r="K6" s="610" t="s">
        <v>2533</v>
      </c>
      <c r="L6" s="1130"/>
      <c r="M6" s="1131"/>
      <c r="N6" s="1131"/>
      <c r="O6" s="1131"/>
      <c r="P6" s="3280"/>
      <c r="Q6" s="3281"/>
      <c r="R6" s="3261"/>
      <c r="S6" s="3262"/>
      <c r="T6" s="3282"/>
      <c r="U6" s="3283"/>
      <c r="V6" s="3284"/>
      <c r="W6" s="3284"/>
      <c r="X6" s="1812"/>
      <c r="Y6" s="3282"/>
      <c r="Z6" s="3283"/>
      <c r="AA6" s="3256"/>
      <c r="AB6" s="3284"/>
      <c r="AC6" s="3256"/>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7" t="s">
        <v>2535</v>
      </c>
      <c r="Q7" s="3285"/>
      <c r="R7" s="770" t="s">
        <v>17</v>
      </c>
      <c r="S7" s="771">
        <f t="shared" ref="S7:S15" si="0">F7</f>
        <v>0</v>
      </c>
      <c r="T7" s="770" t="s">
        <v>17</v>
      </c>
      <c r="U7" s="771">
        <f t="shared" ref="U7:U15" si="1">H7</f>
        <v>0</v>
      </c>
      <c r="V7" s="770" t="s">
        <v>17</v>
      </c>
      <c r="W7" s="771">
        <f t="shared" ref="W7:W15" si="2">J7</f>
        <v>0</v>
      </c>
      <c r="X7" s="772"/>
      <c r="Y7" s="3257" t="s">
        <v>2535</v>
      </c>
      <c r="Z7" s="3258"/>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7" t="s">
        <v>2538</v>
      </c>
      <c r="Q8" s="3258"/>
      <c r="R8" s="770" t="s">
        <v>17</v>
      </c>
      <c r="S8" s="771">
        <f t="shared" si="0"/>
        <v>0</v>
      </c>
      <c r="T8" s="770" t="s">
        <v>17</v>
      </c>
      <c r="U8" s="771">
        <f t="shared" si="1"/>
        <v>0</v>
      </c>
      <c r="V8" s="770" t="s">
        <v>17</v>
      </c>
      <c r="W8" s="771">
        <f t="shared" si="2"/>
        <v>0</v>
      </c>
      <c r="X8" s="772"/>
      <c r="Y8" s="3257" t="s">
        <v>2538</v>
      </c>
      <c r="Z8" s="3258"/>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5"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95"/>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95"/>
      <c r="Q11" s="1794"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5"/>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5"/>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5"/>
      <c r="Q14" s="1794">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8" t="s">
        <v>2546</v>
      </c>
      <c r="Q15" s="1809" t="str">
        <f t="shared" si="6"/>
        <v>商业繁华度</v>
      </c>
      <c r="R15" s="774" t="s">
        <v>17</v>
      </c>
      <c r="S15" s="775">
        <f t="shared" si="0"/>
        <v>100</v>
      </c>
      <c r="T15" s="774" t="s">
        <v>17</v>
      </c>
      <c r="U15" s="775">
        <f t="shared" si="1"/>
        <v>100</v>
      </c>
      <c r="V15" s="774" t="s">
        <v>17</v>
      </c>
      <c r="W15" s="775">
        <f t="shared" si="2"/>
        <v>100</v>
      </c>
      <c r="X15" s="1812"/>
      <c r="Y15" s="3286"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39"/>
      <c r="Q16" s="1809"/>
      <c r="R16" s="774"/>
      <c r="S16" s="775"/>
      <c r="T16" s="774"/>
      <c r="U16" s="775"/>
      <c r="V16" s="774"/>
      <c r="W16" s="775"/>
      <c r="X16" s="1812"/>
      <c r="Y16" s="3287"/>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39"/>
      <c r="Q17" s="1809" t="str">
        <f>B17</f>
        <v>交通便捷度</v>
      </c>
      <c r="R17" s="774" t="s">
        <v>17</v>
      </c>
      <c r="S17" s="775">
        <f>F17</f>
        <v>100</v>
      </c>
      <c r="T17" s="774" t="s">
        <v>17</v>
      </c>
      <c r="U17" s="775">
        <f>H17</f>
        <v>100</v>
      </c>
      <c r="V17" s="774" t="s">
        <v>17</v>
      </c>
      <c r="W17" s="775">
        <f>J17</f>
        <v>100</v>
      </c>
      <c r="X17" s="1812"/>
      <c r="Y17" s="3287"/>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339"/>
      <c r="Q18" s="1809"/>
      <c r="R18" s="774"/>
      <c r="S18" s="775"/>
      <c r="T18" s="774"/>
      <c r="U18" s="775"/>
      <c r="V18" s="774"/>
      <c r="W18" s="775"/>
      <c r="X18" s="1812"/>
      <c r="Y18" s="3287"/>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39"/>
      <c r="Q19" s="1809" t="str">
        <f>B19</f>
        <v>公共配套设施</v>
      </c>
      <c r="R19" s="774" t="s">
        <v>17</v>
      </c>
      <c r="S19" s="775">
        <f>F19</f>
        <v>100</v>
      </c>
      <c r="T19" s="774" t="s">
        <v>17</v>
      </c>
      <c r="U19" s="775">
        <f>H19</f>
        <v>100</v>
      </c>
      <c r="V19" s="774" t="s">
        <v>17</v>
      </c>
      <c r="W19" s="775">
        <f>J19</f>
        <v>100</v>
      </c>
      <c r="X19" s="1812"/>
      <c r="Y19" s="3287"/>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339"/>
      <c r="Q20" s="1809"/>
      <c r="R20" s="774"/>
      <c r="S20" s="775"/>
      <c r="T20" s="774"/>
      <c r="U20" s="775"/>
      <c r="V20" s="774"/>
      <c r="W20" s="775"/>
      <c r="X20" s="1812"/>
      <c r="Y20" s="3287"/>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39"/>
      <c r="Q21" s="1809" t="str">
        <f>B21</f>
        <v>基础设施水平</v>
      </c>
      <c r="R21" s="774" t="s">
        <v>17</v>
      </c>
      <c r="S21" s="775">
        <f>F21</f>
        <v>100</v>
      </c>
      <c r="T21" s="774" t="s">
        <v>17</v>
      </c>
      <c r="U21" s="775">
        <f>H21</f>
        <v>100</v>
      </c>
      <c r="V21" s="774" t="s">
        <v>17</v>
      </c>
      <c r="W21" s="775">
        <f>J21</f>
        <v>100</v>
      </c>
      <c r="X21" s="1812"/>
      <c r="Y21" s="3287"/>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339"/>
      <c r="Q22" s="1809"/>
      <c r="R22" s="774"/>
      <c r="S22" s="775"/>
      <c r="T22" s="774"/>
      <c r="U22" s="775"/>
      <c r="V22" s="774"/>
      <c r="W22" s="775"/>
      <c r="X22" s="1812"/>
      <c r="Y22" s="3287"/>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39"/>
      <c r="Q23" s="1809" t="str">
        <f>B23</f>
        <v>自然及人文环境</v>
      </c>
      <c r="R23" s="774" t="s">
        <v>17</v>
      </c>
      <c r="S23" s="775">
        <f>F23</f>
        <v>100</v>
      </c>
      <c r="T23" s="774" t="s">
        <v>17</v>
      </c>
      <c r="U23" s="775">
        <f>H23</f>
        <v>100</v>
      </c>
      <c r="V23" s="774" t="s">
        <v>17</v>
      </c>
      <c r="W23" s="775">
        <f>J23</f>
        <v>100</v>
      </c>
      <c r="X23" s="1812"/>
      <c r="Y23" s="3287"/>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339"/>
      <c r="Q24" s="1809"/>
      <c r="R24" s="774"/>
      <c r="S24" s="775"/>
      <c r="T24" s="774"/>
      <c r="U24" s="775"/>
      <c r="V24" s="774"/>
      <c r="W24" s="775"/>
      <c r="X24" s="1812"/>
      <c r="Y24" s="3287"/>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39"/>
      <c r="Q25" s="1809" t="str">
        <f t="shared" ref="Q25:Q46" si="8">B25</f>
        <v>临街状况</v>
      </c>
      <c r="R25" s="774" t="s">
        <v>17</v>
      </c>
      <c r="S25" s="775">
        <f>F25</f>
        <v>100</v>
      </c>
      <c r="T25" s="774" t="s">
        <v>17</v>
      </c>
      <c r="U25" s="775">
        <f>H25</f>
        <v>100</v>
      </c>
      <c r="V25" s="774" t="s">
        <v>17</v>
      </c>
      <c r="W25" s="775">
        <f>J25</f>
        <v>100</v>
      </c>
      <c r="X25" s="1812"/>
      <c r="Y25" s="3287"/>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39"/>
      <c r="Q26" s="1809" t="str">
        <f t="shared" si="8"/>
        <v>平面位置/可视性</v>
      </c>
      <c r="R26" s="774" t="s">
        <v>17</v>
      </c>
      <c r="S26" s="775">
        <f>F26</f>
        <v>100</v>
      </c>
      <c r="T26" s="774" t="s">
        <v>17</v>
      </c>
      <c r="U26" s="775">
        <f>H26</f>
        <v>100</v>
      </c>
      <c r="V26" s="774" t="s">
        <v>17</v>
      </c>
      <c r="W26" s="775">
        <f>J26</f>
        <v>100</v>
      </c>
      <c r="X26" s="1812"/>
      <c r="Y26" s="3287"/>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339"/>
      <c r="Q27" s="1794" t="str">
        <f t="shared" si="8"/>
        <v>人流量</v>
      </c>
      <c r="R27" s="770" t="s">
        <v>17</v>
      </c>
      <c r="S27" s="771">
        <f>F27</f>
        <v>100</v>
      </c>
      <c r="T27" s="770" t="s">
        <v>17</v>
      </c>
      <c r="U27" s="771">
        <f>H27</f>
        <v>100</v>
      </c>
      <c r="V27" s="770" t="s">
        <v>17</v>
      </c>
      <c r="W27" s="771">
        <f>J27</f>
        <v>100</v>
      </c>
      <c r="X27" s="772"/>
      <c r="Y27" s="3287"/>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39"/>
      <c r="Q28" s="1809" t="str">
        <f t="shared" si="8"/>
        <v>楼层</v>
      </c>
      <c r="R28" s="774" t="s">
        <v>17</v>
      </c>
      <c r="S28" s="775">
        <f t="shared" ref="S28:S46" si="9">F28</f>
        <v>100</v>
      </c>
      <c r="T28" s="774" t="s">
        <v>17</v>
      </c>
      <c r="U28" s="775">
        <f t="shared" ref="U28:U46" si="10">H28</f>
        <v>100</v>
      </c>
      <c r="V28" s="774" t="s">
        <v>17</v>
      </c>
      <c r="W28" s="775">
        <f t="shared" ref="W28:W46" si="11">J28</f>
        <v>100</v>
      </c>
      <c r="X28" s="1812"/>
      <c r="Y28" s="3287"/>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39"/>
      <c r="Q29" s="1809">
        <f t="shared" si="8"/>
        <v>111</v>
      </c>
      <c r="R29" s="774" t="s">
        <v>17</v>
      </c>
      <c r="S29" s="775">
        <f t="shared" si="9"/>
        <v>100</v>
      </c>
      <c r="T29" s="774" t="s">
        <v>17</v>
      </c>
      <c r="U29" s="775">
        <f t="shared" si="10"/>
        <v>100</v>
      </c>
      <c r="V29" s="774" t="s">
        <v>17</v>
      </c>
      <c r="W29" s="775">
        <f t="shared" si="11"/>
        <v>100</v>
      </c>
      <c r="X29" s="1812"/>
      <c r="Y29" s="3287"/>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39"/>
      <c r="Q30" s="1809">
        <f t="shared" si="8"/>
        <v>111</v>
      </c>
      <c r="R30" s="774" t="s">
        <v>17</v>
      </c>
      <c r="S30" s="775">
        <f t="shared" si="9"/>
        <v>100</v>
      </c>
      <c r="T30" s="774" t="s">
        <v>17</v>
      </c>
      <c r="U30" s="775">
        <f t="shared" si="10"/>
        <v>100</v>
      </c>
      <c r="V30" s="774" t="s">
        <v>17</v>
      </c>
      <c r="W30" s="775">
        <f t="shared" si="11"/>
        <v>100</v>
      </c>
      <c r="X30" s="1812"/>
      <c r="Y30" s="3287"/>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39"/>
      <c r="Q31" s="1809">
        <f t="shared" si="8"/>
        <v>111</v>
      </c>
      <c r="R31" s="774" t="s">
        <v>17</v>
      </c>
      <c r="S31" s="775">
        <f t="shared" si="9"/>
        <v>100</v>
      </c>
      <c r="T31" s="774" t="s">
        <v>17</v>
      </c>
      <c r="U31" s="775">
        <f t="shared" si="10"/>
        <v>100</v>
      </c>
      <c r="V31" s="774" t="s">
        <v>17</v>
      </c>
      <c r="W31" s="775">
        <f t="shared" si="11"/>
        <v>100</v>
      </c>
      <c r="X31" s="1812"/>
      <c r="Y31" s="3287"/>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334" t="s">
        <v>2551</v>
      </c>
      <c r="Q32" s="1809" t="str">
        <f t="shared" si="8"/>
        <v>商业类型</v>
      </c>
      <c r="R32" s="774" t="s">
        <v>17</v>
      </c>
      <c r="S32" s="775">
        <f t="shared" si="9"/>
        <v>100</v>
      </c>
      <c r="T32" s="774" t="s">
        <v>17</v>
      </c>
      <c r="U32" s="775">
        <f t="shared" si="10"/>
        <v>100</v>
      </c>
      <c r="V32" s="774" t="s">
        <v>17</v>
      </c>
      <c r="W32" s="775">
        <f t="shared" si="11"/>
        <v>100</v>
      </c>
      <c r="X32" s="1812"/>
      <c r="Y32" s="3289"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5"/>
      <c r="Q33" s="776" t="str">
        <f t="shared" si="8"/>
        <v>项目建筑规模</v>
      </c>
      <c r="R33" s="777" t="s">
        <v>17</v>
      </c>
      <c r="S33" s="778" t="e">
        <f t="shared" si="9"/>
        <v>#N/A</v>
      </c>
      <c r="T33" s="777" t="s">
        <v>17</v>
      </c>
      <c r="U33" s="778" t="e">
        <f t="shared" si="10"/>
        <v>#N/A</v>
      </c>
      <c r="V33" s="777" t="s">
        <v>17</v>
      </c>
      <c r="W33" s="778" t="e">
        <f t="shared" si="11"/>
        <v>#N/A</v>
      </c>
      <c r="X33" s="779"/>
      <c r="Y33" s="3289"/>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5"/>
      <c r="Q34" s="1809" t="str">
        <f t="shared" si="8"/>
        <v>建筑结构</v>
      </c>
      <c r="R34" s="774" t="s">
        <v>17</v>
      </c>
      <c r="S34" s="775">
        <f t="shared" si="9"/>
        <v>100</v>
      </c>
      <c r="T34" s="774" t="s">
        <v>17</v>
      </c>
      <c r="U34" s="775">
        <f t="shared" si="10"/>
        <v>100</v>
      </c>
      <c r="V34" s="774" t="s">
        <v>17</v>
      </c>
      <c r="W34" s="775">
        <f t="shared" si="11"/>
        <v>100</v>
      </c>
      <c r="X34" s="1812"/>
      <c r="Y34" s="3289"/>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335"/>
      <c r="Q35" s="1809" t="str">
        <f t="shared" si="8"/>
        <v>公共部分装修</v>
      </c>
      <c r="R35" s="774" t="s">
        <v>17</v>
      </c>
      <c r="S35" s="775">
        <f t="shared" si="9"/>
        <v>100</v>
      </c>
      <c r="T35" s="774" t="s">
        <v>17</v>
      </c>
      <c r="U35" s="775">
        <f t="shared" si="10"/>
        <v>100</v>
      </c>
      <c r="V35" s="774" t="s">
        <v>17</v>
      </c>
      <c r="W35" s="775">
        <f t="shared" si="11"/>
        <v>100</v>
      </c>
      <c r="X35" s="1812"/>
      <c r="Y35" s="3289"/>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5"/>
      <c r="Q36" s="1809" t="str">
        <f t="shared" si="8"/>
        <v>成新度</v>
      </c>
      <c r="R36" s="774" t="s">
        <v>17</v>
      </c>
      <c r="S36" s="775" t="e">
        <f t="shared" si="9"/>
        <v>#N/A</v>
      </c>
      <c r="T36" s="774" t="s">
        <v>17</v>
      </c>
      <c r="U36" s="775" t="e">
        <f t="shared" si="10"/>
        <v>#N/A</v>
      </c>
      <c r="V36" s="774" t="s">
        <v>17</v>
      </c>
      <c r="W36" s="775" t="e">
        <f t="shared" si="11"/>
        <v>#N/A</v>
      </c>
      <c r="X36" s="1812"/>
      <c r="Y36" s="3289"/>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335"/>
      <c r="Q37" s="1794" t="str">
        <f t="shared" si="8"/>
        <v>市政基础设施</v>
      </c>
      <c r="R37" s="770" t="s">
        <v>17</v>
      </c>
      <c r="S37" s="771">
        <f t="shared" si="9"/>
        <v>100</v>
      </c>
      <c r="T37" s="770" t="s">
        <v>17</v>
      </c>
      <c r="U37" s="771">
        <f t="shared" si="10"/>
        <v>100</v>
      </c>
      <c r="V37" s="770" t="s">
        <v>17</v>
      </c>
      <c r="W37" s="771">
        <f t="shared" si="11"/>
        <v>100</v>
      </c>
      <c r="X37" s="772"/>
      <c r="Y37" s="3289"/>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335" t="s">
        <v>2551</v>
      </c>
      <c r="Q38" s="1809" t="str">
        <f t="shared" si="8"/>
        <v>业态</v>
      </c>
      <c r="R38" s="774" t="s">
        <v>17</v>
      </c>
      <c r="S38" s="775">
        <f t="shared" si="9"/>
        <v>100</v>
      </c>
      <c r="T38" s="774" t="s">
        <v>17</v>
      </c>
      <c r="U38" s="775">
        <f t="shared" si="10"/>
        <v>100</v>
      </c>
      <c r="V38" s="774" t="s">
        <v>17</v>
      </c>
      <c r="W38" s="775">
        <f t="shared" si="11"/>
        <v>100</v>
      </c>
      <c r="X38" s="1812"/>
      <c r="Y38" s="3289"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335"/>
      <c r="Q39" s="1809" t="str">
        <f t="shared" si="8"/>
        <v>层高</v>
      </c>
      <c r="R39" s="774" t="s">
        <v>17</v>
      </c>
      <c r="S39" s="775">
        <f t="shared" si="9"/>
        <v>100</v>
      </c>
      <c r="T39" s="774" t="s">
        <v>17</v>
      </c>
      <c r="U39" s="775">
        <f t="shared" si="10"/>
        <v>100</v>
      </c>
      <c r="V39" s="774" t="s">
        <v>17</v>
      </c>
      <c r="W39" s="775">
        <f t="shared" si="11"/>
        <v>100</v>
      </c>
      <c r="X39" s="1812"/>
      <c r="Y39" s="3289"/>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5"/>
      <c r="Q40" s="1809" t="str">
        <f t="shared" si="8"/>
        <v>单套建筑面积</v>
      </c>
      <c r="R40" s="774" t="s">
        <v>17</v>
      </c>
      <c r="S40" s="775">
        <f t="shared" si="9"/>
        <v>100</v>
      </c>
      <c r="T40" s="774" t="s">
        <v>17</v>
      </c>
      <c r="U40" s="775">
        <f t="shared" si="10"/>
        <v>100</v>
      </c>
      <c r="V40" s="774" t="s">
        <v>17</v>
      </c>
      <c r="W40" s="775">
        <f t="shared" si="11"/>
        <v>100</v>
      </c>
      <c r="X40" s="1812"/>
      <c r="Y40" s="3289"/>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5"/>
      <c r="Q41" s="776" t="str">
        <f t="shared" si="8"/>
        <v>进深比</v>
      </c>
      <c r="R41" s="777" t="s">
        <v>17</v>
      </c>
      <c r="S41" s="778">
        <f t="shared" si="9"/>
        <v>100</v>
      </c>
      <c r="T41" s="777" t="s">
        <v>17</v>
      </c>
      <c r="U41" s="778">
        <f t="shared" si="10"/>
        <v>100</v>
      </c>
      <c r="V41" s="777" t="s">
        <v>17</v>
      </c>
      <c r="W41" s="778">
        <f t="shared" si="11"/>
        <v>100</v>
      </c>
      <c r="X41" s="779"/>
      <c r="Y41" s="3289"/>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335"/>
      <c r="Q42" s="1809" t="str">
        <f t="shared" si="8"/>
        <v>内部装修</v>
      </c>
      <c r="R42" s="774" t="s">
        <v>17</v>
      </c>
      <c r="S42" s="775">
        <f t="shared" si="9"/>
        <v>100</v>
      </c>
      <c r="T42" s="774" t="s">
        <v>17</v>
      </c>
      <c r="U42" s="775">
        <f t="shared" si="10"/>
        <v>100</v>
      </c>
      <c r="V42" s="774" t="s">
        <v>17</v>
      </c>
      <c r="W42" s="775">
        <f t="shared" si="11"/>
        <v>100</v>
      </c>
      <c r="X42" s="1812"/>
      <c r="Y42" s="3289"/>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335"/>
      <c r="Q43" s="1809" t="str">
        <f t="shared" si="8"/>
        <v>内部装修维护情况</v>
      </c>
      <c r="R43" s="774" t="s">
        <v>17</v>
      </c>
      <c r="S43" s="775">
        <f t="shared" si="9"/>
        <v>100</v>
      </c>
      <c r="T43" s="774" t="s">
        <v>17</v>
      </c>
      <c r="U43" s="775">
        <f t="shared" si="10"/>
        <v>100</v>
      </c>
      <c r="V43" s="774" t="s">
        <v>17</v>
      </c>
      <c r="W43" s="775">
        <f t="shared" si="11"/>
        <v>100</v>
      </c>
      <c r="X43" s="1812"/>
      <c r="Y43" s="3289"/>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5"/>
      <c r="Q44" s="1794">
        <f t="shared" si="8"/>
        <v>111</v>
      </c>
      <c r="R44" s="770" t="s">
        <v>17</v>
      </c>
      <c r="S44" s="771">
        <f t="shared" si="9"/>
        <v>100</v>
      </c>
      <c r="T44" s="770" t="s">
        <v>17</v>
      </c>
      <c r="U44" s="771">
        <f t="shared" si="10"/>
        <v>100</v>
      </c>
      <c r="V44" s="770" t="s">
        <v>17</v>
      </c>
      <c r="W44" s="771">
        <f t="shared" si="11"/>
        <v>100</v>
      </c>
      <c r="X44" s="772"/>
      <c r="Y44" s="3289"/>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5"/>
      <c r="Q45" s="1809">
        <f t="shared" si="8"/>
        <v>111</v>
      </c>
      <c r="R45" s="774" t="s">
        <v>17</v>
      </c>
      <c r="S45" s="775">
        <f t="shared" si="9"/>
        <v>100</v>
      </c>
      <c r="T45" s="774" t="s">
        <v>17</v>
      </c>
      <c r="U45" s="775">
        <f t="shared" si="10"/>
        <v>100</v>
      </c>
      <c r="V45" s="774" t="s">
        <v>17</v>
      </c>
      <c r="W45" s="775">
        <f t="shared" si="11"/>
        <v>100</v>
      </c>
      <c r="X45" s="1812"/>
      <c r="Y45" s="3289"/>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6"/>
      <c r="Q46" s="1809">
        <f t="shared" si="8"/>
        <v>111</v>
      </c>
      <c r="R46" s="774" t="s">
        <v>17</v>
      </c>
      <c r="S46" s="775">
        <f t="shared" si="9"/>
        <v>100</v>
      </c>
      <c r="T46" s="774" t="s">
        <v>17</v>
      </c>
      <c r="U46" s="775">
        <f t="shared" si="10"/>
        <v>100</v>
      </c>
      <c r="V46" s="774" t="s">
        <v>17</v>
      </c>
      <c r="W46" s="775">
        <f t="shared" si="11"/>
        <v>100</v>
      </c>
      <c r="X46" s="1812"/>
      <c r="Y46" s="3337"/>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71" t="str">
        <f>A47</f>
        <v>成交单价（元/平方米）</v>
      </c>
      <c r="Q47" s="3271"/>
      <c r="R47" s="3284">
        <f>E47</f>
        <v>0</v>
      </c>
      <c r="S47" s="3284"/>
      <c r="T47" s="3284">
        <f>G47</f>
        <v>0</v>
      </c>
      <c r="U47" s="3284"/>
      <c r="V47" s="3284">
        <f>I47</f>
        <v>0</v>
      </c>
      <c r="W47" s="3284"/>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71" t="str">
        <f>A48</f>
        <v>比较价值（元/平方米）</v>
      </c>
      <c r="Q48" s="3271"/>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91" t="str">
        <f>A49</f>
        <v>估价对象XX用房的比较价值（楼面单价，元/平方米）</v>
      </c>
      <c r="Q49" s="3292"/>
      <c r="R49" s="3332" t="e">
        <f>IF(F1="售价",ROUND(AVERAGE(R48:V48),0),ROUND(AVERAGE(R48:V48),1))</f>
        <v>#DIV/0!</v>
      </c>
      <c r="S49" s="3332"/>
      <c r="T49" s="3332"/>
      <c r="U49" s="3332"/>
      <c r="V49" s="3332"/>
      <c r="W49" s="33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346" t="s">
        <v>2637</v>
      </c>
      <c r="Q4" s="3347"/>
      <c r="R4" s="3341" t="s">
        <v>2633</v>
      </c>
      <c r="S4" s="3342"/>
      <c r="T4" s="3341" t="s">
        <v>2634</v>
      </c>
      <c r="U4" s="3342"/>
      <c r="V4" s="3350" t="s">
        <v>2635</v>
      </c>
      <c r="W4" s="3350"/>
      <c r="X4" s="2666"/>
      <c r="Y4" s="3341" t="s">
        <v>2637</v>
      </c>
      <c r="Z4" s="3342"/>
      <c r="AA4" s="3340" t="s">
        <v>2633</v>
      </c>
      <c r="AB4" s="3340" t="s">
        <v>2634</v>
      </c>
      <c r="AC4" s="3343" t="s">
        <v>2635</v>
      </c>
    </row>
    <row r="5" spans="1:29" ht="15">
      <c r="A5" s="404"/>
      <c r="B5" s="405"/>
      <c r="C5" s="3326" t="s">
        <v>2528</v>
      </c>
      <c r="D5" s="3327"/>
      <c r="E5" s="3324" t="s">
        <v>2529</v>
      </c>
      <c r="F5" s="3325"/>
      <c r="G5" s="3326" t="s">
        <v>2530</v>
      </c>
      <c r="H5" s="3327"/>
      <c r="I5" s="3326" t="s">
        <v>2531</v>
      </c>
      <c r="J5" s="3327"/>
      <c r="K5" s="610"/>
      <c r="L5" s="1130"/>
      <c r="M5" s="1131"/>
      <c r="N5" s="1131"/>
      <c r="O5" s="1131"/>
      <c r="P5" s="3348"/>
      <c r="Q5" s="3279"/>
      <c r="R5" s="3261"/>
      <c r="S5" s="3262"/>
      <c r="T5" s="3261"/>
      <c r="U5" s="3262"/>
      <c r="V5" s="3284"/>
      <c r="W5" s="3284"/>
      <c r="X5" s="1812"/>
      <c r="Y5" s="3261"/>
      <c r="Z5" s="3262"/>
      <c r="AA5" s="3255"/>
      <c r="AB5" s="3255"/>
      <c r="AC5" s="3344"/>
    </row>
    <row r="6" spans="1:29" ht="15.75" thickBot="1">
      <c r="A6" s="406"/>
      <c r="B6" s="407"/>
      <c r="C6" s="3328" t="s">
        <v>2532</v>
      </c>
      <c r="D6" s="3329"/>
      <c r="E6" s="3330" t="s">
        <v>2532</v>
      </c>
      <c r="F6" s="3331"/>
      <c r="G6" s="3328" t="s">
        <v>2532</v>
      </c>
      <c r="H6" s="3329"/>
      <c r="I6" s="3328" t="s">
        <v>2532</v>
      </c>
      <c r="J6" s="3329"/>
      <c r="K6" s="610" t="s">
        <v>2533</v>
      </c>
      <c r="L6" s="1130"/>
      <c r="M6" s="1131"/>
      <c r="N6" s="1131"/>
      <c r="O6" s="1131"/>
      <c r="P6" s="3349"/>
      <c r="Q6" s="3281"/>
      <c r="R6" s="3261"/>
      <c r="S6" s="3262"/>
      <c r="T6" s="3282"/>
      <c r="U6" s="3283"/>
      <c r="V6" s="3284"/>
      <c r="W6" s="3284"/>
      <c r="X6" s="1812"/>
      <c r="Y6" s="3282"/>
      <c r="Z6" s="3283"/>
      <c r="AA6" s="3256"/>
      <c r="AB6" s="3256"/>
      <c r="AC6" s="3345"/>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1" t="s">
        <v>2535</v>
      </c>
      <c r="Q7" s="3285"/>
      <c r="R7" s="770" t="s">
        <v>17</v>
      </c>
      <c r="S7" s="771">
        <f t="shared" ref="S7:S15" si="0">F7</f>
        <v>0</v>
      </c>
      <c r="T7" s="770" t="s">
        <v>17</v>
      </c>
      <c r="U7" s="771">
        <f t="shared" ref="U7:U15" si="1">H7</f>
        <v>0</v>
      </c>
      <c r="V7" s="770" t="s">
        <v>17</v>
      </c>
      <c r="W7" s="771">
        <f t="shared" ref="W7:W15" si="2">J7</f>
        <v>0</v>
      </c>
      <c r="X7" s="772"/>
      <c r="Y7" s="3257" t="s">
        <v>2535</v>
      </c>
      <c r="Z7" s="3258"/>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1" t="s">
        <v>2538</v>
      </c>
      <c r="Q8" s="3258"/>
      <c r="R8" s="770" t="s">
        <v>17</v>
      </c>
      <c r="S8" s="771">
        <f t="shared" si="0"/>
        <v>0</v>
      </c>
      <c r="T8" s="770" t="s">
        <v>17</v>
      </c>
      <c r="U8" s="771">
        <f t="shared" si="1"/>
        <v>0</v>
      </c>
      <c r="V8" s="770" t="s">
        <v>17</v>
      </c>
      <c r="W8" s="771">
        <f t="shared" si="2"/>
        <v>0</v>
      </c>
      <c r="X8" s="772"/>
      <c r="Y8" s="3257" t="s">
        <v>2538</v>
      </c>
      <c r="Z8" s="3258"/>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5"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5"/>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5"/>
      <c r="Q11" s="1794"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95"/>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95"/>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95"/>
      <c r="Q14" s="1794">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8" t="s">
        <v>2546</v>
      </c>
      <c r="Q15" s="1809" t="str">
        <f t="shared" si="6"/>
        <v>办公集聚程度</v>
      </c>
      <c r="R15" s="774" t="s">
        <v>17</v>
      </c>
      <c r="S15" s="775">
        <f t="shared" si="0"/>
        <v>100</v>
      </c>
      <c r="T15" s="774" t="s">
        <v>17</v>
      </c>
      <c r="U15" s="775">
        <f t="shared" si="1"/>
        <v>100</v>
      </c>
      <c r="V15" s="774" t="s">
        <v>17</v>
      </c>
      <c r="W15" s="775">
        <f t="shared" si="2"/>
        <v>100</v>
      </c>
      <c r="X15" s="1812"/>
      <c r="Y15" s="3286"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339"/>
      <c r="Q16" s="1809"/>
      <c r="R16" s="774"/>
      <c r="S16" s="775"/>
      <c r="T16" s="774"/>
      <c r="U16" s="775"/>
      <c r="V16" s="774"/>
      <c r="W16" s="775"/>
      <c r="X16" s="1812"/>
      <c r="Y16" s="3287"/>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39"/>
      <c r="Q17" s="1809" t="str">
        <f>B17</f>
        <v>交通便捷度</v>
      </c>
      <c r="R17" s="774" t="s">
        <v>17</v>
      </c>
      <c r="S17" s="775">
        <f>F17</f>
        <v>100</v>
      </c>
      <c r="T17" s="774" t="s">
        <v>17</v>
      </c>
      <c r="U17" s="775">
        <f>H17</f>
        <v>100</v>
      </c>
      <c r="V17" s="774" t="s">
        <v>17</v>
      </c>
      <c r="W17" s="775">
        <f>J17</f>
        <v>100</v>
      </c>
      <c r="X17" s="1812"/>
      <c r="Y17" s="3287"/>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339"/>
      <c r="Q18" s="1809"/>
      <c r="R18" s="774"/>
      <c r="S18" s="775"/>
      <c r="T18" s="774"/>
      <c r="U18" s="775"/>
      <c r="V18" s="774"/>
      <c r="W18" s="775"/>
      <c r="X18" s="1812"/>
      <c r="Y18" s="3287"/>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39"/>
      <c r="Q19" s="1809" t="str">
        <f>B19</f>
        <v>公共配套设施</v>
      </c>
      <c r="R19" s="774" t="s">
        <v>17</v>
      </c>
      <c r="S19" s="775">
        <f>F19</f>
        <v>100</v>
      </c>
      <c r="T19" s="774" t="s">
        <v>17</v>
      </c>
      <c r="U19" s="775">
        <f>H19</f>
        <v>100</v>
      </c>
      <c r="V19" s="774" t="s">
        <v>17</v>
      </c>
      <c r="W19" s="775">
        <f>J19</f>
        <v>100</v>
      </c>
      <c r="X19" s="1812"/>
      <c r="Y19" s="3287"/>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339"/>
      <c r="Q20" s="1809"/>
      <c r="R20" s="774"/>
      <c r="S20" s="775"/>
      <c r="T20" s="774"/>
      <c r="U20" s="775"/>
      <c r="V20" s="774"/>
      <c r="W20" s="775"/>
      <c r="X20" s="1812"/>
      <c r="Y20" s="3287"/>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39"/>
      <c r="Q21" s="1809" t="str">
        <f>B21</f>
        <v>基础设施水平</v>
      </c>
      <c r="R21" s="774" t="s">
        <v>17</v>
      </c>
      <c r="S21" s="775">
        <f>F21</f>
        <v>100</v>
      </c>
      <c r="T21" s="774" t="s">
        <v>17</v>
      </c>
      <c r="U21" s="775">
        <f>H21</f>
        <v>100</v>
      </c>
      <c r="V21" s="774" t="s">
        <v>17</v>
      </c>
      <c r="W21" s="775">
        <f>J21</f>
        <v>100</v>
      </c>
      <c r="X21" s="1812"/>
      <c r="Y21" s="3287"/>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339"/>
      <c r="Q22" s="1809"/>
      <c r="R22" s="774"/>
      <c r="S22" s="775"/>
      <c r="T22" s="774"/>
      <c r="U22" s="775"/>
      <c r="V22" s="774"/>
      <c r="W22" s="775"/>
      <c r="X22" s="1812"/>
      <c r="Y22" s="3287"/>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39"/>
      <c r="Q23" s="1809" t="str">
        <f>B23</f>
        <v>环境质量</v>
      </c>
      <c r="R23" s="774" t="s">
        <v>17</v>
      </c>
      <c r="S23" s="775">
        <f>F23</f>
        <v>100</v>
      </c>
      <c r="T23" s="774" t="s">
        <v>17</v>
      </c>
      <c r="U23" s="775">
        <f>H23</f>
        <v>100</v>
      </c>
      <c r="V23" s="774" t="s">
        <v>17</v>
      </c>
      <c r="W23" s="775">
        <f>J23</f>
        <v>100</v>
      </c>
      <c r="X23" s="1812"/>
      <c r="Y23" s="3287"/>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339"/>
      <c r="Q24" s="1809"/>
      <c r="R24" s="774"/>
      <c r="S24" s="775"/>
      <c r="T24" s="774"/>
      <c r="U24" s="775"/>
      <c r="V24" s="774"/>
      <c r="W24" s="775"/>
      <c r="X24" s="1812"/>
      <c r="Y24" s="3287"/>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339"/>
      <c r="Q25" s="1809" t="str">
        <f>B25</f>
        <v>毗邻道路的类型与等级</v>
      </c>
      <c r="R25" s="774" t="s">
        <v>17</v>
      </c>
      <c r="S25" s="775">
        <f>F25</f>
        <v>100</v>
      </c>
      <c r="T25" s="774" t="s">
        <v>17</v>
      </c>
      <c r="U25" s="775">
        <f>H25</f>
        <v>100</v>
      </c>
      <c r="V25" s="774" t="s">
        <v>17</v>
      </c>
      <c r="W25" s="775">
        <f>J25</f>
        <v>100</v>
      </c>
      <c r="X25" s="1812"/>
      <c r="Y25" s="3287"/>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339"/>
      <c r="Q26" s="1809"/>
      <c r="R26" s="774"/>
      <c r="S26" s="775"/>
      <c r="T26" s="774"/>
      <c r="U26" s="775"/>
      <c r="V26" s="774"/>
      <c r="W26" s="775"/>
      <c r="X26" s="1812"/>
      <c r="Y26" s="3287"/>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39"/>
      <c r="Q27" s="1809" t="str">
        <f t="shared" ref="Q27:Q47" si="8">B27</f>
        <v>楼层</v>
      </c>
      <c r="R27" s="774" t="s">
        <v>17</v>
      </c>
      <c r="S27" s="775">
        <f>F27</f>
        <v>100</v>
      </c>
      <c r="T27" s="774" t="s">
        <v>17</v>
      </c>
      <c r="U27" s="775">
        <f>H27</f>
        <v>100</v>
      </c>
      <c r="V27" s="774" t="s">
        <v>17</v>
      </c>
      <c r="W27" s="775">
        <f>J27</f>
        <v>100</v>
      </c>
      <c r="X27" s="1812"/>
      <c r="Y27" s="3287"/>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339"/>
      <c r="Q28" s="1794" t="str">
        <f t="shared" si="8"/>
        <v>朝向</v>
      </c>
      <c r="R28" s="770" t="s">
        <v>17</v>
      </c>
      <c r="S28" s="771">
        <f>F28</f>
        <v>100</v>
      </c>
      <c r="T28" s="770" t="s">
        <v>17</v>
      </c>
      <c r="U28" s="771">
        <f>H28</f>
        <v>100</v>
      </c>
      <c r="V28" s="770" t="s">
        <v>17</v>
      </c>
      <c r="W28" s="771">
        <f>J28</f>
        <v>100</v>
      </c>
      <c r="X28" s="772"/>
      <c r="Y28" s="3287"/>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339"/>
      <c r="Q29" s="1809">
        <f t="shared" si="8"/>
        <v>111</v>
      </c>
      <c r="R29" s="774" t="s">
        <v>17</v>
      </c>
      <c r="S29" s="775">
        <f t="shared" ref="S29:S47" si="9">F29</f>
        <v>100</v>
      </c>
      <c r="T29" s="774" t="s">
        <v>17</v>
      </c>
      <c r="U29" s="775">
        <f t="shared" ref="U29:U47" si="10">H29</f>
        <v>100</v>
      </c>
      <c r="V29" s="774" t="s">
        <v>17</v>
      </c>
      <c r="W29" s="775">
        <f t="shared" ref="W29:W47" si="11">J29</f>
        <v>100</v>
      </c>
      <c r="X29" s="1812"/>
      <c r="Y29" s="3287"/>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339"/>
      <c r="Q30" s="1809">
        <f t="shared" si="8"/>
        <v>111</v>
      </c>
      <c r="R30" s="774" t="s">
        <v>17</v>
      </c>
      <c r="S30" s="775">
        <f t="shared" si="9"/>
        <v>100</v>
      </c>
      <c r="T30" s="774" t="s">
        <v>17</v>
      </c>
      <c r="U30" s="775">
        <f t="shared" si="10"/>
        <v>100</v>
      </c>
      <c r="V30" s="774" t="s">
        <v>17</v>
      </c>
      <c r="W30" s="775">
        <f t="shared" si="11"/>
        <v>100</v>
      </c>
      <c r="X30" s="1812"/>
      <c r="Y30" s="3287"/>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339"/>
      <c r="Q31" s="1809">
        <f t="shared" si="8"/>
        <v>111</v>
      </c>
      <c r="R31" s="774" t="s">
        <v>17</v>
      </c>
      <c r="S31" s="775">
        <f t="shared" si="9"/>
        <v>100</v>
      </c>
      <c r="T31" s="774" t="s">
        <v>17</v>
      </c>
      <c r="U31" s="775">
        <f t="shared" si="10"/>
        <v>100</v>
      </c>
      <c r="V31" s="774" t="s">
        <v>17</v>
      </c>
      <c r="W31" s="775">
        <f t="shared" si="11"/>
        <v>100</v>
      </c>
      <c r="X31" s="1812"/>
      <c r="Y31" s="3287"/>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339"/>
      <c r="Q32" s="1809">
        <f t="shared" si="8"/>
        <v>111</v>
      </c>
      <c r="R32" s="774" t="s">
        <v>17</v>
      </c>
      <c r="S32" s="775">
        <f t="shared" si="9"/>
        <v>100</v>
      </c>
      <c r="T32" s="774" t="s">
        <v>17</v>
      </c>
      <c r="U32" s="775">
        <f t="shared" si="10"/>
        <v>100</v>
      </c>
      <c r="V32" s="774" t="s">
        <v>17</v>
      </c>
      <c r="W32" s="775">
        <f t="shared" si="11"/>
        <v>100</v>
      </c>
      <c r="X32" s="1812"/>
      <c r="Y32" s="3287"/>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334" t="s">
        <v>2551</v>
      </c>
      <c r="Q33" s="1809" t="str">
        <f t="shared" si="8"/>
        <v>建筑类型</v>
      </c>
      <c r="R33" s="774" t="s">
        <v>17</v>
      </c>
      <c r="S33" s="775">
        <f t="shared" si="9"/>
        <v>100</v>
      </c>
      <c r="T33" s="774" t="s">
        <v>17</v>
      </c>
      <c r="U33" s="775">
        <f t="shared" si="10"/>
        <v>100</v>
      </c>
      <c r="V33" s="774" t="s">
        <v>17</v>
      </c>
      <c r="W33" s="775">
        <f t="shared" si="11"/>
        <v>100</v>
      </c>
      <c r="X33" s="1812"/>
      <c r="Y33" s="3289"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5"/>
      <c r="Q34" s="776" t="str">
        <f t="shared" si="8"/>
        <v>项目建筑规模</v>
      </c>
      <c r="R34" s="777" t="s">
        <v>17</v>
      </c>
      <c r="S34" s="778" t="e">
        <f t="shared" si="9"/>
        <v>#N/A</v>
      </c>
      <c r="T34" s="777" t="s">
        <v>17</v>
      </c>
      <c r="U34" s="778" t="e">
        <f t="shared" si="10"/>
        <v>#N/A</v>
      </c>
      <c r="V34" s="777" t="s">
        <v>17</v>
      </c>
      <c r="W34" s="778" t="e">
        <f t="shared" si="11"/>
        <v>#N/A</v>
      </c>
      <c r="X34" s="779"/>
      <c r="Y34" s="3289"/>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5"/>
      <c r="Q35" s="1809" t="str">
        <f t="shared" si="8"/>
        <v>建筑结构</v>
      </c>
      <c r="R35" s="774" t="s">
        <v>17</v>
      </c>
      <c r="S35" s="775">
        <f t="shared" si="9"/>
        <v>100</v>
      </c>
      <c r="T35" s="774" t="s">
        <v>17</v>
      </c>
      <c r="U35" s="775">
        <f t="shared" si="10"/>
        <v>100</v>
      </c>
      <c r="V35" s="774" t="s">
        <v>17</v>
      </c>
      <c r="W35" s="775">
        <f t="shared" si="11"/>
        <v>100</v>
      </c>
      <c r="X35" s="1812"/>
      <c r="Y35" s="3289"/>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5"/>
      <c r="Q36" s="1809" t="str">
        <f t="shared" si="8"/>
        <v>公共部分装修</v>
      </c>
      <c r="R36" s="774" t="s">
        <v>17</v>
      </c>
      <c r="S36" s="775">
        <f t="shared" si="9"/>
        <v>100</v>
      </c>
      <c r="T36" s="774" t="s">
        <v>17</v>
      </c>
      <c r="U36" s="775">
        <f t="shared" si="10"/>
        <v>100</v>
      </c>
      <c r="V36" s="774" t="s">
        <v>17</v>
      </c>
      <c r="W36" s="775">
        <f t="shared" si="11"/>
        <v>100</v>
      </c>
      <c r="X36" s="1812"/>
      <c r="Y36" s="3289"/>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5"/>
      <c r="Q37" s="1809" t="str">
        <f t="shared" si="8"/>
        <v>成新度</v>
      </c>
      <c r="R37" s="774" t="s">
        <v>17</v>
      </c>
      <c r="S37" s="775" t="e">
        <f t="shared" si="9"/>
        <v>#N/A</v>
      </c>
      <c r="T37" s="774" t="s">
        <v>17</v>
      </c>
      <c r="U37" s="775" t="e">
        <f t="shared" si="10"/>
        <v>#N/A</v>
      </c>
      <c r="V37" s="774" t="s">
        <v>17</v>
      </c>
      <c r="W37" s="775" t="e">
        <f t="shared" si="11"/>
        <v>#N/A</v>
      </c>
      <c r="X37" s="1812"/>
      <c r="Y37" s="3289"/>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5"/>
      <c r="Q38" s="1794" t="str">
        <f t="shared" si="8"/>
        <v>写字楼等级</v>
      </c>
      <c r="R38" s="770" t="s">
        <v>17</v>
      </c>
      <c r="S38" s="771">
        <f t="shared" si="9"/>
        <v>100</v>
      </c>
      <c r="T38" s="770" t="s">
        <v>17</v>
      </c>
      <c r="U38" s="771">
        <f t="shared" si="10"/>
        <v>100</v>
      </c>
      <c r="V38" s="770" t="s">
        <v>17</v>
      </c>
      <c r="W38" s="771">
        <f t="shared" si="11"/>
        <v>100</v>
      </c>
      <c r="X38" s="772"/>
      <c r="Y38" s="3289"/>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5" t="s">
        <v>2551</v>
      </c>
      <c r="Q39" s="1809" t="str">
        <f t="shared" si="8"/>
        <v>物业管理</v>
      </c>
      <c r="R39" s="774" t="s">
        <v>17</v>
      </c>
      <c r="S39" s="775">
        <f t="shared" si="9"/>
        <v>100</v>
      </c>
      <c r="T39" s="774" t="s">
        <v>17</v>
      </c>
      <c r="U39" s="775">
        <f t="shared" si="10"/>
        <v>100</v>
      </c>
      <c r="V39" s="774" t="s">
        <v>17</v>
      </c>
      <c r="W39" s="775">
        <f t="shared" si="11"/>
        <v>100</v>
      </c>
      <c r="X39" s="1812"/>
      <c r="Y39" s="3289"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5"/>
      <c r="Q40" s="1809" t="str">
        <f t="shared" si="8"/>
        <v>市政基础设施</v>
      </c>
      <c r="R40" s="774" t="s">
        <v>17</v>
      </c>
      <c r="S40" s="775">
        <f t="shared" si="9"/>
        <v>100</v>
      </c>
      <c r="T40" s="774" t="s">
        <v>17</v>
      </c>
      <c r="U40" s="775">
        <f t="shared" si="10"/>
        <v>100</v>
      </c>
      <c r="V40" s="774" t="s">
        <v>17</v>
      </c>
      <c r="W40" s="775">
        <f t="shared" si="11"/>
        <v>100</v>
      </c>
      <c r="X40" s="1812"/>
      <c r="Y40" s="3289"/>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5"/>
      <c r="Q41" s="1809" t="str">
        <f t="shared" si="8"/>
        <v>层高</v>
      </c>
      <c r="R41" s="774" t="s">
        <v>17</v>
      </c>
      <c r="S41" s="775">
        <f t="shared" si="9"/>
        <v>100</v>
      </c>
      <c r="T41" s="774" t="s">
        <v>17</v>
      </c>
      <c r="U41" s="775">
        <f t="shared" si="10"/>
        <v>100</v>
      </c>
      <c r="V41" s="774" t="s">
        <v>17</v>
      </c>
      <c r="W41" s="775">
        <f t="shared" si="11"/>
        <v>100</v>
      </c>
      <c r="X41" s="1812"/>
      <c r="Y41" s="3289"/>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5"/>
      <c r="Q42" s="776" t="str">
        <f t="shared" si="8"/>
        <v>单套建筑面积</v>
      </c>
      <c r="R42" s="777" t="s">
        <v>17</v>
      </c>
      <c r="S42" s="778">
        <f t="shared" si="9"/>
        <v>100</v>
      </c>
      <c r="T42" s="777" t="s">
        <v>17</v>
      </c>
      <c r="U42" s="778">
        <f t="shared" si="10"/>
        <v>100</v>
      </c>
      <c r="V42" s="777" t="s">
        <v>17</v>
      </c>
      <c r="W42" s="778">
        <f t="shared" si="11"/>
        <v>100</v>
      </c>
      <c r="X42" s="779"/>
      <c r="Y42" s="3289"/>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5"/>
      <c r="Q43" s="1809" t="str">
        <f t="shared" si="8"/>
        <v>内部装修</v>
      </c>
      <c r="R43" s="774" t="s">
        <v>17</v>
      </c>
      <c r="S43" s="775">
        <f t="shared" si="9"/>
        <v>100</v>
      </c>
      <c r="T43" s="774" t="s">
        <v>17</v>
      </c>
      <c r="U43" s="775">
        <f t="shared" si="10"/>
        <v>100</v>
      </c>
      <c r="V43" s="774" t="s">
        <v>17</v>
      </c>
      <c r="W43" s="775">
        <f t="shared" si="11"/>
        <v>100</v>
      </c>
      <c r="X43" s="1812"/>
      <c r="Y43" s="3289"/>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335"/>
      <c r="Q44" s="1809" t="str">
        <f t="shared" si="8"/>
        <v>内部装修维护情况</v>
      </c>
      <c r="R44" s="774" t="s">
        <v>17</v>
      </c>
      <c r="S44" s="775">
        <f t="shared" si="9"/>
        <v>100</v>
      </c>
      <c r="T44" s="774" t="s">
        <v>17</v>
      </c>
      <c r="U44" s="775">
        <f t="shared" si="10"/>
        <v>100</v>
      </c>
      <c r="V44" s="774" t="s">
        <v>17</v>
      </c>
      <c r="W44" s="775">
        <f t="shared" si="11"/>
        <v>100</v>
      </c>
      <c r="X44" s="1812"/>
      <c r="Y44" s="3289"/>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5"/>
      <c r="Q45" s="1794">
        <f t="shared" si="8"/>
        <v>111</v>
      </c>
      <c r="R45" s="770" t="s">
        <v>17</v>
      </c>
      <c r="S45" s="771">
        <f t="shared" si="9"/>
        <v>100</v>
      </c>
      <c r="T45" s="770" t="s">
        <v>17</v>
      </c>
      <c r="U45" s="771">
        <f t="shared" si="10"/>
        <v>100</v>
      </c>
      <c r="V45" s="770" t="s">
        <v>17</v>
      </c>
      <c r="W45" s="771">
        <f t="shared" si="11"/>
        <v>100</v>
      </c>
      <c r="X45" s="772"/>
      <c r="Y45" s="3289"/>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5"/>
      <c r="Q46" s="1809">
        <f t="shared" si="8"/>
        <v>111</v>
      </c>
      <c r="R46" s="774" t="s">
        <v>17</v>
      </c>
      <c r="S46" s="775">
        <f t="shared" si="9"/>
        <v>100</v>
      </c>
      <c r="T46" s="774" t="s">
        <v>17</v>
      </c>
      <c r="U46" s="775">
        <f t="shared" si="10"/>
        <v>100</v>
      </c>
      <c r="V46" s="774" t="s">
        <v>17</v>
      </c>
      <c r="W46" s="775">
        <f t="shared" si="11"/>
        <v>100</v>
      </c>
      <c r="X46" s="1812"/>
      <c r="Y46" s="3289"/>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6"/>
      <c r="Q47" s="1809">
        <f t="shared" si="8"/>
        <v>111</v>
      </c>
      <c r="R47" s="774" t="s">
        <v>17</v>
      </c>
      <c r="S47" s="775">
        <f t="shared" si="9"/>
        <v>100</v>
      </c>
      <c r="T47" s="774" t="s">
        <v>17</v>
      </c>
      <c r="U47" s="775">
        <f t="shared" si="10"/>
        <v>100</v>
      </c>
      <c r="V47" s="774" t="s">
        <v>17</v>
      </c>
      <c r="W47" s="775">
        <f t="shared" si="11"/>
        <v>100</v>
      </c>
      <c r="X47" s="1812"/>
      <c r="Y47" s="3337"/>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95" t="str">
        <f>A48</f>
        <v>成交单价（元/平方米）</v>
      </c>
      <c r="Q48" s="3271"/>
      <c r="R48" s="3333">
        <f>E48</f>
        <v>0</v>
      </c>
      <c r="S48" s="3333"/>
      <c r="T48" s="3333">
        <f>G48</f>
        <v>0</v>
      </c>
      <c r="U48" s="3333"/>
      <c r="V48" s="3333">
        <f>I48</f>
        <v>0</v>
      </c>
      <c r="W48" s="3333"/>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95" t="str">
        <f>A49</f>
        <v>比较价值（元/平方米）</v>
      </c>
      <c r="Q49" s="3271"/>
      <c r="R49" s="3333" t="e">
        <f>IF(F1="售价",ROUND(PRODUCT(R48,AA7:AA47),0),ROUND(PRODUCT(R48,AA7:AA47),1))</f>
        <v>#DIV/0!</v>
      </c>
      <c r="S49" s="3333"/>
      <c r="T49" s="3333" t="e">
        <f>IF(F1="售价",ROUND(PRODUCT(T48,AB7:AB47),0),ROUND(PRODUCT(T48,AB7:AB47),1))</f>
        <v>#DIV/0!</v>
      </c>
      <c r="U49" s="3333"/>
      <c r="V49" s="3333" t="e">
        <f>IF(F1="售价",ROUND(PRODUCT(V48,AC7:AC47),0),ROUND(PRODUCT(V48,AC7:AC47),1))</f>
        <v>#DIV/0!</v>
      </c>
      <c r="W49" s="3333"/>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52" t="str">
        <f>A50</f>
        <v>估价对象XX用房的比较价值（楼面单价，元/平方米）</v>
      </c>
      <c r="Q50" s="3353"/>
      <c r="R50" s="3354" t="e">
        <f>IF(F1="售价",ROUND(AVERAGE(R49:V49),0),ROUND(AVERAGE(R49:V49),1))</f>
        <v>#DIV/0!</v>
      </c>
      <c r="S50" s="3354"/>
      <c r="T50" s="3354"/>
      <c r="U50" s="3354"/>
      <c r="V50" s="3354"/>
      <c r="W50" s="3354"/>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148075.10999999999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55" t="s">
        <v>2634</v>
      </c>
      <c r="AC4" s="3254" t="s">
        <v>2635</v>
      </c>
    </row>
    <row r="5" spans="1:29" ht="15">
      <c r="A5" s="404"/>
      <c r="B5" s="405"/>
      <c r="C5" s="3326" t="s">
        <v>2528</v>
      </c>
      <c r="D5" s="3327"/>
      <c r="E5" s="3324" t="s">
        <v>2529</v>
      </c>
      <c r="F5" s="3325"/>
      <c r="G5" s="3326" t="s">
        <v>2530</v>
      </c>
      <c r="H5" s="3327"/>
      <c r="I5" s="3326" t="s">
        <v>2531</v>
      </c>
      <c r="J5" s="3327"/>
      <c r="K5" s="610"/>
      <c r="L5" s="1130"/>
      <c r="M5" s="1131"/>
      <c r="N5" s="1131"/>
      <c r="O5" s="1131"/>
      <c r="P5" s="3278"/>
      <c r="Q5" s="3279"/>
      <c r="R5" s="3261"/>
      <c r="S5" s="3262"/>
      <c r="T5" s="3261"/>
      <c r="U5" s="3262"/>
      <c r="V5" s="3284"/>
      <c r="W5" s="3284"/>
      <c r="X5" s="1812"/>
      <c r="Y5" s="3261"/>
      <c r="Z5" s="3262"/>
      <c r="AA5" s="3255"/>
      <c r="AB5" s="3255"/>
      <c r="AC5" s="3255"/>
    </row>
    <row r="6" spans="1:29" ht="15.75" thickBot="1">
      <c r="A6" s="406"/>
      <c r="B6" s="407"/>
      <c r="C6" s="3328" t="s">
        <v>2532</v>
      </c>
      <c r="D6" s="3329"/>
      <c r="E6" s="3330" t="s">
        <v>2532</v>
      </c>
      <c r="F6" s="3331"/>
      <c r="G6" s="3328" t="s">
        <v>2532</v>
      </c>
      <c r="H6" s="3329"/>
      <c r="I6" s="3328" t="s">
        <v>2532</v>
      </c>
      <c r="J6" s="3329"/>
      <c r="K6" s="610" t="s">
        <v>2533</v>
      </c>
      <c r="L6" s="1130"/>
      <c r="M6" s="1131"/>
      <c r="N6" s="1131"/>
      <c r="O6" s="1131"/>
      <c r="P6" s="3280"/>
      <c r="Q6" s="3281"/>
      <c r="R6" s="3261"/>
      <c r="S6" s="3262"/>
      <c r="T6" s="3282"/>
      <c r="U6" s="3283"/>
      <c r="V6" s="3284"/>
      <c r="W6" s="3284"/>
      <c r="X6" s="1812"/>
      <c r="Y6" s="3282"/>
      <c r="Z6" s="3283"/>
      <c r="AA6" s="3256"/>
      <c r="AB6" s="3256"/>
      <c r="AC6" s="3256"/>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7" t="s">
        <v>2535</v>
      </c>
      <c r="Q7" s="3285"/>
      <c r="R7" s="770" t="s">
        <v>17</v>
      </c>
      <c r="S7" s="771">
        <f t="shared" ref="S7:S15" si="0">F7</f>
        <v>0</v>
      </c>
      <c r="T7" s="770" t="s">
        <v>17</v>
      </c>
      <c r="U7" s="771">
        <f t="shared" ref="U7:U15" si="1">H7</f>
        <v>0</v>
      </c>
      <c r="V7" s="770" t="s">
        <v>17</v>
      </c>
      <c r="W7" s="771">
        <f t="shared" ref="W7:W15" si="2">J7</f>
        <v>0</v>
      </c>
      <c r="X7" s="772"/>
      <c r="Y7" s="3257" t="s">
        <v>2535</v>
      </c>
      <c r="Z7" s="3258"/>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7" t="s">
        <v>2538</v>
      </c>
      <c r="Q8" s="3258"/>
      <c r="R8" s="770" t="s">
        <v>17</v>
      </c>
      <c r="S8" s="771">
        <f t="shared" si="0"/>
        <v>0</v>
      </c>
      <c r="T8" s="770" t="s">
        <v>17</v>
      </c>
      <c r="U8" s="771">
        <f t="shared" si="1"/>
        <v>0</v>
      </c>
      <c r="V8" s="770" t="s">
        <v>17</v>
      </c>
      <c r="W8" s="771">
        <f t="shared" si="2"/>
        <v>0</v>
      </c>
      <c r="X8" s="772"/>
      <c r="Y8" s="3257" t="s">
        <v>2538</v>
      </c>
      <c r="Z8" s="3258"/>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1"/>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1"/>
      <c r="Q11" s="1794"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6" t="s">
        <v>2546</v>
      </c>
      <c r="Q15" s="1809" t="str">
        <f t="shared" si="6"/>
        <v>产业集聚程度</v>
      </c>
      <c r="R15" s="774" t="s">
        <v>17</v>
      </c>
      <c r="S15" s="775">
        <f t="shared" si="0"/>
        <v>100</v>
      </c>
      <c r="T15" s="774" t="s">
        <v>17</v>
      </c>
      <c r="U15" s="775">
        <f t="shared" si="1"/>
        <v>100</v>
      </c>
      <c r="V15" s="774" t="s">
        <v>17</v>
      </c>
      <c r="W15" s="775">
        <f t="shared" si="2"/>
        <v>100</v>
      </c>
      <c r="X15" s="1812"/>
      <c r="Y15" s="3286"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7"/>
      <c r="Q16" s="1809"/>
      <c r="R16" s="774"/>
      <c r="S16" s="775"/>
      <c r="T16" s="774"/>
      <c r="U16" s="775"/>
      <c r="V16" s="774"/>
      <c r="W16" s="775"/>
      <c r="X16" s="1812"/>
      <c r="Y16" s="3287"/>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7"/>
      <c r="Q17" s="1809" t="str">
        <f>B17</f>
        <v>交通便捷度</v>
      </c>
      <c r="R17" s="774" t="s">
        <v>17</v>
      </c>
      <c r="S17" s="775">
        <f>F17</f>
        <v>100</v>
      </c>
      <c r="T17" s="774" t="s">
        <v>17</v>
      </c>
      <c r="U17" s="775">
        <f>H17</f>
        <v>100</v>
      </c>
      <c r="V17" s="774" t="s">
        <v>17</v>
      </c>
      <c r="W17" s="775">
        <f>J17</f>
        <v>100</v>
      </c>
      <c r="X17" s="1812"/>
      <c r="Y17" s="3287"/>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87"/>
      <c r="Q18" s="1809"/>
      <c r="R18" s="774"/>
      <c r="S18" s="775"/>
      <c r="T18" s="774"/>
      <c r="U18" s="775"/>
      <c r="V18" s="774"/>
      <c r="W18" s="775"/>
      <c r="X18" s="1812"/>
      <c r="Y18" s="3287"/>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7"/>
      <c r="Q19" s="1809" t="str">
        <f>B19</f>
        <v>公共配套设施</v>
      </c>
      <c r="R19" s="774" t="s">
        <v>17</v>
      </c>
      <c r="S19" s="775">
        <f>F19</f>
        <v>100</v>
      </c>
      <c r="T19" s="774" t="s">
        <v>17</v>
      </c>
      <c r="U19" s="775">
        <f>H19</f>
        <v>100</v>
      </c>
      <c r="V19" s="774" t="s">
        <v>17</v>
      </c>
      <c r="W19" s="775">
        <f>J19</f>
        <v>100</v>
      </c>
      <c r="X19" s="1812"/>
      <c r="Y19" s="3287"/>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87"/>
      <c r="Q20" s="1809"/>
      <c r="R20" s="774"/>
      <c r="S20" s="775"/>
      <c r="T20" s="774"/>
      <c r="U20" s="775"/>
      <c r="V20" s="774"/>
      <c r="W20" s="775"/>
      <c r="X20" s="1812"/>
      <c r="Y20" s="3287"/>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7"/>
      <c r="Q21" s="1809" t="str">
        <f>B21</f>
        <v>基础设施水平</v>
      </c>
      <c r="R21" s="774" t="s">
        <v>17</v>
      </c>
      <c r="S21" s="775">
        <f>F21</f>
        <v>100</v>
      </c>
      <c r="T21" s="774" t="s">
        <v>17</v>
      </c>
      <c r="U21" s="775">
        <f>H21</f>
        <v>100</v>
      </c>
      <c r="V21" s="774" t="s">
        <v>17</v>
      </c>
      <c r="W21" s="775">
        <f>J21</f>
        <v>100</v>
      </c>
      <c r="X21" s="1812"/>
      <c r="Y21" s="3287"/>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87"/>
      <c r="Q22" s="1809"/>
      <c r="R22" s="774"/>
      <c r="S22" s="775"/>
      <c r="T22" s="774"/>
      <c r="U22" s="775"/>
      <c r="V22" s="774"/>
      <c r="W22" s="775"/>
      <c r="X22" s="1812"/>
      <c r="Y22" s="3287"/>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7"/>
      <c r="Q23" s="1809" t="str">
        <f>B23</f>
        <v>环境质量</v>
      </c>
      <c r="R23" s="774" t="s">
        <v>17</v>
      </c>
      <c r="S23" s="775">
        <f>F23</f>
        <v>100</v>
      </c>
      <c r="T23" s="774" t="s">
        <v>17</v>
      </c>
      <c r="U23" s="775">
        <f>H23</f>
        <v>100</v>
      </c>
      <c r="V23" s="774" t="s">
        <v>17</v>
      </c>
      <c r="W23" s="775">
        <f>J23</f>
        <v>100</v>
      </c>
      <c r="X23" s="1812"/>
      <c r="Y23" s="3287"/>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87"/>
      <c r="Q24" s="1809"/>
      <c r="R24" s="774"/>
      <c r="S24" s="775"/>
      <c r="T24" s="774"/>
      <c r="U24" s="775"/>
      <c r="V24" s="774"/>
      <c r="W24" s="775"/>
      <c r="X24" s="1812"/>
      <c r="Y24" s="328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7"/>
      <c r="Q25" s="1809">
        <f>B25</f>
        <v>111</v>
      </c>
      <c r="R25" s="774" t="s">
        <v>17</v>
      </c>
      <c r="S25" s="775">
        <f>F25</f>
        <v>100</v>
      </c>
      <c r="T25" s="774" t="s">
        <v>17</v>
      </c>
      <c r="U25" s="775">
        <f>H25</f>
        <v>100</v>
      </c>
      <c r="V25" s="774" t="s">
        <v>17</v>
      </c>
      <c r="W25" s="775">
        <f>J25</f>
        <v>100</v>
      </c>
      <c r="X25" s="1812"/>
      <c r="Y25" s="328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7"/>
      <c r="Q26" s="1809">
        <f t="shared" ref="Q26:Q40" si="8">B26</f>
        <v>111</v>
      </c>
      <c r="R26" s="774" t="s">
        <v>17</v>
      </c>
      <c r="S26" s="775">
        <f>F26</f>
        <v>100</v>
      </c>
      <c r="T26" s="774" t="s">
        <v>17</v>
      </c>
      <c r="U26" s="775">
        <f>H26</f>
        <v>100</v>
      </c>
      <c r="V26" s="774" t="s">
        <v>17</v>
      </c>
      <c r="W26" s="775">
        <f>J26</f>
        <v>100</v>
      </c>
      <c r="X26" s="1812"/>
      <c r="Y26" s="328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7"/>
      <c r="Q27" s="1794">
        <f t="shared" si="8"/>
        <v>111</v>
      </c>
      <c r="R27" s="770" t="s">
        <v>17</v>
      </c>
      <c r="S27" s="771">
        <f>F27</f>
        <v>100</v>
      </c>
      <c r="T27" s="770" t="s">
        <v>17</v>
      </c>
      <c r="U27" s="771">
        <f>H27</f>
        <v>100</v>
      </c>
      <c r="V27" s="770" t="s">
        <v>17</v>
      </c>
      <c r="W27" s="771">
        <f>J27</f>
        <v>100</v>
      </c>
      <c r="X27" s="772"/>
      <c r="Y27" s="328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7"/>
      <c r="Q28" s="1809">
        <f t="shared" si="8"/>
        <v>111</v>
      </c>
      <c r="R28" s="774" t="s">
        <v>17</v>
      </c>
      <c r="S28" s="775">
        <f t="shared" ref="S28:S40" si="9">F28</f>
        <v>100</v>
      </c>
      <c r="T28" s="774" t="s">
        <v>17</v>
      </c>
      <c r="U28" s="775">
        <f t="shared" ref="U28:U40" si="10">H28</f>
        <v>100</v>
      </c>
      <c r="V28" s="774" t="s">
        <v>17</v>
      </c>
      <c r="W28" s="775">
        <f t="shared" ref="W28:W40" si="11">J28</f>
        <v>100</v>
      </c>
      <c r="X28" s="1812"/>
      <c r="Y28" s="3287"/>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88" t="s">
        <v>2551</v>
      </c>
      <c r="Q29" s="1809" t="str">
        <f t="shared" si="8"/>
        <v>建筑类型</v>
      </c>
      <c r="R29" s="774" t="s">
        <v>17</v>
      </c>
      <c r="S29" s="775">
        <f t="shared" si="9"/>
        <v>100</v>
      </c>
      <c r="T29" s="774" t="s">
        <v>17</v>
      </c>
      <c r="U29" s="775">
        <f t="shared" si="10"/>
        <v>100</v>
      </c>
      <c r="V29" s="774" t="s">
        <v>17</v>
      </c>
      <c r="W29" s="775">
        <f t="shared" si="11"/>
        <v>100</v>
      </c>
      <c r="X29" s="1812"/>
      <c r="Y29" s="3289"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9"/>
      <c r="Q30" s="776" t="str">
        <f t="shared" si="8"/>
        <v>项目建筑规模</v>
      </c>
      <c r="R30" s="777" t="s">
        <v>17</v>
      </c>
      <c r="S30" s="778" t="e">
        <f t="shared" si="9"/>
        <v>#N/A</v>
      </c>
      <c r="T30" s="777" t="s">
        <v>17</v>
      </c>
      <c r="U30" s="778" t="e">
        <f t="shared" si="10"/>
        <v>#N/A</v>
      </c>
      <c r="V30" s="777" t="s">
        <v>17</v>
      </c>
      <c r="W30" s="778" t="e">
        <f t="shared" si="11"/>
        <v>#N/A</v>
      </c>
      <c r="X30" s="779"/>
      <c r="Y30" s="3289"/>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9"/>
      <c r="Q31" s="1809" t="str">
        <f t="shared" si="8"/>
        <v>建筑结构</v>
      </c>
      <c r="R31" s="774" t="s">
        <v>17</v>
      </c>
      <c r="S31" s="775">
        <f t="shared" si="9"/>
        <v>100</v>
      </c>
      <c r="T31" s="774" t="s">
        <v>17</v>
      </c>
      <c r="U31" s="775">
        <f t="shared" si="10"/>
        <v>100</v>
      </c>
      <c r="V31" s="774" t="s">
        <v>17</v>
      </c>
      <c r="W31" s="775">
        <f t="shared" si="11"/>
        <v>100</v>
      </c>
      <c r="X31" s="1812"/>
      <c r="Y31" s="3289"/>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9"/>
      <c r="Q32" s="1809" t="str">
        <f t="shared" si="8"/>
        <v>公共部分装修</v>
      </c>
      <c r="R32" s="774" t="s">
        <v>17</v>
      </c>
      <c r="S32" s="775">
        <f t="shared" si="9"/>
        <v>100</v>
      </c>
      <c r="T32" s="774" t="s">
        <v>17</v>
      </c>
      <c r="U32" s="775">
        <f t="shared" si="10"/>
        <v>100</v>
      </c>
      <c r="V32" s="774" t="s">
        <v>17</v>
      </c>
      <c r="W32" s="775">
        <f t="shared" si="11"/>
        <v>100</v>
      </c>
      <c r="X32" s="1812"/>
      <c r="Y32" s="3289"/>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9"/>
      <c r="Q33" s="1809" t="str">
        <f t="shared" si="8"/>
        <v>成新度</v>
      </c>
      <c r="R33" s="774" t="s">
        <v>17</v>
      </c>
      <c r="S33" s="775" t="e">
        <f t="shared" si="9"/>
        <v>#N/A</v>
      </c>
      <c r="T33" s="774" t="s">
        <v>17</v>
      </c>
      <c r="U33" s="775" t="e">
        <f t="shared" si="10"/>
        <v>#N/A</v>
      </c>
      <c r="V33" s="774" t="s">
        <v>17</v>
      </c>
      <c r="W33" s="775" t="e">
        <f t="shared" si="11"/>
        <v>#N/A</v>
      </c>
      <c r="X33" s="1812"/>
      <c r="Y33" s="3289"/>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9"/>
      <c r="Q34" s="1794" t="str">
        <f t="shared" si="8"/>
        <v>物业管理</v>
      </c>
      <c r="R34" s="770" t="s">
        <v>17</v>
      </c>
      <c r="S34" s="771">
        <f t="shared" si="9"/>
        <v>100</v>
      </c>
      <c r="T34" s="770" t="s">
        <v>17</v>
      </c>
      <c r="U34" s="771">
        <f t="shared" si="10"/>
        <v>100</v>
      </c>
      <c r="V34" s="770" t="s">
        <v>17</v>
      </c>
      <c r="W34" s="771">
        <f t="shared" si="11"/>
        <v>100</v>
      </c>
      <c r="X34" s="772"/>
      <c r="Y34" s="3289"/>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9" t="s">
        <v>2551</v>
      </c>
      <c r="Q35" s="1809" t="str">
        <f t="shared" si="8"/>
        <v>市政基础设施</v>
      </c>
      <c r="R35" s="774" t="s">
        <v>17</v>
      </c>
      <c r="S35" s="775">
        <f t="shared" si="9"/>
        <v>100</v>
      </c>
      <c r="T35" s="774" t="s">
        <v>17</v>
      </c>
      <c r="U35" s="775">
        <f t="shared" si="10"/>
        <v>100</v>
      </c>
      <c r="V35" s="774" t="s">
        <v>17</v>
      </c>
      <c r="W35" s="775">
        <f t="shared" si="11"/>
        <v>100</v>
      </c>
      <c r="X35" s="1812"/>
      <c r="Y35" s="3289"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9"/>
      <c r="Q36" s="1809" t="str">
        <f t="shared" si="8"/>
        <v>内部装修</v>
      </c>
      <c r="R36" s="774" t="s">
        <v>17</v>
      </c>
      <c r="S36" s="775">
        <f t="shared" si="9"/>
        <v>100</v>
      </c>
      <c r="T36" s="774" t="s">
        <v>17</v>
      </c>
      <c r="U36" s="775">
        <f t="shared" si="10"/>
        <v>100</v>
      </c>
      <c r="V36" s="774" t="s">
        <v>17</v>
      </c>
      <c r="W36" s="775">
        <f t="shared" si="11"/>
        <v>100</v>
      </c>
      <c r="X36" s="1812"/>
      <c r="Y36" s="3289"/>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9"/>
      <c r="Q37" s="1809" t="str">
        <f t="shared" si="8"/>
        <v>内部装修状况</v>
      </c>
      <c r="R37" s="774" t="s">
        <v>17</v>
      </c>
      <c r="S37" s="775">
        <f t="shared" si="9"/>
        <v>100</v>
      </c>
      <c r="T37" s="774" t="s">
        <v>17</v>
      </c>
      <c r="U37" s="775">
        <f t="shared" si="10"/>
        <v>100</v>
      </c>
      <c r="V37" s="774" t="s">
        <v>17</v>
      </c>
      <c r="W37" s="775">
        <f t="shared" si="11"/>
        <v>100</v>
      </c>
      <c r="X37" s="1812"/>
      <c r="Y37" s="3289"/>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9"/>
      <c r="Q38" s="776">
        <f t="shared" si="8"/>
        <v>111</v>
      </c>
      <c r="R38" s="777" t="s">
        <v>17</v>
      </c>
      <c r="S38" s="778">
        <f t="shared" si="9"/>
        <v>100</v>
      </c>
      <c r="T38" s="777" t="s">
        <v>17</v>
      </c>
      <c r="U38" s="778">
        <f t="shared" si="10"/>
        <v>100</v>
      </c>
      <c r="V38" s="777" t="s">
        <v>17</v>
      </c>
      <c r="W38" s="778">
        <f t="shared" si="11"/>
        <v>100</v>
      </c>
      <c r="X38" s="779"/>
      <c r="Y38" s="3289"/>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9"/>
      <c r="Q39" s="1809">
        <f t="shared" si="8"/>
        <v>111</v>
      </c>
      <c r="R39" s="774" t="s">
        <v>17</v>
      </c>
      <c r="S39" s="775">
        <f t="shared" si="9"/>
        <v>100</v>
      </c>
      <c r="T39" s="774" t="s">
        <v>17</v>
      </c>
      <c r="U39" s="775">
        <f t="shared" si="10"/>
        <v>100</v>
      </c>
      <c r="V39" s="774" t="s">
        <v>17</v>
      </c>
      <c r="W39" s="775">
        <f t="shared" si="11"/>
        <v>100</v>
      </c>
      <c r="X39" s="1812"/>
      <c r="Y39" s="3289"/>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7"/>
      <c r="Q40" s="1809">
        <f t="shared" si="8"/>
        <v>111</v>
      </c>
      <c r="R40" s="774" t="s">
        <v>17</v>
      </c>
      <c r="S40" s="775">
        <f t="shared" si="9"/>
        <v>100</v>
      </c>
      <c r="T40" s="774" t="s">
        <v>17</v>
      </c>
      <c r="U40" s="775">
        <f t="shared" si="10"/>
        <v>100</v>
      </c>
      <c r="V40" s="774" t="s">
        <v>17</v>
      </c>
      <c r="W40" s="775">
        <f t="shared" si="11"/>
        <v>100</v>
      </c>
      <c r="X40" s="1812"/>
      <c r="Y40" s="3337"/>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71" t="str">
        <f>A41</f>
        <v>成交单价（元/平方米）</v>
      </c>
      <c r="Q41" s="3271"/>
      <c r="R41" s="3333">
        <f>E41</f>
        <v>0</v>
      </c>
      <c r="S41" s="3333"/>
      <c r="T41" s="3333">
        <f>G41</f>
        <v>0</v>
      </c>
      <c r="U41" s="3333"/>
      <c r="V41" s="3333">
        <f>I41</f>
        <v>0</v>
      </c>
      <c r="W41" s="3333"/>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71" t="str">
        <f>A42</f>
        <v>比较价值（元/平方米）</v>
      </c>
      <c r="Q42" s="3271"/>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91" t="str">
        <f>A43</f>
        <v>估价对象XX用房的比较价值（楼面单价，元/平方米）</v>
      </c>
      <c r="Q43" s="3292"/>
      <c r="R43" s="3332" t="e">
        <f>IF(F1="售价",ROUND(AVERAGE(R42:V42),0),ROUND(AVERAGE(R42:V42),1))</f>
        <v>#DIV/0!</v>
      </c>
      <c r="S43" s="3332"/>
      <c r="T43" s="3332"/>
      <c r="U43" s="3332"/>
      <c r="V43" s="3332"/>
      <c r="W43" s="33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55" t="s">
        <v>2634</v>
      </c>
      <c r="AC4" s="3254" t="s">
        <v>2635</v>
      </c>
    </row>
    <row r="5" spans="1:29" ht="15">
      <c r="A5" s="404"/>
      <c r="B5" s="405"/>
      <c r="C5" s="3326" t="s">
        <v>2528</v>
      </c>
      <c r="D5" s="3327"/>
      <c r="E5" s="3324" t="s">
        <v>2529</v>
      </c>
      <c r="F5" s="3325"/>
      <c r="G5" s="3326" t="s">
        <v>2530</v>
      </c>
      <c r="H5" s="3327"/>
      <c r="I5" s="3326" t="s">
        <v>2531</v>
      </c>
      <c r="J5" s="3327"/>
      <c r="K5" s="610"/>
      <c r="L5" s="1130"/>
      <c r="M5" s="1131"/>
      <c r="N5" s="1131"/>
      <c r="O5" s="1131"/>
      <c r="P5" s="3278"/>
      <c r="Q5" s="3279"/>
      <c r="R5" s="3261"/>
      <c r="S5" s="3262"/>
      <c r="T5" s="3261"/>
      <c r="U5" s="3262"/>
      <c r="V5" s="3284"/>
      <c r="W5" s="3284"/>
      <c r="X5" s="1812"/>
      <c r="Y5" s="3261"/>
      <c r="Z5" s="3262"/>
      <c r="AA5" s="3255"/>
      <c r="AB5" s="3255"/>
      <c r="AC5" s="3255"/>
    </row>
    <row r="6" spans="1:29" ht="15.75" thickBot="1">
      <c r="A6" s="406"/>
      <c r="B6" s="407"/>
      <c r="C6" s="3328" t="s">
        <v>2532</v>
      </c>
      <c r="D6" s="3329"/>
      <c r="E6" s="3330" t="s">
        <v>2532</v>
      </c>
      <c r="F6" s="3331"/>
      <c r="G6" s="3328" t="s">
        <v>2532</v>
      </c>
      <c r="H6" s="3329"/>
      <c r="I6" s="3328" t="s">
        <v>2532</v>
      </c>
      <c r="J6" s="3329"/>
      <c r="K6" s="610" t="s">
        <v>2533</v>
      </c>
      <c r="L6" s="1130"/>
      <c r="M6" s="1131"/>
      <c r="N6" s="1131"/>
      <c r="O6" s="1131"/>
      <c r="P6" s="3280"/>
      <c r="Q6" s="3281"/>
      <c r="R6" s="3261"/>
      <c r="S6" s="3262"/>
      <c r="T6" s="3282"/>
      <c r="U6" s="3283"/>
      <c r="V6" s="3284"/>
      <c r="W6" s="3284"/>
      <c r="X6" s="1812"/>
      <c r="Y6" s="3282"/>
      <c r="Z6" s="3283"/>
      <c r="AA6" s="3256"/>
      <c r="AB6" s="3256"/>
      <c r="AC6" s="3256"/>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7" t="s">
        <v>2535</v>
      </c>
      <c r="Q7" s="3285"/>
      <c r="R7" s="770" t="s">
        <v>17</v>
      </c>
      <c r="S7" s="771">
        <f t="shared" ref="S7:S14" si="0">F7</f>
        <v>0</v>
      </c>
      <c r="T7" s="770" t="s">
        <v>17</v>
      </c>
      <c r="U7" s="771">
        <f t="shared" ref="U7:U14" si="1">H7</f>
        <v>0</v>
      </c>
      <c r="V7" s="770" t="s">
        <v>17</v>
      </c>
      <c r="W7" s="771">
        <f t="shared" ref="W7:W14" si="2">J7</f>
        <v>0</v>
      </c>
      <c r="X7" s="772"/>
      <c r="Y7" s="3257" t="s">
        <v>2535</v>
      </c>
      <c r="Z7" s="3258"/>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7" t="s">
        <v>2538</v>
      </c>
      <c r="Q8" s="3258"/>
      <c r="R8" s="770" t="s">
        <v>17</v>
      </c>
      <c r="S8" s="771">
        <f t="shared" si="0"/>
        <v>0</v>
      </c>
      <c r="T8" s="770" t="s">
        <v>17</v>
      </c>
      <c r="U8" s="771">
        <f t="shared" si="1"/>
        <v>0</v>
      </c>
      <c r="V8" s="770" t="s">
        <v>17</v>
      </c>
      <c r="W8" s="771">
        <f t="shared" si="2"/>
        <v>0</v>
      </c>
      <c r="X8" s="772"/>
      <c r="Y8" s="3257" t="s">
        <v>2538</v>
      </c>
      <c r="Z8" s="3258"/>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1" t="s">
        <v>2541</v>
      </c>
      <c r="Q9" s="1794" t="str">
        <f t="shared" ref="Q9:Q14" si="6">B9</f>
        <v>用途</v>
      </c>
      <c r="R9" s="770" t="s">
        <v>17</v>
      </c>
      <c r="S9" s="771">
        <f t="shared" si="0"/>
        <v>100</v>
      </c>
      <c r="T9" s="770" t="s">
        <v>17</v>
      </c>
      <c r="U9" s="771">
        <f t="shared" si="1"/>
        <v>100</v>
      </c>
      <c r="V9" s="770" t="s">
        <v>17</v>
      </c>
      <c r="W9" s="771">
        <f t="shared" si="2"/>
        <v>100</v>
      </c>
      <c r="X9" s="772"/>
      <c r="Y9" s="3084"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1"/>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1"/>
      <c r="Q11" s="1794">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1"/>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1"/>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6" t="s">
        <v>2546</v>
      </c>
      <c r="Q14" s="1809" t="str">
        <f t="shared" si="6"/>
        <v>交通便捷度</v>
      </c>
      <c r="R14" s="774" t="s">
        <v>17</v>
      </c>
      <c r="S14" s="775">
        <f t="shared" si="0"/>
        <v>100</v>
      </c>
      <c r="T14" s="774" t="s">
        <v>17</v>
      </c>
      <c r="U14" s="775">
        <f t="shared" si="1"/>
        <v>100</v>
      </c>
      <c r="V14" s="774" t="s">
        <v>17</v>
      </c>
      <c r="W14" s="775">
        <f t="shared" si="2"/>
        <v>100</v>
      </c>
      <c r="X14" s="1812"/>
      <c r="Y14" s="3286"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7"/>
      <c r="Q15" s="1809"/>
      <c r="R15" s="774"/>
      <c r="S15" s="775"/>
      <c r="T15" s="774"/>
      <c r="U15" s="775"/>
      <c r="V15" s="774"/>
      <c r="W15" s="775"/>
      <c r="X15" s="1812"/>
      <c r="Y15" s="3287"/>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7"/>
      <c r="Q16" s="1809" t="str">
        <f>B16</f>
        <v>公共配套设施</v>
      </c>
      <c r="R16" s="774" t="s">
        <v>17</v>
      </c>
      <c r="S16" s="775">
        <f>F16</f>
        <v>100</v>
      </c>
      <c r="T16" s="774" t="s">
        <v>17</v>
      </c>
      <c r="U16" s="775">
        <f>H16</f>
        <v>100</v>
      </c>
      <c r="V16" s="774" t="s">
        <v>17</v>
      </c>
      <c r="W16" s="775">
        <f>J16</f>
        <v>100</v>
      </c>
      <c r="X16" s="1812"/>
      <c r="Y16" s="3287"/>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87"/>
      <c r="Q17" s="1809"/>
      <c r="R17" s="774"/>
      <c r="S17" s="775"/>
      <c r="T17" s="774"/>
      <c r="U17" s="775"/>
      <c r="V17" s="774"/>
      <c r="W17" s="775"/>
      <c r="X17" s="1812"/>
      <c r="Y17" s="3287"/>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7"/>
      <c r="Q18" s="1809" t="str">
        <f>B18</f>
        <v>基础设施水平</v>
      </c>
      <c r="R18" s="774" t="s">
        <v>17</v>
      </c>
      <c r="S18" s="775">
        <f>F18</f>
        <v>100</v>
      </c>
      <c r="T18" s="774" t="s">
        <v>17</v>
      </c>
      <c r="U18" s="775">
        <f>H18</f>
        <v>100</v>
      </c>
      <c r="V18" s="774" t="s">
        <v>17</v>
      </c>
      <c r="W18" s="775">
        <f>J18</f>
        <v>100</v>
      </c>
      <c r="X18" s="1812"/>
      <c r="Y18" s="3287"/>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87"/>
      <c r="Q19" s="1809"/>
      <c r="R19" s="774"/>
      <c r="S19" s="775"/>
      <c r="T19" s="774"/>
      <c r="U19" s="775"/>
      <c r="V19" s="774"/>
      <c r="W19" s="775"/>
      <c r="X19" s="1812"/>
      <c r="Y19" s="3287"/>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7"/>
      <c r="Q20" s="1809" t="str">
        <f>B20</f>
        <v>自然及人文环境</v>
      </c>
      <c r="R20" s="774" t="s">
        <v>17</v>
      </c>
      <c r="S20" s="775">
        <f>F20</f>
        <v>100</v>
      </c>
      <c r="T20" s="774" t="s">
        <v>17</v>
      </c>
      <c r="U20" s="775">
        <f>H20</f>
        <v>100</v>
      </c>
      <c r="V20" s="774" t="s">
        <v>17</v>
      </c>
      <c r="W20" s="775">
        <f>J20</f>
        <v>100</v>
      </c>
      <c r="X20" s="1812"/>
      <c r="Y20" s="328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7"/>
      <c r="Q21" s="1809"/>
      <c r="R21" s="774"/>
      <c r="S21" s="775"/>
      <c r="T21" s="774"/>
      <c r="U21" s="775"/>
      <c r="V21" s="774"/>
      <c r="W21" s="775"/>
      <c r="X21" s="1812"/>
      <c r="Y21" s="3287"/>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7"/>
      <c r="Q22" s="1809" t="str">
        <f>B22</f>
        <v>楼层</v>
      </c>
      <c r="R22" s="774" t="s">
        <v>17</v>
      </c>
      <c r="S22" s="775">
        <f>F22</f>
        <v>100</v>
      </c>
      <c r="T22" s="774" t="s">
        <v>17</v>
      </c>
      <c r="U22" s="775">
        <f>H22</f>
        <v>100</v>
      </c>
      <c r="V22" s="774" t="s">
        <v>17</v>
      </c>
      <c r="W22" s="775">
        <f>J22</f>
        <v>100</v>
      </c>
      <c r="X22" s="1812"/>
      <c r="Y22" s="328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7"/>
      <c r="Q23" s="1809">
        <f>B23</f>
        <v>111</v>
      </c>
      <c r="R23" s="774" t="s">
        <v>17</v>
      </c>
      <c r="S23" s="775">
        <f>F23</f>
        <v>100</v>
      </c>
      <c r="T23" s="774" t="s">
        <v>17</v>
      </c>
      <c r="U23" s="775">
        <f>H23</f>
        <v>100</v>
      </c>
      <c r="V23" s="774" t="s">
        <v>17</v>
      </c>
      <c r="W23" s="775">
        <f>J23</f>
        <v>100</v>
      </c>
      <c r="X23" s="1812"/>
      <c r="Y23" s="328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7"/>
      <c r="Q24" s="1809">
        <f t="shared" ref="Q24:Q36" si="8">B24</f>
        <v>111</v>
      </c>
      <c r="R24" s="774" t="s">
        <v>17</v>
      </c>
      <c r="S24" s="775">
        <f>F24</f>
        <v>100</v>
      </c>
      <c r="T24" s="774" t="s">
        <v>17</v>
      </c>
      <c r="U24" s="775">
        <f>H24</f>
        <v>100</v>
      </c>
      <c r="V24" s="774" t="s">
        <v>17</v>
      </c>
      <c r="W24" s="775">
        <f>J24</f>
        <v>100</v>
      </c>
      <c r="X24" s="1812"/>
      <c r="Y24" s="328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7"/>
      <c r="Q25" s="1794">
        <f t="shared" si="8"/>
        <v>111</v>
      </c>
      <c r="R25" s="770" t="s">
        <v>17</v>
      </c>
      <c r="S25" s="771">
        <f>F25</f>
        <v>100</v>
      </c>
      <c r="T25" s="770" t="s">
        <v>17</v>
      </c>
      <c r="U25" s="771">
        <f>H25</f>
        <v>100</v>
      </c>
      <c r="V25" s="770" t="s">
        <v>17</v>
      </c>
      <c r="W25" s="771">
        <f>J25</f>
        <v>100</v>
      </c>
      <c r="X25" s="772"/>
      <c r="Y25" s="3287"/>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8"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89"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9"/>
      <c r="Q27" s="776" t="str">
        <f t="shared" si="8"/>
        <v>项目停车位配比</v>
      </c>
      <c r="R27" s="777" t="s">
        <v>17</v>
      </c>
      <c r="S27" s="778">
        <f t="shared" si="9"/>
        <v>100</v>
      </c>
      <c r="T27" s="777" t="s">
        <v>17</v>
      </c>
      <c r="U27" s="778">
        <f t="shared" si="10"/>
        <v>100</v>
      </c>
      <c r="V27" s="777" t="s">
        <v>17</v>
      </c>
      <c r="W27" s="778">
        <f t="shared" si="11"/>
        <v>100</v>
      </c>
      <c r="X27" s="779"/>
      <c r="Y27" s="3289"/>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9"/>
      <c r="Q28" s="1809" t="str">
        <f t="shared" si="8"/>
        <v>公共部分装修</v>
      </c>
      <c r="R28" s="774" t="s">
        <v>17</v>
      </c>
      <c r="S28" s="775">
        <f t="shared" si="9"/>
        <v>100</v>
      </c>
      <c r="T28" s="774" t="s">
        <v>17</v>
      </c>
      <c r="U28" s="775">
        <f t="shared" si="10"/>
        <v>100</v>
      </c>
      <c r="V28" s="774" t="s">
        <v>17</v>
      </c>
      <c r="W28" s="775">
        <f t="shared" si="11"/>
        <v>100</v>
      </c>
      <c r="X28" s="1812"/>
      <c r="Y28" s="3289"/>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9"/>
      <c r="Q29" s="1809" t="str">
        <f t="shared" si="8"/>
        <v>成新率</v>
      </c>
      <c r="R29" s="774" t="s">
        <v>17</v>
      </c>
      <c r="S29" s="775" t="e">
        <f t="shared" si="9"/>
        <v>#N/A</v>
      </c>
      <c r="T29" s="774" t="s">
        <v>17</v>
      </c>
      <c r="U29" s="775" t="e">
        <f t="shared" si="10"/>
        <v>#N/A</v>
      </c>
      <c r="V29" s="774" t="s">
        <v>17</v>
      </c>
      <c r="W29" s="775" t="e">
        <f t="shared" si="11"/>
        <v>#N/A</v>
      </c>
      <c r="X29" s="1812"/>
      <c r="Y29" s="3289"/>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9"/>
      <c r="Q30" s="1809" t="str">
        <f t="shared" si="8"/>
        <v>物业等级</v>
      </c>
      <c r="R30" s="774" t="s">
        <v>17</v>
      </c>
      <c r="S30" s="775">
        <f t="shared" si="9"/>
        <v>100</v>
      </c>
      <c r="T30" s="774" t="s">
        <v>17</v>
      </c>
      <c r="U30" s="775">
        <f t="shared" si="10"/>
        <v>100</v>
      </c>
      <c r="V30" s="774" t="s">
        <v>17</v>
      </c>
      <c r="W30" s="775">
        <f t="shared" si="11"/>
        <v>100</v>
      </c>
      <c r="X30" s="1812"/>
      <c r="Y30" s="3289"/>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9"/>
      <c r="Q31" s="1794" t="str">
        <f t="shared" si="8"/>
        <v>停车位面积</v>
      </c>
      <c r="R31" s="770" t="s">
        <v>17</v>
      </c>
      <c r="S31" s="771" t="e">
        <f t="shared" si="9"/>
        <v>#N/A</v>
      </c>
      <c r="T31" s="770" t="s">
        <v>17</v>
      </c>
      <c r="U31" s="771" t="e">
        <f t="shared" si="10"/>
        <v>#N/A</v>
      </c>
      <c r="V31" s="770" t="s">
        <v>17</v>
      </c>
      <c r="W31" s="771" t="e">
        <f t="shared" si="11"/>
        <v>#N/A</v>
      </c>
      <c r="X31" s="772"/>
      <c r="Y31" s="3289"/>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9" t="s">
        <v>2551</v>
      </c>
      <c r="Q32" s="1809" t="str">
        <f t="shared" si="8"/>
        <v>车位类型</v>
      </c>
      <c r="R32" s="774" t="s">
        <v>17</v>
      </c>
      <c r="S32" s="775">
        <f t="shared" si="9"/>
        <v>100</v>
      </c>
      <c r="T32" s="774" t="s">
        <v>17</v>
      </c>
      <c r="U32" s="775">
        <f t="shared" si="10"/>
        <v>100</v>
      </c>
      <c r="V32" s="774" t="s">
        <v>17</v>
      </c>
      <c r="W32" s="775">
        <f t="shared" si="11"/>
        <v>100</v>
      </c>
      <c r="X32" s="1812"/>
      <c r="Y32" s="3289"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9"/>
      <c r="Q33" s="1809" t="str">
        <f t="shared" si="8"/>
        <v>是否直接入户</v>
      </c>
      <c r="R33" s="774" t="s">
        <v>17</v>
      </c>
      <c r="S33" s="775">
        <f t="shared" si="9"/>
        <v>100</v>
      </c>
      <c r="T33" s="774" t="s">
        <v>17</v>
      </c>
      <c r="U33" s="775">
        <f t="shared" si="10"/>
        <v>100</v>
      </c>
      <c r="V33" s="774" t="s">
        <v>17</v>
      </c>
      <c r="W33" s="775">
        <f t="shared" si="11"/>
        <v>100</v>
      </c>
      <c r="X33" s="1812"/>
      <c r="Y33" s="3289"/>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9"/>
      <c r="Q34" s="1809">
        <f t="shared" si="8"/>
        <v>111</v>
      </c>
      <c r="R34" s="774" t="s">
        <v>17</v>
      </c>
      <c r="S34" s="775">
        <f t="shared" si="9"/>
        <v>100</v>
      </c>
      <c r="T34" s="774" t="s">
        <v>17</v>
      </c>
      <c r="U34" s="775">
        <f t="shared" si="10"/>
        <v>100</v>
      </c>
      <c r="V34" s="774" t="s">
        <v>17</v>
      </c>
      <c r="W34" s="775">
        <f t="shared" si="11"/>
        <v>100</v>
      </c>
      <c r="X34" s="1812"/>
      <c r="Y34" s="3289"/>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9"/>
      <c r="Q35" s="776">
        <f t="shared" si="8"/>
        <v>111</v>
      </c>
      <c r="R35" s="777" t="s">
        <v>17</v>
      </c>
      <c r="S35" s="778">
        <f t="shared" si="9"/>
        <v>100</v>
      </c>
      <c r="T35" s="777" t="s">
        <v>17</v>
      </c>
      <c r="U35" s="778">
        <f t="shared" si="10"/>
        <v>100</v>
      </c>
      <c r="V35" s="777" t="s">
        <v>17</v>
      </c>
      <c r="W35" s="778">
        <f t="shared" si="11"/>
        <v>100</v>
      </c>
      <c r="X35" s="779"/>
      <c r="Y35" s="3289"/>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9"/>
      <c r="Q36" s="1809">
        <f t="shared" si="8"/>
        <v>111</v>
      </c>
      <c r="R36" s="774" t="s">
        <v>17</v>
      </c>
      <c r="S36" s="775">
        <f t="shared" si="9"/>
        <v>100</v>
      </c>
      <c r="T36" s="774" t="s">
        <v>17</v>
      </c>
      <c r="U36" s="775">
        <f t="shared" si="10"/>
        <v>100</v>
      </c>
      <c r="V36" s="774" t="s">
        <v>17</v>
      </c>
      <c r="W36" s="775">
        <f t="shared" si="11"/>
        <v>100</v>
      </c>
      <c r="X36" s="1812"/>
      <c r="Y36" s="3289"/>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71" t="str">
        <f>A37</f>
        <v>成交单价</v>
      </c>
      <c r="Q37" s="3271"/>
      <c r="R37" s="3333">
        <f>E37</f>
        <v>0</v>
      </c>
      <c r="S37" s="3333"/>
      <c r="T37" s="3333">
        <f>G37</f>
        <v>0</v>
      </c>
      <c r="U37" s="3333"/>
      <c r="V37" s="3333">
        <f>I37</f>
        <v>0</v>
      </c>
      <c r="W37" s="3333"/>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1" t="str">
        <f>A38</f>
        <v>比较价值（元/平方米）</v>
      </c>
      <c r="Q38" s="3271"/>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91" t="str">
        <f>A39</f>
        <v>估价对象XX用房的比较价值（楼面单价，元/平方米）</v>
      </c>
      <c r="Q39" s="3292"/>
      <c r="R39" s="3332" t="e">
        <f>IF(F1="售价",ROUND(AVERAGE(R38:V38),0),ROUND(AVERAGE(R38:V38),1))</f>
        <v>#DIV/0!</v>
      </c>
      <c r="S39" s="3332"/>
      <c r="T39" s="3332"/>
      <c r="U39" s="3332"/>
      <c r="V39" s="3332"/>
      <c r="W39" s="33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55" t="s">
        <v>2634</v>
      </c>
      <c r="AC4" s="3254" t="s">
        <v>2635</v>
      </c>
    </row>
    <row r="5" spans="1:29" ht="15">
      <c r="A5" s="404"/>
      <c r="B5" s="405"/>
      <c r="C5" s="3326" t="s">
        <v>2528</v>
      </c>
      <c r="D5" s="3327"/>
      <c r="E5" s="3324" t="s">
        <v>2529</v>
      </c>
      <c r="F5" s="3325"/>
      <c r="G5" s="3326" t="s">
        <v>2530</v>
      </c>
      <c r="H5" s="3327"/>
      <c r="I5" s="3326" t="s">
        <v>2531</v>
      </c>
      <c r="J5" s="3327"/>
      <c r="K5" s="610"/>
      <c r="L5" s="1130"/>
      <c r="M5" s="1131"/>
      <c r="N5" s="1131"/>
      <c r="O5" s="1131"/>
      <c r="P5" s="3278"/>
      <c r="Q5" s="3279"/>
      <c r="R5" s="3261"/>
      <c r="S5" s="3262"/>
      <c r="T5" s="3261"/>
      <c r="U5" s="3262"/>
      <c r="V5" s="3284"/>
      <c r="W5" s="3284"/>
      <c r="X5" s="1812"/>
      <c r="Y5" s="3261"/>
      <c r="Z5" s="3262"/>
      <c r="AA5" s="3255"/>
      <c r="AB5" s="3255"/>
      <c r="AC5" s="3255"/>
    </row>
    <row r="6" spans="1:29" ht="15.75" thickBot="1">
      <c r="A6" s="406"/>
      <c r="B6" s="407"/>
      <c r="C6" s="3328" t="s">
        <v>2532</v>
      </c>
      <c r="D6" s="3329"/>
      <c r="E6" s="3330" t="s">
        <v>2532</v>
      </c>
      <c r="F6" s="3331"/>
      <c r="G6" s="3328" t="s">
        <v>2532</v>
      </c>
      <c r="H6" s="3329"/>
      <c r="I6" s="3328" t="s">
        <v>2532</v>
      </c>
      <c r="J6" s="3329"/>
      <c r="K6" s="610" t="s">
        <v>2533</v>
      </c>
      <c r="L6" s="1130"/>
      <c r="M6" s="1131"/>
      <c r="N6" s="1131"/>
      <c r="O6" s="1131"/>
      <c r="P6" s="3280"/>
      <c r="Q6" s="3281"/>
      <c r="R6" s="3261"/>
      <c r="S6" s="3262"/>
      <c r="T6" s="3282"/>
      <c r="U6" s="3283"/>
      <c r="V6" s="3284"/>
      <c r="W6" s="3284"/>
      <c r="X6" s="1812"/>
      <c r="Y6" s="3282"/>
      <c r="Z6" s="3283"/>
      <c r="AA6" s="3256"/>
      <c r="AB6" s="3256"/>
      <c r="AC6" s="3256"/>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57" t="s">
        <v>2535</v>
      </c>
      <c r="Q7" s="3285"/>
      <c r="R7" s="770" t="s">
        <v>17</v>
      </c>
      <c r="S7" s="771">
        <f t="shared" ref="S7:S14" si="0">F7</f>
        <v>0</v>
      </c>
      <c r="T7" s="770" t="s">
        <v>17</v>
      </c>
      <c r="U7" s="771">
        <f t="shared" ref="U7:U14" si="1">H7</f>
        <v>0</v>
      </c>
      <c r="V7" s="770" t="s">
        <v>17</v>
      </c>
      <c r="W7" s="771">
        <f t="shared" ref="W7:W14" si="2">J7</f>
        <v>0</v>
      </c>
      <c r="X7" s="772"/>
      <c r="Y7" s="3257" t="s">
        <v>2535</v>
      </c>
      <c r="Z7" s="3258"/>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7" t="s">
        <v>2538</v>
      </c>
      <c r="Q8" s="3258"/>
      <c r="R8" s="770" t="s">
        <v>17</v>
      </c>
      <c r="S8" s="771">
        <f t="shared" si="0"/>
        <v>0</v>
      </c>
      <c r="T8" s="770" t="s">
        <v>17</v>
      </c>
      <c r="U8" s="771">
        <f t="shared" si="1"/>
        <v>0</v>
      </c>
      <c r="V8" s="770" t="s">
        <v>17</v>
      </c>
      <c r="W8" s="771">
        <f t="shared" si="2"/>
        <v>0</v>
      </c>
      <c r="X8" s="772"/>
      <c r="Y8" s="3257" t="s">
        <v>2538</v>
      </c>
      <c r="Z8" s="3258"/>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1" t="s">
        <v>2541</v>
      </c>
      <c r="Q9" s="1794" t="str">
        <f t="shared" ref="Q9:Q14" si="6">B9</f>
        <v>用途</v>
      </c>
      <c r="R9" s="770" t="s">
        <v>17</v>
      </c>
      <c r="S9" s="771">
        <f t="shared" si="0"/>
        <v>100</v>
      </c>
      <c r="T9" s="770" t="s">
        <v>17</v>
      </c>
      <c r="U9" s="771">
        <f t="shared" si="1"/>
        <v>100</v>
      </c>
      <c r="V9" s="770" t="s">
        <v>17</v>
      </c>
      <c r="W9" s="771">
        <f t="shared" si="2"/>
        <v>100</v>
      </c>
      <c r="X9" s="772"/>
      <c r="Y9" s="3084"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1"/>
      <c r="Q10" s="1794"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1"/>
      <c r="Q11" s="1794">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6" t="s">
        <v>2546</v>
      </c>
      <c r="Q14" s="1809" t="str">
        <f t="shared" si="6"/>
        <v>交通便捷度</v>
      </c>
      <c r="R14" s="774" t="s">
        <v>17</v>
      </c>
      <c r="S14" s="775">
        <f t="shared" si="0"/>
        <v>100</v>
      </c>
      <c r="T14" s="774" t="s">
        <v>17</v>
      </c>
      <c r="U14" s="775">
        <f t="shared" si="1"/>
        <v>100</v>
      </c>
      <c r="V14" s="774" t="s">
        <v>17</v>
      </c>
      <c r="W14" s="775">
        <f t="shared" si="2"/>
        <v>100</v>
      </c>
      <c r="X14" s="1812"/>
      <c r="Y14" s="3286"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7"/>
      <c r="Q15" s="1809"/>
      <c r="R15" s="774"/>
      <c r="S15" s="775"/>
      <c r="T15" s="774"/>
      <c r="U15" s="775"/>
      <c r="V15" s="774"/>
      <c r="W15" s="775"/>
      <c r="X15" s="1812"/>
      <c r="Y15" s="3287"/>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7"/>
      <c r="Q16" s="1809" t="str">
        <f>B16</f>
        <v>公共配套设施</v>
      </c>
      <c r="R16" s="774" t="s">
        <v>17</v>
      </c>
      <c r="S16" s="775">
        <f>F16</f>
        <v>100</v>
      </c>
      <c r="T16" s="774" t="s">
        <v>17</v>
      </c>
      <c r="U16" s="775">
        <f>H16</f>
        <v>100</v>
      </c>
      <c r="V16" s="774" t="s">
        <v>17</v>
      </c>
      <c r="W16" s="775">
        <f>J16</f>
        <v>100</v>
      </c>
      <c r="X16" s="1812"/>
      <c r="Y16" s="3287"/>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87"/>
      <c r="Q17" s="1809"/>
      <c r="R17" s="774"/>
      <c r="S17" s="775"/>
      <c r="T17" s="774"/>
      <c r="U17" s="775"/>
      <c r="V17" s="774"/>
      <c r="W17" s="775"/>
      <c r="X17" s="1812"/>
      <c r="Y17" s="3287"/>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7"/>
      <c r="Q18" s="1809" t="str">
        <f>B18</f>
        <v>基础设施水平</v>
      </c>
      <c r="R18" s="774" t="s">
        <v>17</v>
      </c>
      <c r="S18" s="775">
        <f>F18</f>
        <v>100</v>
      </c>
      <c r="T18" s="774" t="s">
        <v>17</v>
      </c>
      <c r="U18" s="775">
        <f>H18</f>
        <v>100</v>
      </c>
      <c r="V18" s="774" t="s">
        <v>17</v>
      </c>
      <c r="W18" s="775">
        <f>J18</f>
        <v>100</v>
      </c>
      <c r="X18" s="1812"/>
      <c r="Y18" s="3287"/>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87"/>
      <c r="Q19" s="1809"/>
      <c r="R19" s="774"/>
      <c r="S19" s="775"/>
      <c r="T19" s="774"/>
      <c r="U19" s="775"/>
      <c r="V19" s="774"/>
      <c r="W19" s="775"/>
      <c r="X19" s="1812"/>
      <c r="Y19" s="3287"/>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7"/>
      <c r="Q20" s="1809" t="str">
        <f>B20</f>
        <v>自然及人文环境</v>
      </c>
      <c r="R20" s="774" t="s">
        <v>17</v>
      </c>
      <c r="S20" s="775">
        <f>F20</f>
        <v>100</v>
      </c>
      <c r="T20" s="774" t="s">
        <v>17</v>
      </c>
      <c r="U20" s="775">
        <f>H20</f>
        <v>100</v>
      </c>
      <c r="V20" s="774" t="s">
        <v>17</v>
      </c>
      <c r="W20" s="775">
        <f>J20</f>
        <v>100</v>
      </c>
      <c r="X20" s="1812"/>
      <c r="Y20" s="328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7"/>
      <c r="Q21" s="1809"/>
      <c r="R21" s="774"/>
      <c r="S21" s="775"/>
      <c r="T21" s="774"/>
      <c r="U21" s="775"/>
      <c r="V21" s="774"/>
      <c r="W21" s="775"/>
      <c r="X21" s="1812"/>
      <c r="Y21" s="3287"/>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7"/>
      <c r="Q22" s="1809" t="str">
        <f>B22</f>
        <v>楼层</v>
      </c>
      <c r="R22" s="774" t="s">
        <v>17</v>
      </c>
      <c r="S22" s="775">
        <f>F22</f>
        <v>100</v>
      </c>
      <c r="T22" s="774" t="s">
        <v>17</v>
      </c>
      <c r="U22" s="775">
        <f>H22</f>
        <v>100</v>
      </c>
      <c r="V22" s="774" t="s">
        <v>17</v>
      </c>
      <c r="W22" s="775">
        <f>J22</f>
        <v>100</v>
      </c>
      <c r="X22" s="1812"/>
      <c r="Y22" s="3287"/>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7"/>
      <c r="Q23" s="1809">
        <f>B23</f>
        <v>111</v>
      </c>
      <c r="R23" s="774" t="s">
        <v>17</v>
      </c>
      <c r="S23" s="775">
        <f>F23</f>
        <v>100</v>
      </c>
      <c r="T23" s="774" t="s">
        <v>17</v>
      </c>
      <c r="U23" s="775">
        <f>H23</f>
        <v>100</v>
      </c>
      <c r="V23" s="774" t="s">
        <v>17</v>
      </c>
      <c r="W23" s="775">
        <f>J23</f>
        <v>100</v>
      </c>
      <c r="X23" s="1812"/>
      <c r="Y23" s="3287"/>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7"/>
      <c r="Q24" s="1809">
        <f t="shared" ref="Q24:Q34" si="8">B24</f>
        <v>111</v>
      </c>
      <c r="R24" s="774" t="s">
        <v>17</v>
      </c>
      <c r="S24" s="775">
        <f>F24</f>
        <v>100</v>
      </c>
      <c r="T24" s="774" t="s">
        <v>17</v>
      </c>
      <c r="U24" s="775">
        <f>H24</f>
        <v>100</v>
      </c>
      <c r="V24" s="774" t="s">
        <v>17</v>
      </c>
      <c r="W24" s="775">
        <f>J24</f>
        <v>100</v>
      </c>
      <c r="X24" s="1812"/>
      <c r="Y24" s="3287"/>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87"/>
      <c r="Q25" s="1794">
        <f t="shared" si="8"/>
        <v>111</v>
      </c>
      <c r="R25" s="770" t="s">
        <v>17</v>
      </c>
      <c r="S25" s="771">
        <f>F25</f>
        <v>100</v>
      </c>
      <c r="T25" s="770" t="s">
        <v>17</v>
      </c>
      <c r="U25" s="771">
        <f>H25</f>
        <v>100</v>
      </c>
      <c r="V25" s="770" t="s">
        <v>17</v>
      </c>
      <c r="W25" s="771">
        <f>J25</f>
        <v>100</v>
      </c>
      <c r="X25" s="772"/>
      <c r="Y25" s="3287"/>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88"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89"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9"/>
      <c r="Q27" s="776" t="str">
        <f t="shared" si="8"/>
        <v>成新率</v>
      </c>
      <c r="R27" s="777" t="s">
        <v>17</v>
      </c>
      <c r="S27" s="778" t="e">
        <f t="shared" si="9"/>
        <v>#N/A</v>
      </c>
      <c r="T27" s="777" t="s">
        <v>17</v>
      </c>
      <c r="U27" s="778" t="e">
        <f t="shared" si="10"/>
        <v>#N/A</v>
      </c>
      <c r="V27" s="777" t="s">
        <v>17</v>
      </c>
      <c r="W27" s="778" t="e">
        <f t="shared" si="11"/>
        <v>#N/A</v>
      </c>
      <c r="X27" s="779"/>
      <c r="Y27" s="3289"/>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9"/>
      <c r="Q28" s="1809" t="str">
        <f t="shared" si="8"/>
        <v>物业等级</v>
      </c>
      <c r="R28" s="774" t="s">
        <v>17</v>
      </c>
      <c r="S28" s="775">
        <f t="shared" si="9"/>
        <v>100</v>
      </c>
      <c r="T28" s="774" t="s">
        <v>17</v>
      </c>
      <c r="U28" s="775">
        <f t="shared" si="10"/>
        <v>100</v>
      </c>
      <c r="V28" s="774" t="s">
        <v>17</v>
      </c>
      <c r="W28" s="775">
        <f t="shared" si="11"/>
        <v>100</v>
      </c>
      <c r="X28" s="1812"/>
      <c r="Y28" s="3289"/>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9"/>
      <c r="Q29" s="1809" t="str">
        <f t="shared" si="8"/>
        <v>有无电梯</v>
      </c>
      <c r="R29" s="774" t="s">
        <v>17</v>
      </c>
      <c r="S29" s="775">
        <f t="shared" si="9"/>
        <v>100</v>
      </c>
      <c r="T29" s="774" t="s">
        <v>17</v>
      </c>
      <c r="U29" s="775">
        <f t="shared" si="10"/>
        <v>100</v>
      </c>
      <c r="V29" s="774" t="s">
        <v>17</v>
      </c>
      <c r="W29" s="775">
        <f t="shared" si="11"/>
        <v>100</v>
      </c>
      <c r="X29" s="1812"/>
      <c r="Y29" s="3289"/>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9"/>
      <c r="Q30" s="1809" t="str">
        <f t="shared" si="8"/>
        <v>建筑面积</v>
      </c>
      <c r="R30" s="774" t="s">
        <v>17</v>
      </c>
      <c r="S30" s="775" t="e">
        <f t="shared" si="9"/>
        <v>#N/A</v>
      </c>
      <c r="T30" s="774" t="s">
        <v>17</v>
      </c>
      <c r="U30" s="775" t="e">
        <f t="shared" si="10"/>
        <v>#N/A</v>
      </c>
      <c r="V30" s="774" t="s">
        <v>17</v>
      </c>
      <c r="W30" s="775" t="e">
        <f t="shared" si="11"/>
        <v>#N/A</v>
      </c>
      <c r="X30" s="1812"/>
      <c r="Y30" s="3289"/>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9"/>
      <c r="Q31" s="1794" t="str">
        <f t="shared" si="8"/>
        <v>是否封闭</v>
      </c>
      <c r="R31" s="770" t="s">
        <v>17</v>
      </c>
      <c r="S31" s="771">
        <f t="shared" si="9"/>
        <v>100</v>
      </c>
      <c r="T31" s="770" t="s">
        <v>17</v>
      </c>
      <c r="U31" s="771">
        <f t="shared" si="10"/>
        <v>100</v>
      </c>
      <c r="V31" s="770" t="s">
        <v>17</v>
      </c>
      <c r="W31" s="771">
        <f t="shared" si="11"/>
        <v>100</v>
      </c>
      <c r="X31" s="772"/>
      <c r="Y31" s="3289"/>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9" t="s">
        <v>2551</v>
      </c>
      <c r="Q32" s="1809">
        <f t="shared" si="8"/>
        <v>111</v>
      </c>
      <c r="R32" s="774" t="s">
        <v>17</v>
      </c>
      <c r="S32" s="775">
        <f t="shared" si="9"/>
        <v>100</v>
      </c>
      <c r="T32" s="774" t="s">
        <v>17</v>
      </c>
      <c r="U32" s="775">
        <f t="shared" si="10"/>
        <v>100</v>
      </c>
      <c r="V32" s="774" t="s">
        <v>17</v>
      </c>
      <c r="W32" s="775">
        <f t="shared" si="11"/>
        <v>100</v>
      </c>
      <c r="X32" s="1812"/>
      <c r="Y32" s="3289"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9"/>
      <c r="Q33" s="1809">
        <f t="shared" si="8"/>
        <v>111</v>
      </c>
      <c r="R33" s="774" t="s">
        <v>17</v>
      </c>
      <c r="S33" s="775">
        <f t="shared" si="9"/>
        <v>100</v>
      </c>
      <c r="T33" s="774" t="s">
        <v>17</v>
      </c>
      <c r="U33" s="775">
        <f t="shared" si="10"/>
        <v>100</v>
      </c>
      <c r="V33" s="774" t="s">
        <v>17</v>
      </c>
      <c r="W33" s="775">
        <f t="shared" si="11"/>
        <v>100</v>
      </c>
      <c r="X33" s="1812"/>
      <c r="Y33" s="3289"/>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89"/>
      <c r="Q34" s="1809">
        <f t="shared" si="8"/>
        <v>111</v>
      </c>
      <c r="R34" s="774" t="s">
        <v>17</v>
      </c>
      <c r="S34" s="775">
        <f t="shared" si="9"/>
        <v>100</v>
      </c>
      <c r="T34" s="774" t="s">
        <v>17</v>
      </c>
      <c r="U34" s="775">
        <f t="shared" si="10"/>
        <v>100</v>
      </c>
      <c r="V34" s="774" t="s">
        <v>17</v>
      </c>
      <c r="W34" s="775">
        <f t="shared" si="11"/>
        <v>100</v>
      </c>
      <c r="X34" s="1812"/>
      <c r="Y34" s="3289"/>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71" t="str">
        <f>A35</f>
        <v>成交单价（元/平方米）</v>
      </c>
      <c r="Q35" s="3271"/>
      <c r="R35" s="3333">
        <f>E35</f>
        <v>0</v>
      </c>
      <c r="S35" s="3333"/>
      <c r="T35" s="3333">
        <f>G35</f>
        <v>0</v>
      </c>
      <c r="U35" s="3333"/>
      <c r="V35" s="3333">
        <f>I35</f>
        <v>0</v>
      </c>
      <c r="W35" s="3333"/>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71" t="str">
        <f>A36</f>
        <v>比较价值（元/平方米）</v>
      </c>
      <c r="Q36" s="3271"/>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91" t="str">
        <f>A37</f>
        <v>估价对象XX用房的比较价值（楼面单价，元/平方米）</v>
      </c>
      <c r="Q37" s="3292"/>
      <c r="R37" s="3332" t="e">
        <f>IF(F1="售价",ROUND(AVERAGE(R36:V36),0),ROUND(AVERAGE(R36:V36),1))</f>
        <v>#DIV/0!</v>
      </c>
      <c r="S37" s="3332"/>
      <c r="T37" s="3332"/>
      <c r="U37" s="3332"/>
      <c r="V37" s="3332"/>
      <c r="W37" s="33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2" t="s">
        <v>2632</v>
      </c>
      <c r="D4" s="3273"/>
      <c r="E4" s="3274" t="s">
        <v>2633</v>
      </c>
      <c r="F4" s="3275"/>
      <c r="G4" s="3272" t="s">
        <v>2634</v>
      </c>
      <c r="H4" s="3273"/>
      <c r="I4" s="3272" t="s">
        <v>2635</v>
      </c>
      <c r="J4" s="3273"/>
      <c r="K4" s="610" t="s">
        <v>2636</v>
      </c>
      <c r="L4" s="1130"/>
      <c r="M4" s="1131"/>
      <c r="N4" s="1131"/>
      <c r="O4" s="1131"/>
      <c r="P4" s="3276" t="s">
        <v>2637</v>
      </c>
      <c r="Q4" s="3277"/>
      <c r="R4" s="3259" t="s">
        <v>2633</v>
      </c>
      <c r="S4" s="3260"/>
      <c r="T4" s="3259" t="s">
        <v>2634</v>
      </c>
      <c r="U4" s="3260"/>
      <c r="V4" s="3284" t="s">
        <v>2635</v>
      </c>
      <c r="W4" s="3284"/>
      <c r="X4" s="1812"/>
      <c r="Y4" s="3259" t="s">
        <v>2637</v>
      </c>
      <c r="Z4" s="3260"/>
      <c r="AA4" s="3254" t="s">
        <v>2633</v>
      </c>
      <c r="AB4" s="3255" t="s">
        <v>2634</v>
      </c>
      <c r="AC4" s="3254" t="s">
        <v>2635</v>
      </c>
    </row>
    <row r="5" spans="1:29" ht="15">
      <c r="A5" s="404"/>
      <c r="B5" s="405"/>
      <c r="C5" s="3326" t="s">
        <v>2528</v>
      </c>
      <c r="D5" s="3327"/>
      <c r="E5" s="3324" t="s">
        <v>2529</v>
      </c>
      <c r="F5" s="3325"/>
      <c r="G5" s="3326" t="s">
        <v>2530</v>
      </c>
      <c r="H5" s="3327"/>
      <c r="I5" s="3326" t="s">
        <v>2531</v>
      </c>
      <c r="J5" s="3327"/>
      <c r="K5" s="610"/>
      <c r="L5" s="1130"/>
      <c r="M5" s="1131"/>
      <c r="N5" s="1131"/>
      <c r="O5" s="1131"/>
      <c r="P5" s="3278"/>
      <c r="Q5" s="3279"/>
      <c r="R5" s="3261"/>
      <c r="S5" s="3262"/>
      <c r="T5" s="3261"/>
      <c r="U5" s="3262"/>
      <c r="V5" s="3284"/>
      <c r="W5" s="3284"/>
      <c r="X5" s="1812"/>
      <c r="Y5" s="3261"/>
      <c r="Z5" s="3262"/>
      <c r="AA5" s="3255"/>
      <c r="AB5" s="3255"/>
      <c r="AC5" s="3255"/>
    </row>
    <row r="6" spans="1:29" ht="15.75" thickBot="1">
      <c r="A6" s="406"/>
      <c r="B6" s="407"/>
      <c r="C6" s="3267" t="s">
        <v>2781</v>
      </c>
      <c r="D6" s="3268"/>
      <c r="E6" s="3269" t="s">
        <v>2781</v>
      </c>
      <c r="F6" s="3270"/>
      <c r="G6" s="3267" t="s">
        <v>2781</v>
      </c>
      <c r="H6" s="3268"/>
      <c r="I6" s="3267" t="s">
        <v>2781</v>
      </c>
      <c r="J6" s="3268"/>
      <c r="K6" s="610" t="s">
        <v>2533</v>
      </c>
      <c r="L6" s="1130"/>
      <c r="M6" s="1131"/>
      <c r="N6" s="1131"/>
      <c r="O6" s="1131"/>
      <c r="P6" s="3280"/>
      <c r="Q6" s="3281"/>
      <c r="R6" s="3261"/>
      <c r="S6" s="3262"/>
      <c r="T6" s="3282"/>
      <c r="U6" s="3283"/>
      <c r="V6" s="3284"/>
      <c r="W6" s="3284"/>
      <c r="X6" s="1812"/>
      <c r="Y6" s="3282"/>
      <c r="Z6" s="3283"/>
      <c r="AA6" s="3256"/>
      <c r="AB6" s="3256"/>
      <c r="AC6" s="3256"/>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57" t="s">
        <v>2535</v>
      </c>
      <c r="Q7" s="3285"/>
      <c r="R7" s="770" t="s">
        <v>17</v>
      </c>
      <c r="S7" s="771">
        <f t="shared" ref="S7:S15" si="0">F7</f>
        <v>0</v>
      </c>
      <c r="T7" s="770" t="s">
        <v>17</v>
      </c>
      <c r="U7" s="771">
        <f t="shared" ref="U7:U15" si="1">H7</f>
        <v>0</v>
      </c>
      <c r="V7" s="770" t="s">
        <v>17</v>
      </c>
      <c r="W7" s="771">
        <f t="shared" ref="W7:W15" si="2">J7</f>
        <v>0</v>
      </c>
      <c r="X7" s="772"/>
      <c r="Y7" s="3257" t="s">
        <v>2535</v>
      </c>
      <c r="Z7" s="3258"/>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7" t="s">
        <v>2538</v>
      </c>
      <c r="Q8" s="3258"/>
      <c r="R8" s="770" t="s">
        <v>17</v>
      </c>
      <c r="S8" s="771">
        <f t="shared" si="0"/>
        <v>0</v>
      </c>
      <c r="T8" s="770" t="s">
        <v>17</v>
      </c>
      <c r="U8" s="771">
        <f t="shared" si="1"/>
        <v>0</v>
      </c>
      <c r="V8" s="770" t="s">
        <v>17</v>
      </c>
      <c r="W8" s="771">
        <f t="shared" si="2"/>
        <v>0</v>
      </c>
      <c r="X8" s="772"/>
      <c r="Y8" s="3257" t="s">
        <v>2538</v>
      </c>
      <c r="Z8" s="3258"/>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84"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71"/>
      <c r="Q10" s="1794" t="str">
        <f t="shared" si="6"/>
        <v>土地使用年限（年）</v>
      </c>
      <c r="R10" s="770" t="s">
        <v>17</v>
      </c>
      <c r="S10" s="771">
        <f t="shared" si="0"/>
        <v>107</v>
      </c>
      <c r="T10" s="770" t="s">
        <v>17</v>
      </c>
      <c r="U10" s="771">
        <f t="shared" si="1"/>
        <v>107</v>
      </c>
      <c r="V10" s="770" t="s">
        <v>17</v>
      </c>
      <c r="W10" s="771">
        <f t="shared" si="2"/>
        <v>107</v>
      </c>
      <c r="X10" s="772"/>
      <c r="Y10" s="3084"/>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1"/>
      <c r="Q11" s="1794"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6" t="s">
        <v>2546</v>
      </c>
      <c r="Q15" s="1809" t="str">
        <f t="shared" si="6"/>
        <v>产业集聚程度</v>
      </c>
      <c r="R15" s="774" t="s">
        <v>17</v>
      </c>
      <c r="S15" s="775">
        <f t="shared" si="0"/>
        <v>100</v>
      </c>
      <c r="T15" s="774" t="s">
        <v>17</v>
      </c>
      <c r="U15" s="775">
        <f t="shared" si="1"/>
        <v>100</v>
      </c>
      <c r="V15" s="774" t="s">
        <v>17</v>
      </c>
      <c r="W15" s="775">
        <f t="shared" si="2"/>
        <v>100</v>
      </c>
      <c r="X15" s="1812"/>
      <c r="Y15" s="3286"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87"/>
      <c r="Q16" s="1809"/>
      <c r="R16" s="774"/>
      <c r="S16" s="775"/>
      <c r="T16" s="774"/>
      <c r="U16" s="775"/>
      <c r="V16" s="774"/>
      <c r="W16" s="775"/>
      <c r="X16" s="1812"/>
      <c r="Y16" s="3287"/>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7"/>
      <c r="Q17" s="1809" t="str">
        <f>B17</f>
        <v>交通便捷度</v>
      </c>
      <c r="R17" s="774" t="s">
        <v>17</v>
      </c>
      <c r="S17" s="775">
        <f>F17</f>
        <v>100</v>
      </c>
      <c r="T17" s="774" t="s">
        <v>17</v>
      </c>
      <c r="U17" s="775">
        <f>H17</f>
        <v>100</v>
      </c>
      <c r="V17" s="774" t="s">
        <v>17</v>
      </c>
      <c r="W17" s="775">
        <f>J17</f>
        <v>100</v>
      </c>
      <c r="X17" s="1812"/>
      <c r="Y17" s="3287"/>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87"/>
      <c r="Q18" s="1809"/>
      <c r="R18" s="774"/>
      <c r="S18" s="775"/>
      <c r="T18" s="774"/>
      <c r="U18" s="775"/>
      <c r="V18" s="774"/>
      <c r="W18" s="775"/>
      <c r="X18" s="1812"/>
      <c r="Y18" s="3287"/>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7"/>
      <c r="Q19" s="1809" t="str">
        <f t="shared" ref="Q19:Q33" si="8">B19</f>
        <v>区域土地利用方向</v>
      </c>
      <c r="R19" s="774" t="s">
        <v>17</v>
      </c>
      <c r="S19" s="775">
        <f>F19</f>
        <v>100</v>
      </c>
      <c r="T19" s="774" t="s">
        <v>17</v>
      </c>
      <c r="U19" s="775">
        <f>H19</f>
        <v>100</v>
      </c>
      <c r="V19" s="774" t="s">
        <v>17</v>
      </c>
      <c r="W19" s="775">
        <f>J19</f>
        <v>100</v>
      </c>
      <c r="X19" s="1812"/>
      <c r="Y19" s="3287"/>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87"/>
      <c r="Q20" s="1809"/>
      <c r="R20" s="774"/>
      <c r="S20" s="775"/>
      <c r="T20" s="774"/>
      <c r="U20" s="775"/>
      <c r="V20" s="774"/>
      <c r="W20" s="775"/>
      <c r="X20" s="1812"/>
      <c r="Y20" s="3287"/>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7"/>
      <c r="Q21" s="1809" t="str">
        <f t="shared" si="8"/>
        <v>环境状况</v>
      </c>
      <c r="R21" s="774" t="s">
        <v>17</v>
      </c>
      <c r="S21" s="775">
        <f>F21</f>
        <v>100</v>
      </c>
      <c r="T21" s="774" t="s">
        <v>17</v>
      </c>
      <c r="U21" s="775">
        <f>H21</f>
        <v>100</v>
      </c>
      <c r="V21" s="774" t="s">
        <v>17</v>
      </c>
      <c r="W21" s="775">
        <f>J21</f>
        <v>100</v>
      </c>
      <c r="X21" s="1812"/>
      <c r="Y21" s="3287"/>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87"/>
      <c r="Q22" s="1809"/>
      <c r="R22" s="774"/>
      <c r="S22" s="775"/>
      <c r="T22" s="774"/>
      <c r="U22" s="775"/>
      <c r="V22" s="774"/>
      <c r="W22" s="775"/>
      <c r="X22" s="1812"/>
      <c r="Y22" s="3287"/>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7"/>
      <c r="Q23" s="1794" t="str">
        <f t="shared" si="8"/>
        <v>公共配套设施</v>
      </c>
      <c r="R23" s="770" t="s">
        <v>17</v>
      </c>
      <c r="S23" s="771">
        <f>F23</f>
        <v>100</v>
      </c>
      <c r="T23" s="770" t="s">
        <v>17</v>
      </c>
      <c r="U23" s="771">
        <f>H23</f>
        <v>100</v>
      </c>
      <c r="V23" s="770" t="s">
        <v>17</v>
      </c>
      <c r="W23" s="771">
        <f>J23</f>
        <v>100</v>
      </c>
      <c r="X23" s="772"/>
      <c r="Y23" s="3287"/>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87"/>
      <c r="Q24" s="1794"/>
      <c r="R24" s="770"/>
      <c r="S24" s="771"/>
      <c r="T24" s="770"/>
      <c r="U24" s="771"/>
      <c r="V24" s="770"/>
      <c r="W24" s="771"/>
      <c r="X24" s="772"/>
      <c r="Y24" s="3287"/>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7"/>
      <c r="Q25" s="1794" t="str">
        <f>B25</f>
        <v>基础设施水平</v>
      </c>
      <c r="R25" s="770" t="s">
        <v>17</v>
      </c>
      <c r="S25" s="771">
        <f>F25</f>
        <v>100</v>
      </c>
      <c r="T25" s="770" t="s">
        <v>17</v>
      </c>
      <c r="U25" s="771">
        <f>H25</f>
        <v>100</v>
      </c>
      <c r="V25" s="770" t="s">
        <v>17</v>
      </c>
      <c r="W25" s="771">
        <f>J25</f>
        <v>100</v>
      </c>
      <c r="X25" s="772"/>
      <c r="Y25" s="3287"/>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87"/>
      <c r="Q26" s="1794"/>
      <c r="R26" s="770"/>
      <c r="S26" s="771"/>
      <c r="T26" s="770"/>
      <c r="U26" s="771"/>
      <c r="V26" s="770"/>
      <c r="W26" s="771"/>
      <c r="X26" s="772"/>
      <c r="Y26" s="3287"/>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7"/>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87"/>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7"/>
      <c r="Q28" s="1809" t="str">
        <f t="shared" si="8"/>
        <v>毗邻道路的类型与等级</v>
      </c>
      <c r="R28" s="774" t="s">
        <v>17</v>
      </c>
      <c r="S28" s="775">
        <f t="shared" si="9"/>
        <v>100</v>
      </c>
      <c r="T28" s="774" t="s">
        <v>17</v>
      </c>
      <c r="U28" s="775">
        <f t="shared" si="10"/>
        <v>100</v>
      </c>
      <c r="V28" s="774" t="s">
        <v>17</v>
      </c>
      <c r="W28" s="775">
        <f t="shared" si="11"/>
        <v>100</v>
      </c>
      <c r="X28" s="1812"/>
      <c r="Y28" s="3287"/>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87"/>
      <c r="Q29" s="1809"/>
      <c r="R29" s="774"/>
      <c r="S29" s="775"/>
      <c r="T29" s="774"/>
      <c r="U29" s="775"/>
      <c r="V29" s="774"/>
      <c r="W29" s="775"/>
      <c r="X29" s="1812"/>
      <c r="Y29" s="3287"/>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7"/>
      <c r="Q30" s="1809" t="str">
        <f t="shared" si="8"/>
        <v>土地级别</v>
      </c>
      <c r="R30" s="774" t="s">
        <v>17</v>
      </c>
      <c r="S30" s="775">
        <f t="shared" si="9"/>
        <v>100</v>
      </c>
      <c r="T30" s="774" t="s">
        <v>17</v>
      </c>
      <c r="U30" s="775">
        <f t="shared" si="10"/>
        <v>100</v>
      </c>
      <c r="V30" s="774" t="s">
        <v>17</v>
      </c>
      <c r="W30" s="775">
        <f t="shared" si="11"/>
        <v>100</v>
      </c>
      <c r="X30" s="1812"/>
      <c r="Y30" s="3287"/>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7"/>
      <c r="Q31" s="1809">
        <f t="shared" si="8"/>
        <v>111</v>
      </c>
      <c r="R31" s="774" t="s">
        <v>17</v>
      </c>
      <c r="S31" s="775">
        <f t="shared" si="9"/>
        <v>100</v>
      </c>
      <c r="T31" s="774" t="s">
        <v>17</v>
      </c>
      <c r="U31" s="775">
        <f t="shared" si="10"/>
        <v>100</v>
      </c>
      <c r="V31" s="774" t="s">
        <v>17</v>
      </c>
      <c r="W31" s="775">
        <f t="shared" si="11"/>
        <v>100</v>
      </c>
      <c r="X31" s="1812"/>
      <c r="Y31" s="3287"/>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8" t="s">
        <v>2551</v>
      </c>
      <c r="Q32" s="1809">
        <f t="shared" si="8"/>
        <v>111</v>
      </c>
      <c r="R32" s="774" t="s">
        <v>17</v>
      </c>
      <c r="S32" s="775">
        <f t="shared" si="9"/>
        <v>100</v>
      </c>
      <c r="T32" s="774" t="s">
        <v>17</v>
      </c>
      <c r="U32" s="775">
        <f t="shared" si="10"/>
        <v>100</v>
      </c>
      <c r="V32" s="774" t="s">
        <v>17</v>
      </c>
      <c r="W32" s="775">
        <f t="shared" si="11"/>
        <v>100</v>
      </c>
      <c r="X32" s="1812"/>
      <c r="Y32" s="3289"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9"/>
      <c r="Q33" s="1809">
        <f t="shared" si="8"/>
        <v>111</v>
      </c>
      <c r="R33" s="777" t="s">
        <v>17</v>
      </c>
      <c r="S33" s="778">
        <f t="shared" si="9"/>
        <v>100</v>
      </c>
      <c r="T33" s="777" t="s">
        <v>17</v>
      </c>
      <c r="U33" s="778">
        <f t="shared" si="10"/>
        <v>100</v>
      </c>
      <c r="V33" s="777" t="s">
        <v>17</v>
      </c>
      <c r="W33" s="778">
        <f t="shared" si="11"/>
        <v>100</v>
      </c>
      <c r="X33" s="779"/>
      <c r="Y33" s="3289"/>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9"/>
      <c r="Q34" s="1809" t="str">
        <f>B34</f>
        <v>宗地面积</v>
      </c>
      <c r="R34" s="774" t="s">
        <v>17</v>
      </c>
      <c r="S34" s="775" t="e">
        <f t="shared" si="9"/>
        <v>#N/A</v>
      </c>
      <c r="T34" s="774" t="s">
        <v>17</v>
      </c>
      <c r="U34" s="775" t="e">
        <f t="shared" si="10"/>
        <v>#N/A</v>
      </c>
      <c r="V34" s="774" t="s">
        <v>17</v>
      </c>
      <c r="W34" s="775" t="e">
        <f t="shared" si="11"/>
        <v>#N/A</v>
      </c>
      <c r="X34" s="1812"/>
      <c r="Y34" s="3289"/>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89"/>
      <c r="Q35" s="1809" t="str">
        <f t="shared" ref="Q35:Q40" si="13">B35</f>
        <v>宗地形状</v>
      </c>
      <c r="R35" s="774" t="s">
        <v>17</v>
      </c>
      <c r="S35" s="775">
        <f t="shared" si="9"/>
        <v>100</v>
      </c>
      <c r="T35" s="774" t="s">
        <v>17</v>
      </c>
      <c r="U35" s="775">
        <f t="shared" si="10"/>
        <v>100</v>
      </c>
      <c r="V35" s="774" t="s">
        <v>17</v>
      </c>
      <c r="W35" s="775">
        <f t="shared" si="11"/>
        <v>100</v>
      </c>
      <c r="X35" s="1812"/>
      <c r="Y35" s="3289"/>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89"/>
      <c r="Q36" s="1809" t="str">
        <f t="shared" si="13"/>
        <v>宗地开发程度</v>
      </c>
      <c r="R36" s="770" t="s">
        <v>17</v>
      </c>
      <c r="S36" s="771">
        <f t="shared" si="9"/>
        <v>100</v>
      </c>
      <c r="T36" s="770" t="s">
        <v>17</v>
      </c>
      <c r="U36" s="771">
        <f t="shared" si="10"/>
        <v>100</v>
      </c>
      <c r="V36" s="770" t="s">
        <v>17</v>
      </c>
      <c r="W36" s="771">
        <f t="shared" si="11"/>
        <v>100</v>
      </c>
      <c r="X36" s="772"/>
      <c r="Y36" s="3289"/>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89" t="s">
        <v>2551</v>
      </c>
      <c r="Q37" s="1809" t="str">
        <f t="shared" si="13"/>
        <v>工程地质条件</v>
      </c>
      <c r="R37" s="774" t="s">
        <v>17</v>
      </c>
      <c r="S37" s="775">
        <f t="shared" si="9"/>
        <v>100</v>
      </c>
      <c r="T37" s="774" t="s">
        <v>17</v>
      </c>
      <c r="U37" s="775">
        <f t="shared" si="10"/>
        <v>100</v>
      </c>
      <c r="V37" s="774" t="s">
        <v>17</v>
      </c>
      <c r="W37" s="775">
        <f t="shared" si="11"/>
        <v>100</v>
      </c>
      <c r="X37" s="1812"/>
      <c r="Y37" s="3289"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9"/>
      <c r="Q38" s="1809">
        <f t="shared" si="13"/>
        <v>111</v>
      </c>
      <c r="R38" s="774" t="s">
        <v>17</v>
      </c>
      <c r="S38" s="775">
        <f t="shared" si="9"/>
        <v>100</v>
      </c>
      <c r="T38" s="774" t="s">
        <v>17</v>
      </c>
      <c r="U38" s="775">
        <f t="shared" si="10"/>
        <v>100</v>
      </c>
      <c r="V38" s="774" t="s">
        <v>17</v>
      </c>
      <c r="W38" s="775">
        <f t="shared" si="11"/>
        <v>100</v>
      </c>
      <c r="X38" s="1812"/>
      <c r="Y38" s="3289"/>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9"/>
      <c r="Q39" s="1809">
        <f t="shared" si="13"/>
        <v>111</v>
      </c>
      <c r="R39" s="774" t="s">
        <v>17</v>
      </c>
      <c r="S39" s="775">
        <f t="shared" si="9"/>
        <v>100</v>
      </c>
      <c r="T39" s="774" t="s">
        <v>17</v>
      </c>
      <c r="U39" s="775">
        <f t="shared" si="10"/>
        <v>100</v>
      </c>
      <c r="V39" s="774" t="s">
        <v>17</v>
      </c>
      <c r="W39" s="775">
        <f t="shared" si="11"/>
        <v>100</v>
      </c>
      <c r="X39" s="1812"/>
      <c r="Y39" s="3289"/>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9"/>
      <c r="Q40" s="1809">
        <f t="shared" si="13"/>
        <v>111</v>
      </c>
      <c r="R40" s="777" t="s">
        <v>17</v>
      </c>
      <c r="S40" s="778">
        <f t="shared" si="9"/>
        <v>100</v>
      </c>
      <c r="T40" s="777" t="s">
        <v>17</v>
      </c>
      <c r="U40" s="778">
        <f t="shared" si="10"/>
        <v>100</v>
      </c>
      <c r="V40" s="777" t="s">
        <v>17</v>
      </c>
      <c r="W40" s="778">
        <f t="shared" si="11"/>
        <v>100</v>
      </c>
      <c r="X40" s="779"/>
      <c r="Y40" s="3289"/>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71" t="str">
        <f>A41</f>
        <v>成交单价</v>
      </c>
      <c r="Q41" s="3271"/>
      <c r="R41" s="3284">
        <f>E41</f>
        <v>0</v>
      </c>
      <c r="S41" s="3284"/>
      <c r="T41" s="3284">
        <f>G41</f>
        <v>0</v>
      </c>
      <c r="U41" s="3284"/>
      <c r="V41" s="3284">
        <f>I41</f>
        <v>0</v>
      </c>
      <c r="W41" s="3284"/>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71" t="str">
        <f>A42</f>
        <v>比较价值（元/平方米）</v>
      </c>
      <c r="Q42" s="3271"/>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91" t="str">
        <f>A43</f>
        <v>估价对象XX用房的比较价值（楼面单价，元/平方米）</v>
      </c>
      <c r="Q43" s="3292"/>
      <c r="R43" s="3293" t="e">
        <f>ROUND(AVERAGE(R42:V42),0)</f>
        <v>#DIV/0!</v>
      </c>
      <c r="S43" s="3293"/>
      <c r="T43" s="3293"/>
      <c r="U43" s="3293"/>
      <c r="V43" s="3293"/>
      <c r="W43" s="32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72" t="s">
        <v>2749</v>
      </c>
      <c r="H50" s="3294"/>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134999.90999999997</v>
      </c>
      <c r="F51" s="691" t="e">
        <f t="shared" ref="F51:F60" si="14">ROUND(B51*E51/10000,0)</f>
        <v>#DIV/0!</v>
      </c>
      <c r="G51" s="3295"/>
      <c r="H51" s="3271"/>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96"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96"/>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96"/>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96"/>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13075.2</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164645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0.82</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71"/>
      <c r="B4" s="3372"/>
      <c r="C4" s="3372"/>
      <c r="D4" s="3373"/>
      <c r="E4" s="3373"/>
      <c r="F4" s="3373"/>
      <c r="G4" s="3373"/>
      <c r="H4" s="3373"/>
      <c r="I4" s="3373"/>
      <c r="J4" s="3374"/>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55"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0.82</v>
      </c>
      <c r="AA7" s="1605"/>
      <c r="AB7" s="1605"/>
      <c r="AC7" s="1606"/>
      <c r="AD7" s="1607"/>
      <c r="AE7" s="1607"/>
      <c r="AF7" s="1607"/>
      <c r="AG7" s="1607"/>
      <c r="AH7" s="1607"/>
      <c r="AI7" s="1607"/>
      <c r="AJ7" s="1608"/>
    </row>
    <row r="8" spans="1:36" ht="15">
      <c r="A8" s="3375"/>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68" t="s">
        <v>2824</v>
      </c>
      <c r="X8" s="3369"/>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75"/>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70"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75"/>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7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75"/>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70" t="s">
        <v>2848</v>
      </c>
      <c r="X11" s="1613" t="s">
        <v>2849</v>
      </c>
      <c r="Y11" s="1614">
        <f>$G$3</f>
        <v>0.82</v>
      </c>
      <c r="Z11" s="1614">
        <f t="shared" ref="Z11:AJ11" si="3">$G$3</f>
        <v>0.82</v>
      </c>
      <c r="AA11" s="1614">
        <f t="shared" si="3"/>
        <v>0.82</v>
      </c>
      <c r="AB11" s="1614">
        <f t="shared" si="3"/>
        <v>0.82</v>
      </c>
      <c r="AC11" s="1614">
        <f t="shared" si="3"/>
        <v>0.82</v>
      </c>
      <c r="AD11" s="1614">
        <f t="shared" si="3"/>
        <v>0.82</v>
      </c>
      <c r="AE11" s="1614">
        <f t="shared" si="3"/>
        <v>0.82</v>
      </c>
      <c r="AF11" s="1614">
        <f t="shared" si="3"/>
        <v>0.82</v>
      </c>
      <c r="AG11" s="1614">
        <f t="shared" si="3"/>
        <v>0.82</v>
      </c>
      <c r="AH11" s="1614">
        <f t="shared" si="3"/>
        <v>0.82</v>
      </c>
      <c r="AI11" s="1614">
        <f t="shared" si="3"/>
        <v>0.82</v>
      </c>
      <c r="AJ11" s="1614">
        <f t="shared" si="3"/>
        <v>0.82</v>
      </c>
    </row>
    <row r="12" spans="1:36" ht="25.5" thickBot="1">
      <c r="A12" s="3355"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70"/>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76"/>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70"/>
      <c r="X13" s="1615"/>
      <c r="Y13" s="1612">
        <f>(-0.163*(Y12^2)-0.59*Y12+7617)*(10^(-4))/Y11</f>
        <v>0.9289024390243904</v>
      </c>
      <c r="Z13" s="1612">
        <f t="shared" ref="Z13:AJ13" si="5">(-0.163*(Z12^2)-0.59*Z12+7617)*(10^(-4))/Z11</f>
        <v>0.9289024390243904</v>
      </c>
      <c r="AA13" s="1612">
        <f t="shared" si="5"/>
        <v>0.9289024390243904</v>
      </c>
      <c r="AB13" s="1612">
        <f t="shared" si="5"/>
        <v>0.9289024390243904</v>
      </c>
      <c r="AC13" s="1612">
        <f t="shared" si="5"/>
        <v>0.9289024390243904</v>
      </c>
      <c r="AD13" s="1612">
        <f t="shared" si="5"/>
        <v>0.9289024390243904</v>
      </c>
      <c r="AE13" s="1612">
        <f t="shared" si="5"/>
        <v>0.9289024390243904</v>
      </c>
      <c r="AF13" s="1612">
        <f t="shared" si="5"/>
        <v>0.9289024390243904</v>
      </c>
      <c r="AG13" s="1612">
        <f t="shared" si="5"/>
        <v>0.9289024390243904</v>
      </c>
      <c r="AH13" s="1612">
        <f t="shared" si="5"/>
        <v>0.9289024390243904</v>
      </c>
      <c r="AI13" s="1612">
        <f t="shared" si="5"/>
        <v>0.9289024390243904</v>
      </c>
      <c r="AJ13" s="1612">
        <f t="shared" si="5"/>
        <v>0.9289024390243904</v>
      </c>
    </row>
    <row r="14" spans="1:36" ht="15">
      <c r="A14" s="3376"/>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7"/>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5" t="s">
        <v>2867</v>
      </c>
      <c r="B16" s="2741" t="s">
        <v>2868</v>
      </c>
      <c r="C16" s="2931" t="e">
        <f>ROUND(IF(F17="与级别开发程度一致",0,(G17-E17)/C17),0)</f>
        <v>#DIV/0!</v>
      </c>
      <c r="D16" s="3366" t="s">
        <v>2872</v>
      </c>
      <c r="E16" s="3367"/>
      <c r="F16" s="3366" t="s">
        <v>2869</v>
      </c>
      <c r="G16" s="3367"/>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6"/>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63"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4"/>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4"/>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65"/>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357" t="s">
        <v>2957</v>
      </c>
      <c r="B90" s="3357"/>
      <c r="C90" s="3357"/>
      <c r="D90" s="3357"/>
      <c r="E90" s="3357"/>
      <c r="F90" s="3357"/>
      <c r="G90" s="3357"/>
      <c r="H90" s="3357"/>
      <c r="I90" s="3357"/>
      <c r="J90" s="3357"/>
      <c r="K90" s="2880"/>
      <c r="L90" s="2880"/>
      <c r="M90" s="2880"/>
      <c r="N90" s="2880"/>
    </row>
    <row r="91" spans="1:37">
      <c r="A91" s="3359" t="s">
        <v>2958</v>
      </c>
      <c r="B91" s="3359" t="s">
        <v>2959</v>
      </c>
      <c r="C91" s="2834" t="s">
        <v>2960</v>
      </c>
      <c r="D91" s="2835"/>
      <c r="E91" s="2835"/>
      <c r="F91" s="2835"/>
      <c r="G91" s="2835"/>
      <c r="H91" s="2835"/>
      <c r="I91" s="2835"/>
      <c r="J91" s="2881"/>
      <c r="K91" s="2882"/>
      <c r="L91" s="2882"/>
      <c r="M91" s="2882"/>
      <c r="N91" s="2882"/>
    </row>
    <row r="92" spans="1:37">
      <c r="A92" s="3359"/>
      <c r="B92" s="3359"/>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60"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60" t="s">
        <v>2962</v>
      </c>
      <c r="B101" s="2887" t="s">
        <v>2963</v>
      </c>
      <c r="C101" s="2888">
        <f>$G$3</f>
        <v>0.82</v>
      </c>
      <c r="D101" s="2888">
        <f t="shared" ref="D101:N101" si="30">$G$3</f>
        <v>0.82</v>
      </c>
      <c r="E101" s="2888">
        <f t="shared" si="30"/>
        <v>0.82</v>
      </c>
      <c r="F101" s="2888">
        <f t="shared" si="30"/>
        <v>0.82</v>
      </c>
      <c r="G101" s="2888">
        <f t="shared" si="30"/>
        <v>0.82</v>
      </c>
      <c r="H101" s="2888">
        <f t="shared" si="30"/>
        <v>0.82</v>
      </c>
      <c r="I101" s="2888">
        <f t="shared" si="30"/>
        <v>0.82</v>
      </c>
      <c r="J101" s="2888">
        <f t="shared" si="30"/>
        <v>0.82</v>
      </c>
      <c r="K101" s="2888">
        <f t="shared" si="30"/>
        <v>0.82</v>
      </c>
      <c r="L101" s="2888">
        <f t="shared" si="30"/>
        <v>0.82</v>
      </c>
      <c r="M101" s="2888">
        <f t="shared" si="30"/>
        <v>0.82</v>
      </c>
      <c r="N101" s="2888">
        <f t="shared" si="30"/>
        <v>0.82</v>
      </c>
    </row>
    <row r="102" spans="1:14">
      <c r="A102" s="3361"/>
      <c r="B102" s="2883">
        <v>1</v>
      </c>
      <c r="C102" s="2884">
        <f>1.9362/C101</f>
        <v>2.3612195121951221</v>
      </c>
      <c r="D102" s="2884">
        <f>1.9362/D101</f>
        <v>2.3612195121951221</v>
      </c>
      <c r="E102" s="2884">
        <f>1.8629/E101</f>
        <v>2.2718292682926831</v>
      </c>
      <c r="F102" s="2884">
        <f>1.8629/F101</f>
        <v>2.2718292682926831</v>
      </c>
      <c r="G102" s="2884">
        <f>1.8629/G101</f>
        <v>2.2718292682926831</v>
      </c>
      <c r="H102" s="2884">
        <f>1.8629/H101</f>
        <v>2.2718292682926831</v>
      </c>
      <c r="I102" s="2884">
        <f>1.8629/I101</f>
        <v>2.2718292682926831</v>
      </c>
      <c r="J102" s="2884">
        <f>1.942/J101</f>
        <v>2.3682926829268292</v>
      </c>
      <c r="K102" s="2884">
        <f>1.942/K101</f>
        <v>2.3682926829268292</v>
      </c>
      <c r="L102" s="2884">
        <f>1.942/L101</f>
        <v>2.3682926829268292</v>
      </c>
      <c r="M102" s="2884">
        <f>1.942/M101</f>
        <v>2.3682926829268292</v>
      </c>
      <c r="N102" s="2884">
        <f>1.942/N101</f>
        <v>2.3682926829268292</v>
      </c>
    </row>
    <row r="103" spans="1:14">
      <c r="A103" s="3361"/>
      <c r="B103" s="2883">
        <v>2</v>
      </c>
      <c r="C103" s="2884">
        <f>1.4198/C101</f>
        <v>1.7314634146341463</v>
      </c>
      <c r="D103" s="2884">
        <f>1.4198/D101</f>
        <v>1.7314634146341463</v>
      </c>
      <c r="E103" s="2884">
        <f>1.3372/E101</f>
        <v>1.6307317073170733</v>
      </c>
      <c r="F103" s="2884">
        <f>1.3372/F101</f>
        <v>1.6307317073170733</v>
      </c>
      <c r="G103" s="2884">
        <f>1.3372/G101</f>
        <v>1.6307317073170733</v>
      </c>
      <c r="H103" s="2884">
        <f>1.3372/H101</f>
        <v>1.6307317073170733</v>
      </c>
      <c r="I103" s="2884">
        <f>1.3372/I101</f>
        <v>1.6307317073170733</v>
      </c>
      <c r="J103" s="2884">
        <f>1.2799/J101</f>
        <v>1.5608536585365855</v>
      </c>
      <c r="K103" s="2884">
        <f>1.2799/K101</f>
        <v>1.5608536585365855</v>
      </c>
      <c r="L103" s="2884">
        <f>1.2799/L101</f>
        <v>1.5608536585365855</v>
      </c>
      <c r="M103" s="2884">
        <f>1.2799/M101</f>
        <v>1.5608536585365855</v>
      </c>
      <c r="N103" s="2884">
        <f>1.2799/N101</f>
        <v>1.5608536585365855</v>
      </c>
    </row>
    <row r="104" spans="1:14">
      <c r="A104" s="3361"/>
      <c r="B104" s="2883">
        <v>3</v>
      </c>
      <c r="C104" s="2884">
        <f>1.1594/C101</f>
        <v>1.4139024390243904</v>
      </c>
      <c r="D104" s="2884">
        <f>1.1594/D101</f>
        <v>1.4139024390243904</v>
      </c>
      <c r="E104" s="2884">
        <f>1.0788/E101</f>
        <v>1.315609756097561</v>
      </c>
      <c r="F104" s="2884">
        <f>1.0788/F101</f>
        <v>1.315609756097561</v>
      </c>
      <c r="G104" s="2884">
        <f>1.0788/G101</f>
        <v>1.315609756097561</v>
      </c>
      <c r="H104" s="2884">
        <f>1.0788/H101</f>
        <v>1.315609756097561</v>
      </c>
      <c r="I104" s="2884">
        <f>1.0788/I101</f>
        <v>1.315609756097561</v>
      </c>
      <c r="J104" s="2884">
        <f>1.0072/J101</f>
        <v>1.2282926829268295</v>
      </c>
      <c r="K104" s="2884">
        <f>1.0072/K101</f>
        <v>1.2282926829268295</v>
      </c>
      <c r="L104" s="2884">
        <f>1.0072/L101</f>
        <v>1.2282926829268295</v>
      </c>
      <c r="M104" s="2884">
        <f>1.0072/M101</f>
        <v>1.2282926829268295</v>
      </c>
      <c r="N104" s="2884">
        <f>1.0072/N101</f>
        <v>1.2282926829268295</v>
      </c>
    </row>
    <row r="105" spans="1:14">
      <c r="A105" s="3361"/>
      <c r="B105" s="2883">
        <v>4</v>
      </c>
      <c r="C105" s="2884">
        <f>0.9622/C101</f>
        <v>1.1734146341463416</v>
      </c>
      <c r="D105" s="2884">
        <f>0.9622/D101</f>
        <v>1.1734146341463416</v>
      </c>
      <c r="E105" s="2884">
        <f>0.8656/E101</f>
        <v>1.055609756097561</v>
      </c>
      <c r="F105" s="2884">
        <f>0.8656/F101</f>
        <v>1.055609756097561</v>
      </c>
      <c r="G105" s="2884">
        <f>0.8656/G101</f>
        <v>1.055609756097561</v>
      </c>
      <c r="H105" s="2884">
        <f>0.8656/H101</f>
        <v>1.055609756097561</v>
      </c>
      <c r="I105" s="2884">
        <f>0.8656/I101</f>
        <v>1.055609756097561</v>
      </c>
      <c r="J105" s="2884">
        <f>0.7525/J101</f>
        <v>0.91768292682926833</v>
      </c>
      <c r="K105" s="2884">
        <f>0.7525/K101</f>
        <v>0.91768292682926833</v>
      </c>
      <c r="L105" s="2884">
        <f>0.7525/L101</f>
        <v>0.91768292682926833</v>
      </c>
      <c r="M105" s="2884">
        <f>0.7525/M101</f>
        <v>0.91768292682926833</v>
      </c>
      <c r="N105" s="2884">
        <f>0.7525/N101</f>
        <v>0.91768292682926833</v>
      </c>
    </row>
    <row r="106" spans="1:14">
      <c r="A106" s="3361"/>
      <c r="B106" s="2883">
        <v>5</v>
      </c>
      <c r="C106" s="2884">
        <f>0.8417/C101</f>
        <v>1.0264634146341465</v>
      </c>
      <c r="D106" s="2884">
        <f>0.8417/D101</f>
        <v>1.0264634146341465</v>
      </c>
      <c r="E106" s="2884">
        <f>0.7371/E101</f>
        <v>0.89890243902439027</v>
      </c>
      <c r="F106" s="2884">
        <f>0.7371/F101</f>
        <v>0.89890243902439027</v>
      </c>
      <c r="G106" s="2884">
        <f>0.7371/G101</f>
        <v>0.89890243902439027</v>
      </c>
      <c r="H106" s="2884">
        <f>0.7371/H101</f>
        <v>0.89890243902439027</v>
      </c>
      <c r="I106" s="2884">
        <f>0.7371/I101</f>
        <v>0.89890243902439027</v>
      </c>
      <c r="J106" s="2884">
        <f>0.5659/J101</f>
        <v>0.69012195121951214</v>
      </c>
      <c r="K106" s="2884">
        <f>0.5659/K101</f>
        <v>0.69012195121951214</v>
      </c>
      <c r="L106" s="2884">
        <f>0.5659/L101</f>
        <v>0.69012195121951214</v>
      </c>
      <c r="M106" s="2884">
        <f>0.5659/M101</f>
        <v>0.69012195121951214</v>
      </c>
      <c r="N106" s="2884">
        <f>0.5659/N101</f>
        <v>0.69012195121951214</v>
      </c>
    </row>
    <row r="107" spans="1:14">
      <c r="A107" s="3361"/>
      <c r="B107" s="2883">
        <v>6</v>
      </c>
      <c r="C107" s="2884">
        <f>0.7608/C101</f>
        <v>0.92780487804878053</v>
      </c>
      <c r="D107" s="2884">
        <f>0.7608/D101</f>
        <v>0.92780487804878053</v>
      </c>
      <c r="E107" s="2884">
        <f>0.6482/E101</f>
        <v>0.79048780487804882</v>
      </c>
      <c r="F107" s="2884">
        <f>0.6482/F101</f>
        <v>0.79048780487804882</v>
      </c>
      <c r="G107" s="2884">
        <f>0.6482/G101</f>
        <v>0.79048780487804882</v>
      </c>
      <c r="H107" s="2884">
        <f>0.6482/H101</f>
        <v>0.79048780487804882</v>
      </c>
      <c r="I107" s="2884">
        <f>0.6482/I101</f>
        <v>0.79048780487804882</v>
      </c>
      <c r="J107" s="2884">
        <f>0.4525/J101</f>
        <v>0.55182926829268297</v>
      </c>
      <c r="K107" s="2884">
        <f>0.4525/K101</f>
        <v>0.55182926829268297</v>
      </c>
      <c r="L107" s="2884">
        <f>0.4525/L101</f>
        <v>0.55182926829268297</v>
      </c>
      <c r="M107" s="2884">
        <f>0.4525/M101</f>
        <v>0.55182926829268297</v>
      </c>
      <c r="N107" s="2884">
        <f>0.4525/N101</f>
        <v>0.55182926829268297</v>
      </c>
    </row>
    <row r="108" spans="1:14">
      <c r="A108" s="3361"/>
      <c r="B108" s="3185"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62"/>
      <c r="B109" s="3186"/>
      <c r="C109" s="2886">
        <f>(-0.163*(C108^2)-0.59*C108+7617)*(10^(-4))/C101</f>
        <v>0.9289024390243904</v>
      </c>
      <c r="D109" s="2886">
        <f>(-0.163*(D108^2)-0.59*D108+7617)*(10^(-4))/D101</f>
        <v>0.9289024390243904</v>
      </c>
      <c r="E109" s="2886">
        <f>(-0.161*(E108^2)-7.509*E108+6533)*(10^(-4))/E101</f>
        <v>0.79670731707317077</v>
      </c>
      <c r="F109" s="2886">
        <f>(-0.161*(F108^2)-7.509*F108+6533)*(10^(-4))/F101</f>
        <v>0.79670731707317077</v>
      </c>
      <c r="G109" s="2886">
        <f>(-0.161*(G108^2)-7.509*G108+6533)*(10^(-4))/G101</f>
        <v>0.79670731707317077</v>
      </c>
      <c r="H109" s="2886">
        <f>(-0.161*(H108^2)-7.509*H108+6533)*(10^(-4))/H101</f>
        <v>0.79670731707317077</v>
      </c>
      <c r="I109" s="2886">
        <f>(-0.161*(I108^2)-7.509*I108+6533)*(10^(-4))/I101</f>
        <v>0.79670731707317077</v>
      </c>
      <c r="J109" s="2886">
        <f>(-0.214*(J108^2)-21.991*J108+4665)*(10^(-4))/J101</f>
        <v>0.56890243902439031</v>
      </c>
      <c r="K109" s="2886">
        <f>(-0.214*(K108^2)-21.991*K108+4665)*(10^(-4))/K101</f>
        <v>0.56890243902439031</v>
      </c>
      <c r="L109" s="2886">
        <f>(-0.214*(L108^2)-21.991*L108+4665)*(10^(-4))/L101</f>
        <v>0.56890243902439031</v>
      </c>
      <c r="M109" s="2886">
        <f>(-0.214*(M108^2)-21.991*M108+4665)*(10^(-4))/M101</f>
        <v>0.56890243902439031</v>
      </c>
      <c r="N109" s="2886">
        <f>(-0.214*(N108^2)-21.991*N108+4665)*(10^(-4))/N101</f>
        <v>0.56890243902439031</v>
      </c>
    </row>
    <row r="110" spans="1:14">
      <c r="A110" s="3358" t="s">
        <v>2965</v>
      </c>
      <c r="B110" s="3358"/>
      <c r="C110" s="3358"/>
      <c r="D110" s="3358"/>
      <c r="E110" s="3358"/>
      <c r="F110" s="3358"/>
      <c r="G110" s="3358"/>
      <c r="H110" s="3358"/>
      <c r="I110" s="3358"/>
      <c r="J110" s="3358"/>
      <c r="K110" s="2889"/>
      <c r="L110" s="2889"/>
      <c r="M110" s="2889"/>
      <c r="N110" s="2889"/>
    </row>
    <row r="112" spans="1:14" ht="13.5" thickBot="1"/>
    <row r="113" spans="1:13" ht="25.5" thickBot="1">
      <c r="A113" s="903" t="s">
        <v>2966</v>
      </c>
      <c r="B113" s="1287">
        <f>G3</f>
        <v>0.82</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2">I115</f>
        <v>0.67630000000000001</v>
      </c>
      <c r="K115" s="910">
        <f t="shared" si="32"/>
        <v>0.67630000000000001</v>
      </c>
      <c r="L115" s="910">
        <f t="shared" si="32"/>
        <v>0.67630000000000001</v>
      </c>
      <c r="M115" s="911">
        <f t="shared" si="32"/>
        <v>0.67630000000000001</v>
      </c>
    </row>
    <row r="116" spans="1:13">
      <c r="A116" s="909" t="s">
        <v>2864</v>
      </c>
      <c r="B116" s="910">
        <f>ROUND(0.949-0.012*B113,4)</f>
        <v>0.93920000000000003</v>
      </c>
      <c r="C116" s="910">
        <f>B116</f>
        <v>0.93920000000000003</v>
      </c>
      <c r="D116" s="910">
        <f>ROUND(0.8567-0.013*B113,4)</f>
        <v>0.84599999999999997</v>
      </c>
      <c r="E116" s="910">
        <f t="shared" ref="E116:H117" si="33">D116</f>
        <v>0.84599999999999997</v>
      </c>
      <c r="F116" s="910">
        <f t="shared" si="33"/>
        <v>0.84599999999999997</v>
      </c>
      <c r="G116" s="910">
        <f t="shared" si="33"/>
        <v>0.84599999999999997</v>
      </c>
      <c r="H116" s="910">
        <f t="shared" si="33"/>
        <v>0.84599999999999997</v>
      </c>
      <c r="I116" s="910">
        <f>ROUND(0.7694-0.014*B113,4)</f>
        <v>0.75790000000000002</v>
      </c>
      <c r="J116" s="910">
        <f t="shared" si="32"/>
        <v>0.75790000000000002</v>
      </c>
      <c r="K116" s="910">
        <f t="shared" si="32"/>
        <v>0.75790000000000002</v>
      </c>
      <c r="L116" s="910">
        <f t="shared" si="32"/>
        <v>0.75790000000000002</v>
      </c>
      <c r="M116" s="911">
        <f t="shared" si="32"/>
        <v>0.75790000000000002</v>
      </c>
    </row>
    <row r="117" spans="1:13">
      <c r="A117" s="909" t="s">
        <v>2865</v>
      </c>
      <c r="B117" s="910">
        <f>ROUND(0.8808-0.006*B113,4)</f>
        <v>0.87590000000000001</v>
      </c>
      <c r="C117" s="910">
        <f>B117</f>
        <v>0.87590000000000001</v>
      </c>
      <c r="D117" s="910">
        <f>ROUND(0.8748-0.008*B113,4)</f>
        <v>0.86819999999999997</v>
      </c>
      <c r="E117" s="910">
        <f t="shared" si="33"/>
        <v>0.86819999999999997</v>
      </c>
      <c r="F117" s="910">
        <f t="shared" si="33"/>
        <v>0.86819999999999997</v>
      </c>
      <c r="G117" s="910">
        <f t="shared" si="33"/>
        <v>0.86819999999999997</v>
      </c>
      <c r="H117" s="910">
        <f t="shared" si="33"/>
        <v>0.86819999999999997</v>
      </c>
      <c r="I117" s="910">
        <f>ROUND(0.7412-0.0095*B113,4)</f>
        <v>0.73340000000000005</v>
      </c>
      <c r="J117" s="910">
        <f t="shared" si="32"/>
        <v>0.73340000000000005</v>
      </c>
      <c r="K117" s="910">
        <f t="shared" si="32"/>
        <v>0.73340000000000005</v>
      </c>
      <c r="L117" s="910">
        <f t="shared" si="32"/>
        <v>0.73340000000000005</v>
      </c>
      <c r="M117" s="911">
        <f t="shared" si="32"/>
        <v>0.73340000000000005</v>
      </c>
    </row>
    <row r="118" spans="1:13" ht="13.5" thickBot="1">
      <c r="A118" s="714" t="s">
        <v>2866</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2"/>
        <v>0.55549999999999999</v>
      </c>
      <c r="K118" s="912">
        <f t="shared" si="32"/>
        <v>0.55549999999999999</v>
      </c>
      <c r="L118" s="912">
        <f t="shared" si="32"/>
        <v>0.55549999999999999</v>
      </c>
      <c r="M118" s="913">
        <f t="shared" si="32"/>
        <v>0.55549999999999999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8" t="s">
        <v>183</v>
      </c>
      <c r="B18" s="882" t="s">
        <v>560</v>
      </c>
      <c r="C18" s="883" t="s">
        <v>561</v>
      </c>
      <c r="D18" s="884"/>
      <c r="E18" s="882">
        <v>1</v>
      </c>
      <c r="F18" s="885" t="s">
        <v>562</v>
      </c>
      <c r="G18" s="886"/>
      <c r="H18" s="878"/>
      <c r="I18" s="878"/>
    </row>
    <row r="19" spans="1:9" s="887" customFormat="1" ht="19.5" customHeight="1">
      <c r="A19" s="3378"/>
      <c r="B19" s="3378" t="s">
        <v>563</v>
      </c>
      <c r="C19" s="883" t="s">
        <v>564</v>
      </c>
      <c r="D19" s="884"/>
      <c r="E19" s="882">
        <v>0.9</v>
      </c>
      <c r="F19" s="885" t="s">
        <v>565</v>
      </c>
      <c r="G19" s="886"/>
      <c r="H19" s="878"/>
      <c r="I19" s="878"/>
    </row>
    <row r="20" spans="1:9" s="887" customFormat="1" ht="19.5" customHeight="1">
      <c r="A20" s="3378"/>
      <c r="B20" s="3378"/>
      <c r="C20" s="883" t="s">
        <v>566</v>
      </c>
      <c r="D20" s="884"/>
      <c r="E20" s="882">
        <v>1.1000000000000001</v>
      </c>
      <c r="F20" s="885" t="s">
        <v>567</v>
      </c>
      <c r="G20" s="886"/>
      <c r="H20" s="878"/>
      <c r="I20" s="878"/>
    </row>
    <row r="21" spans="1:9" s="887" customFormat="1" ht="19.5" customHeight="1">
      <c r="A21" s="3378"/>
      <c r="B21" s="3378"/>
      <c r="C21" s="883" t="s">
        <v>568</v>
      </c>
      <c r="D21" s="884"/>
      <c r="E21" s="882">
        <v>0.8</v>
      </c>
      <c r="F21" s="885" t="s">
        <v>569</v>
      </c>
      <c r="G21" s="886"/>
      <c r="H21" s="878"/>
      <c r="I21" s="878"/>
    </row>
    <row r="22" spans="1:9" s="887" customFormat="1" ht="19.5" customHeight="1">
      <c r="A22" s="3378"/>
      <c r="B22" s="3378"/>
      <c r="C22" s="883" t="s">
        <v>570</v>
      </c>
      <c r="D22" s="884"/>
      <c r="E22" s="882">
        <v>0.5</v>
      </c>
      <c r="F22" s="885"/>
      <c r="G22" s="886"/>
      <c r="H22" s="878"/>
      <c r="I22" s="878"/>
    </row>
    <row r="23" spans="1:9" s="887" customFormat="1" ht="19.5" customHeight="1">
      <c r="A23" s="3378" t="s">
        <v>184</v>
      </c>
      <c r="B23" s="882" t="s">
        <v>560</v>
      </c>
      <c r="C23" s="883" t="s">
        <v>571</v>
      </c>
      <c r="D23" s="884"/>
      <c r="E23" s="882">
        <v>1</v>
      </c>
      <c r="F23" s="885" t="s">
        <v>572</v>
      </c>
      <c r="G23" s="886"/>
      <c r="H23" s="878"/>
      <c r="I23" s="878"/>
    </row>
    <row r="24" spans="1:9" s="887" customFormat="1" ht="19.5" customHeight="1">
      <c r="A24" s="3378"/>
      <c r="B24" s="3378" t="s">
        <v>563</v>
      </c>
      <c r="C24" s="883" t="s">
        <v>573</v>
      </c>
      <c r="D24" s="884"/>
      <c r="E24" s="882">
        <v>0.5</v>
      </c>
      <c r="F24" s="885"/>
      <c r="G24" s="886"/>
      <c r="H24" s="878"/>
      <c r="I24" s="878"/>
    </row>
    <row r="25" spans="1:9" s="887" customFormat="1" ht="19.5" customHeight="1">
      <c r="A25" s="3378"/>
      <c r="B25" s="3378"/>
      <c r="C25" s="883" t="s">
        <v>574</v>
      </c>
      <c r="D25" s="884"/>
      <c r="E25" s="882">
        <v>1.1000000000000001</v>
      </c>
      <c r="F25" s="885"/>
      <c r="G25" s="886"/>
      <c r="H25" s="878"/>
      <c r="I25" s="878"/>
    </row>
    <row r="26" spans="1:9" s="887" customFormat="1" ht="19.5" customHeight="1">
      <c r="A26" s="3378"/>
      <c r="B26" s="3378"/>
      <c r="C26" s="883" t="s">
        <v>575</v>
      </c>
      <c r="D26" s="884"/>
      <c r="E26" s="882">
        <v>1.1000000000000001</v>
      </c>
      <c r="F26" s="885"/>
      <c r="G26" s="886"/>
      <c r="H26" s="878"/>
      <c r="I26" s="878"/>
    </row>
    <row r="27" spans="1:9" s="887" customFormat="1" ht="19.5" customHeight="1">
      <c r="A27" s="3378"/>
      <c r="B27" s="3378"/>
      <c r="C27" s="883" t="s">
        <v>576</v>
      </c>
      <c r="D27" s="884"/>
      <c r="E27" s="882">
        <v>0.9</v>
      </c>
      <c r="F27" s="885" t="s">
        <v>577</v>
      </c>
      <c r="G27" s="886"/>
      <c r="H27" s="878"/>
      <c r="I27" s="878"/>
    </row>
    <row r="28" spans="1:9" s="887" customFormat="1" ht="19.5" customHeight="1">
      <c r="A28" s="3378"/>
      <c r="B28" s="3378"/>
      <c r="C28" s="883" t="s">
        <v>578</v>
      </c>
      <c r="D28" s="884"/>
      <c r="E28" s="882">
        <v>0.9</v>
      </c>
      <c r="F28" s="885" t="s">
        <v>579</v>
      </c>
      <c r="G28" s="886"/>
      <c r="H28" s="878"/>
      <c r="I28" s="878"/>
    </row>
    <row r="29" spans="1:9" s="887" customFormat="1" ht="19.5" customHeight="1">
      <c r="A29" s="3378"/>
      <c r="B29" s="3378"/>
      <c r="C29" s="883" t="s">
        <v>580</v>
      </c>
      <c r="D29" s="884"/>
      <c r="E29" s="882">
        <v>0.9</v>
      </c>
      <c r="F29" s="885" t="s">
        <v>581</v>
      </c>
      <c r="G29" s="886"/>
      <c r="H29" s="878"/>
      <c r="I29" s="878"/>
    </row>
    <row r="30" spans="1:9" s="887" customFormat="1" ht="19.5" customHeight="1">
      <c r="A30" s="3378"/>
      <c r="B30" s="3378"/>
      <c r="C30" s="883" t="s">
        <v>582</v>
      </c>
      <c r="D30" s="884"/>
      <c r="E30" s="882">
        <v>0.9</v>
      </c>
      <c r="F30" s="885" t="s">
        <v>583</v>
      </c>
      <c r="G30" s="886"/>
      <c r="H30" s="878"/>
      <c r="I30" s="878"/>
    </row>
    <row r="31" spans="1:9" s="887" customFormat="1" ht="19.5" customHeight="1">
      <c r="A31" s="3378"/>
      <c r="B31" s="3378"/>
      <c r="C31" s="883" t="s">
        <v>584</v>
      </c>
      <c r="D31" s="884"/>
      <c r="E31" s="882">
        <v>0.8</v>
      </c>
      <c r="F31" s="885" t="s">
        <v>585</v>
      </c>
      <c r="G31" s="886"/>
      <c r="H31" s="878"/>
      <c r="I31" s="878"/>
    </row>
    <row r="32" spans="1:9" s="887" customFormat="1" ht="19.5" customHeight="1">
      <c r="A32" s="3378"/>
      <c r="B32" s="3378"/>
      <c r="C32" s="883" t="s">
        <v>586</v>
      </c>
      <c r="D32" s="884"/>
      <c r="E32" s="882">
        <v>0.8</v>
      </c>
      <c r="F32" s="885" t="s">
        <v>587</v>
      </c>
      <c r="G32" s="886"/>
      <c r="H32" s="878"/>
      <c r="I32" s="878"/>
    </row>
    <row r="33" spans="1:9" s="887" customFormat="1" ht="19.5" customHeight="1">
      <c r="A33" s="3378" t="s">
        <v>185</v>
      </c>
      <c r="B33" s="882" t="s">
        <v>560</v>
      </c>
      <c r="C33" s="883" t="s">
        <v>588</v>
      </c>
      <c r="D33" s="884"/>
      <c r="E33" s="882">
        <v>1</v>
      </c>
      <c r="F33" s="885" t="s">
        <v>589</v>
      </c>
      <c r="G33" s="886"/>
      <c r="H33" s="878"/>
      <c r="I33" s="878"/>
    </row>
    <row r="34" spans="1:9" s="887" customFormat="1" ht="19.5" customHeight="1">
      <c r="A34" s="3378"/>
      <c r="B34" s="882" t="s">
        <v>563</v>
      </c>
      <c r="C34" s="883" t="s">
        <v>590</v>
      </c>
      <c r="D34" s="884"/>
      <c r="E34" s="882">
        <v>1.5</v>
      </c>
      <c r="F34" s="885" t="s">
        <v>591</v>
      </c>
      <c r="G34" s="886"/>
      <c r="H34" s="878"/>
      <c r="I34" s="878"/>
    </row>
    <row r="35" spans="1:9" s="887" customFormat="1" ht="19.5" customHeight="1">
      <c r="A35" s="3378" t="s">
        <v>186</v>
      </c>
      <c r="B35" s="882" t="s">
        <v>560</v>
      </c>
      <c r="C35" s="883" t="s">
        <v>592</v>
      </c>
      <c r="D35" s="884"/>
      <c r="E35" s="882">
        <v>1</v>
      </c>
      <c r="F35" s="885" t="s">
        <v>593</v>
      </c>
      <c r="G35" s="886"/>
      <c r="H35" s="878"/>
      <c r="I35" s="878"/>
    </row>
    <row r="36" spans="1:9" s="887" customFormat="1" ht="19.5" customHeight="1">
      <c r="A36" s="3378"/>
      <c r="B36" s="3378" t="s">
        <v>563</v>
      </c>
      <c r="C36" s="883" t="s">
        <v>594</v>
      </c>
      <c r="D36" s="884"/>
      <c r="E36" s="882">
        <v>1</v>
      </c>
      <c r="F36" s="885" t="s">
        <v>595</v>
      </c>
      <c r="G36" s="886"/>
      <c r="H36" s="878"/>
      <c r="I36" s="878"/>
    </row>
    <row r="37" spans="1:9" s="887" customFormat="1" ht="19.5" customHeight="1">
      <c r="A37" s="3378"/>
      <c r="B37" s="3378"/>
      <c r="C37" s="883" t="s">
        <v>596</v>
      </c>
      <c r="D37" s="884"/>
      <c r="E37" s="882">
        <v>1.5</v>
      </c>
      <c r="F37" s="885" t="s">
        <v>597</v>
      </c>
      <c r="G37" s="886"/>
      <c r="H37" s="878"/>
      <c r="I37" s="878"/>
    </row>
    <row r="38" spans="1:9" s="887" customFormat="1" ht="19.5" customHeight="1">
      <c r="A38" s="3378"/>
      <c r="B38" s="3378"/>
      <c r="C38" s="883" t="s">
        <v>598</v>
      </c>
      <c r="D38" s="884"/>
      <c r="E38" s="882">
        <v>1</v>
      </c>
      <c r="F38" s="885" t="s">
        <v>599</v>
      </c>
      <c r="G38" s="886"/>
      <c r="H38" s="878"/>
      <c r="I38" s="878"/>
    </row>
    <row r="39" spans="1:9" s="887" customFormat="1" ht="19.5" customHeight="1">
      <c r="A39" s="3378"/>
      <c r="B39" s="33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8" t="s">
        <v>614</v>
      </c>
      <c r="C61" s="818" t="s">
        <v>615</v>
      </c>
      <c r="D61" s="818" t="s">
        <v>616</v>
      </c>
      <c r="E61" s="895">
        <v>0.5</v>
      </c>
      <c r="F61" s="882">
        <v>80</v>
      </c>
    </row>
    <row r="62" spans="1:8" s="878" customFormat="1" ht="24">
      <c r="A62" s="882">
        <v>2</v>
      </c>
      <c r="B62" s="3378"/>
      <c r="C62" s="818" t="s">
        <v>617</v>
      </c>
      <c r="D62" s="818" t="s">
        <v>618</v>
      </c>
      <c r="E62" s="895">
        <v>0.5</v>
      </c>
      <c r="F62" s="882">
        <v>80</v>
      </c>
    </row>
    <row r="63" spans="1:8" s="878" customFormat="1" ht="36">
      <c r="A63" s="882">
        <v>3</v>
      </c>
      <c r="B63" s="3378"/>
      <c r="C63" s="818" t="s">
        <v>619</v>
      </c>
      <c r="D63" s="818" t="s">
        <v>620</v>
      </c>
      <c r="E63" s="895">
        <v>0.5</v>
      </c>
      <c r="F63" s="882">
        <v>80</v>
      </c>
    </row>
    <row r="64" spans="1:8" s="878" customFormat="1" ht="36">
      <c r="A64" s="882">
        <v>4</v>
      </c>
      <c r="B64" s="3378"/>
      <c r="C64" s="818" t="s">
        <v>621</v>
      </c>
      <c r="D64" s="818" t="s">
        <v>622</v>
      </c>
      <c r="E64" s="895">
        <v>0.4</v>
      </c>
      <c r="F64" s="882">
        <v>60</v>
      </c>
    </row>
    <row r="65" spans="1:6" s="878" customFormat="1" ht="36">
      <c r="A65" s="882">
        <v>5</v>
      </c>
      <c r="B65" s="3378"/>
      <c r="C65" s="818" t="s">
        <v>623</v>
      </c>
      <c r="D65" s="818" t="s">
        <v>624</v>
      </c>
      <c r="E65" s="895">
        <v>0.2</v>
      </c>
      <c r="F65" s="882">
        <v>30</v>
      </c>
    </row>
    <row r="66" spans="1:6" s="878" customFormat="1" ht="36">
      <c r="A66" s="882">
        <v>6</v>
      </c>
      <c r="B66" s="3378"/>
      <c r="C66" s="818" t="s">
        <v>625</v>
      </c>
      <c r="D66" s="818" t="s">
        <v>626</v>
      </c>
      <c r="E66" s="895">
        <v>0.3</v>
      </c>
      <c r="F66" s="882">
        <v>50</v>
      </c>
    </row>
    <row r="67" spans="1:6" s="878" customFormat="1" ht="36">
      <c r="A67" s="882">
        <v>7</v>
      </c>
      <c r="B67" s="3378"/>
      <c r="C67" s="818" t="s">
        <v>627</v>
      </c>
      <c r="D67" s="818" t="s">
        <v>628</v>
      </c>
      <c r="E67" s="895">
        <v>0.2</v>
      </c>
      <c r="F67" s="882">
        <v>30</v>
      </c>
    </row>
    <row r="68" spans="1:6" s="878" customFormat="1" ht="36">
      <c r="A68" s="882">
        <v>8</v>
      </c>
      <c r="B68" s="3378"/>
      <c r="C68" s="818" t="s">
        <v>629</v>
      </c>
      <c r="D68" s="818" t="s">
        <v>630</v>
      </c>
      <c r="E68" s="895">
        <v>0.2</v>
      </c>
      <c r="F68" s="882">
        <v>30</v>
      </c>
    </row>
    <row r="69" spans="1:6" s="878" customFormat="1" ht="36">
      <c r="A69" s="882">
        <v>9</v>
      </c>
      <c r="B69" s="3378"/>
      <c r="C69" s="818" t="s">
        <v>631</v>
      </c>
      <c r="D69" s="818" t="s">
        <v>632</v>
      </c>
      <c r="E69" s="895">
        <v>0.2</v>
      </c>
      <c r="F69" s="882">
        <v>30</v>
      </c>
    </row>
    <row r="70" spans="1:6" s="878" customFormat="1" ht="48">
      <c r="A70" s="882">
        <v>10</v>
      </c>
      <c r="B70" s="3378"/>
      <c r="C70" s="818" t="s">
        <v>633</v>
      </c>
      <c r="D70" s="818" t="s">
        <v>634</v>
      </c>
      <c r="E70" s="895">
        <v>0.2</v>
      </c>
      <c r="F70" s="882">
        <v>30</v>
      </c>
    </row>
    <row r="71" spans="1:6" s="878" customFormat="1" ht="48">
      <c r="A71" s="882">
        <v>11</v>
      </c>
      <c r="B71" s="3378"/>
      <c r="C71" s="818" t="s">
        <v>635</v>
      </c>
      <c r="D71" s="818" t="s">
        <v>636</v>
      </c>
      <c r="E71" s="895">
        <v>0.2</v>
      </c>
      <c r="F71" s="882">
        <v>30</v>
      </c>
    </row>
    <row r="72" spans="1:6" s="878" customFormat="1" ht="36">
      <c r="A72" s="882">
        <v>12</v>
      </c>
      <c r="B72" s="3378"/>
      <c r="C72" s="818" t="s">
        <v>637</v>
      </c>
      <c r="D72" s="818" t="s">
        <v>638</v>
      </c>
      <c r="E72" s="895">
        <v>0.5</v>
      </c>
      <c r="F72" s="882">
        <v>80</v>
      </c>
    </row>
    <row r="73" spans="1:6" s="878" customFormat="1" ht="24">
      <c r="A73" s="882">
        <v>13</v>
      </c>
      <c r="B73" s="3378"/>
      <c r="C73" s="818" t="s">
        <v>639</v>
      </c>
      <c r="D73" s="818" t="s">
        <v>640</v>
      </c>
      <c r="E73" s="895">
        <v>0.4</v>
      </c>
      <c r="F73" s="882">
        <v>60</v>
      </c>
    </row>
    <row r="74" spans="1:6" s="878" customFormat="1" ht="24">
      <c r="A74" s="882">
        <v>14</v>
      </c>
      <c r="B74" s="3378"/>
      <c r="C74" s="818" t="s">
        <v>641</v>
      </c>
      <c r="D74" s="818" t="s">
        <v>642</v>
      </c>
      <c r="E74" s="895">
        <v>0.2</v>
      </c>
      <c r="F74" s="882">
        <v>30</v>
      </c>
    </row>
    <row r="75" spans="1:6" s="878" customFormat="1" ht="24">
      <c r="A75" s="882">
        <v>15</v>
      </c>
      <c r="B75" s="3378"/>
      <c r="C75" s="818" t="s">
        <v>643</v>
      </c>
      <c r="D75" s="818" t="s">
        <v>644</v>
      </c>
      <c r="E75" s="895">
        <v>0.2</v>
      </c>
      <c r="F75" s="882">
        <v>30</v>
      </c>
    </row>
    <row r="76" spans="1:6" s="878" customFormat="1" ht="24">
      <c r="A76" s="882">
        <v>16</v>
      </c>
      <c r="B76" s="3378" t="s">
        <v>645</v>
      </c>
      <c r="C76" s="818" t="s">
        <v>646</v>
      </c>
      <c r="D76" s="818" t="s">
        <v>647</v>
      </c>
      <c r="E76" s="895">
        <v>0.5</v>
      </c>
      <c r="F76" s="882">
        <v>80</v>
      </c>
    </row>
    <row r="77" spans="1:6" s="878" customFormat="1" ht="24">
      <c r="A77" s="882">
        <v>17</v>
      </c>
      <c r="B77" s="3378"/>
      <c r="C77" s="818" t="s">
        <v>648</v>
      </c>
      <c r="D77" s="818" t="s">
        <v>649</v>
      </c>
      <c r="E77" s="895">
        <v>0.5</v>
      </c>
      <c r="F77" s="882">
        <v>80</v>
      </c>
    </row>
    <row r="78" spans="1:6" s="878" customFormat="1" ht="24">
      <c r="A78" s="882">
        <v>18</v>
      </c>
      <c r="B78" s="3378"/>
      <c r="C78" s="818" t="s">
        <v>650</v>
      </c>
      <c r="D78" s="818" t="s">
        <v>651</v>
      </c>
      <c r="E78" s="895">
        <v>0.2</v>
      </c>
      <c r="F78" s="882">
        <v>30</v>
      </c>
    </row>
    <row r="79" spans="1:6" s="878" customFormat="1" ht="24">
      <c r="A79" s="882">
        <v>19</v>
      </c>
      <c r="B79" s="3378"/>
      <c r="C79" s="818" t="s">
        <v>652</v>
      </c>
      <c r="D79" s="818" t="s">
        <v>653</v>
      </c>
      <c r="E79" s="895">
        <v>0.5</v>
      </c>
      <c r="F79" s="882">
        <v>80</v>
      </c>
    </row>
    <row r="80" spans="1:6" s="878" customFormat="1" ht="36">
      <c r="A80" s="882">
        <v>20</v>
      </c>
      <c r="B80" s="3378"/>
      <c r="C80" s="818" t="s">
        <v>654</v>
      </c>
      <c r="D80" s="818" t="s">
        <v>655</v>
      </c>
      <c r="E80" s="895">
        <v>0.2</v>
      </c>
      <c r="F80" s="882">
        <v>30</v>
      </c>
    </row>
    <row r="81" spans="1:6" s="878" customFormat="1" ht="36">
      <c r="A81" s="882">
        <v>21</v>
      </c>
      <c r="B81" s="3378"/>
      <c r="C81" s="818" t="s">
        <v>656</v>
      </c>
      <c r="D81" s="818" t="s">
        <v>657</v>
      </c>
      <c r="E81" s="895">
        <v>0.2</v>
      </c>
      <c r="F81" s="882">
        <v>30</v>
      </c>
    </row>
    <row r="82" spans="1:6" s="878" customFormat="1" ht="48">
      <c r="A82" s="882">
        <v>22</v>
      </c>
      <c r="B82" s="3378"/>
      <c r="C82" s="818" t="s">
        <v>658</v>
      </c>
      <c r="D82" s="818" t="s">
        <v>659</v>
      </c>
      <c r="E82" s="895">
        <v>0.2</v>
      </c>
      <c r="F82" s="882">
        <v>30</v>
      </c>
    </row>
    <row r="83" spans="1:6" s="878" customFormat="1" ht="48">
      <c r="A83" s="882">
        <v>23</v>
      </c>
      <c r="B83" s="3378"/>
      <c r="C83" s="818" t="s">
        <v>660</v>
      </c>
      <c r="D83" s="818" t="s">
        <v>661</v>
      </c>
      <c r="E83" s="895">
        <v>0.2</v>
      </c>
      <c r="F83" s="882">
        <v>30</v>
      </c>
    </row>
    <row r="84" spans="1:6" s="878" customFormat="1" ht="36">
      <c r="A84" s="882">
        <v>24</v>
      </c>
      <c r="B84" s="3378"/>
      <c r="C84" s="818" t="s">
        <v>662</v>
      </c>
      <c r="D84" s="818" t="s">
        <v>663</v>
      </c>
      <c r="E84" s="895">
        <v>0.2</v>
      </c>
      <c r="F84" s="882">
        <v>30</v>
      </c>
    </row>
    <row r="85" spans="1:6" s="878" customFormat="1" ht="36">
      <c r="A85" s="882">
        <v>25</v>
      </c>
      <c r="B85" s="3378"/>
      <c r="C85" s="818" t="s">
        <v>664</v>
      </c>
      <c r="D85" s="818" t="s">
        <v>665</v>
      </c>
      <c r="E85" s="895">
        <v>0.5</v>
      </c>
      <c r="F85" s="882">
        <v>80</v>
      </c>
    </row>
    <row r="86" spans="1:6" s="878" customFormat="1" ht="36">
      <c r="A86" s="882">
        <v>26</v>
      </c>
      <c r="B86" s="3378"/>
      <c r="C86" s="818" t="s">
        <v>666</v>
      </c>
      <c r="D86" s="818" t="s">
        <v>667</v>
      </c>
      <c r="E86" s="895">
        <v>0.2</v>
      </c>
      <c r="F86" s="882">
        <v>30</v>
      </c>
    </row>
    <row r="87" spans="1:6" s="878" customFormat="1" ht="36">
      <c r="A87" s="882">
        <v>27</v>
      </c>
      <c r="B87" s="3378"/>
      <c r="C87" s="818" t="s">
        <v>668</v>
      </c>
      <c r="D87" s="818" t="s">
        <v>669</v>
      </c>
      <c r="E87" s="895">
        <v>0.2</v>
      </c>
      <c r="F87" s="882">
        <v>30</v>
      </c>
    </row>
    <row r="88" spans="1:6" s="878" customFormat="1" ht="36">
      <c r="A88" s="882">
        <v>28</v>
      </c>
      <c r="B88" s="3378"/>
      <c r="C88" s="818" t="s">
        <v>670</v>
      </c>
      <c r="D88" s="818" t="s">
        <v>671</v>
      </c>
      <c r="E88" s="895">
        <v>0.2</v>
      </c>
      <c r="F88" s="882">
        <v>30</v>
      </c>
    </row>
    <row r="89" spans="1:6" s="878" customFormat="1" ht="24">
      <c r="A89" s="882">
        <v>29</v>
      </c>
      <c r="B89" s="3378"/>
      <c r="C89" s="818" t="s">
        <v>672</v>
      </c>
      <c r="D89" s="818" t="s">
        <v>673</v>
      </c>
      <c r="E89" s="895">
        <v>0.2</v>
      </c>
      <c r="F89" s="882">
        <v>30</v>
      </c>
    </row>
    <row r="90" spans="1:6" s="878" customFormat="1" ht="24">
      <c r="A90" s="882">
        <v>30</v>
      </c>
      <c r="B90" s="3378"/>
      <c r="C90" s="818" t="s">
        <v>674</v>
      </c>
      <c r="D90" s="818" t="s">
        <v>675</v>
      </c>
      <c r="E90" s="895">
        <v>0.2</v>
      </c>
      <c r="F90" s="882">
        <v>30</v>
      </c>
    </row>
    <row r="91" spans="1:6" s="878" customFormat="1" ht="36">
      <c r="A91" s="882">
        <v>31</v>
      </c>
      <c r="B91" s="3378"/>
      <c r="C91" s="818" t="s">
        <v>676</v>
      </c>
      <c r="D91" s="818" t="s">
        <v>677</v>
      </c>
      <c r="E91" s="895">
        <v>0.2</v>
      </c>
      <c r="F91" s="882">
        <v>30</v>
      </c>
    </row>
    <row r="92" spans="1:6" s="878" customFormat="1" ht="24">
      <c r="A92" s="882">
        <v>32</v>
      </c>
      <c r="B92" s="3378" t="s">
        <v>678</v>
      </c>
      <c r="C92" s="882" t="s">
        <v>679</v>
      </c>
      <c r="D92" s="818" t="s">
        <v>680</v>
      </c>
      <c r="E92" s="895">
        <v>0.2</v>
      </c>
      <c r="F92" s="882">
        <v>30</v>
      </c>
    </row>
    <row r="93" spans="1:6" s="878" customFormat="1" ht="36">
      <c r="A93" s="882">
        <v>33</v>
      </c>
      <c r="B93" s="3378"/>
      <c r="C93" s="882" t="s">
        <v>681</v>
      </c>
      <c r="D93" s="818" t="s">
        <v>682</v>
      </c>
      <c r="E93" s="895">
        <v>0.2</v>
      </c>
      <c r="F93" s="882">
        <v>30</v>
      </c>
    </row>
    <row r="94" spans="1:6" s="878" customFormat="1" ht="48">
      <c r="A94" s="882">
        <v>34</v>
      </c>
      <c r="B94" s="3378"/>
      <c r="C94" s="882" t="s">
        <v>683</v>
      </c>
      <c r="D94" s="818" t="s">
        <v>684</v>
      </c>
      <c r="E94" s="895">
        <v>0.2</v>
      </c>
      <c r="F94" s="882">
        <v>30</v>
      </c>
    </row>
    <row r="95" spans="1:6" s="878" customFormat="1" ht="36">
      <c r="A95" s="882">
        <v>35</v>
      </c>
      <c r="B95" s="3378"/>
      <c r="C95" s="882" t="s">
        <v>685</v>
      </c>
      <c r="D95" s="818" t="s">
        <v>686</v>
      </c>
      <c r="E95" s="895">
        <v>0.2</v>
      </c>
      <c r="F95" s="882">
        <v>30</v>
      </c>
    </row>
    <row r="96" spans="1:6" s="878" customFormat="1" ht="48">
      <c r="A96" s="882">
        <v>36</v>
      </c>
      <c r="B96" s="3378"/>
      <c r="C96" s="818" t="s">
        <v>687</v>
      </c>
      <c r="D96" s="818" t="s">
        <v>688</v>
      </c>
      <c r="E96" s="895">
        <v>0.2</v>
      </c>
      <c r="F96" s="882">
        <v>30</v>
      </c>
    </row>
    <row r="97" spans="1:6" s="878" customFormat="1" ht="36">
      <c r="A97" s="882">
        <v>37</v>
      </c>
      <c r="B97" s="3378"/>
      <c r="C97" s="882" t="s">
        <v>689</v>
      </c>
      <c r="D97" s="818" t="s">
        <v>690</v>
      </c>
      <c r="E97" s="895">
        <v>0.2</v>
      </c>
      <c r="F97" s="882">
        <v>30</v>
      </c>
    </row>
    <row r="98" spans="1:6" s="878" customFormat="1" ht="36">
      <c r="A98" s="882">
        <v>38</v>
      </c>
      <c r="B98" s="3378"/>
      <c r="C98" s="882" t="s">
        <v>691</v>
      </c>
      <c r="D98" s="818" t="s">
        <v>692</v>
      </c>
      <c r="E98" s="895">
        <v>0.2</v>
      </c>
      <c r="F98" s="882">
        <v>30</v>
      </c>
    </row>
    <row r="99" spans="1:6" s="878" customFormat="1" ht="36">
      <c r="A99" s="882">
        <v>39</v>
      </c>
      <c r="B99" s="3378" t="s">
        <v>693</v>
      </c>
      <c r="C99" s="882" t="s">
        <v>694</v>
      </c>
      <c r="D99" s="818" t="s">
        <v>695</v>
      </c>
      <c r="E99" s="895">
        <v>0.3</v>
      </c>
      <c r="F99" s="882">
        <v>50</v>
      </c>
    </row>
    <row r="100" spans="1:6" s="878" customFormat="1" ht="24">
      <c r="A100" s="882">
        <v>40</v>
      </c>
      <c r="B100" s="3378"/>
      <c r="C100" s="882" t="s">
        <v>696</v>
      </c>
      <c r="D100" s="818" t="s">
        <v>697</v>
      </c>
      <c r="E100" s="895">
        <v>0.2</v>
      </c>
      <c r="F100" s="882">
        <v>30</v>
      </c>
    </row>
    <row r="101" spans="1:6" s="878" customFormat="1" ht="36">
      <c r="A101" s="882">
        <v>41</v>
      </c>
      <c r="B101" s="33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8" t="s">
        <v>708</v>
      </c>
      <c r="C105" s="882" t="s">
        <v>709</v>
      </c>
      <c r="D105" s="818" t="s">
        <v>710</v>
      </c>
      <c r="E105" s="895">
        <v>0.2</v>
      </c>
      <c r="F105" s="882">
        <v>30</v>
      </c>
    </row>
    <row r="106" spans="1:6" s="878" customFormat="1" ht="36">
      <c r="A106" s="882">
        <v>46</v>
      </c>
      <c r="B106" s="3378"/>
      <c r="C106" s="882" t="s">
        <v>711</v>
      </c>
      <c r="D106" s="818" t="s">
        <v>712</v>
      </c>
      <c r="E106" s="895">
        <v>0.2</v>
      </c>
      <c r="F106" s="882">
        <v>30</v>
      </c>
    </row>
    <row r="107" spans="1:6" s="878" customFormat="1" ht="36">
      <c r="A107" s="882">
        <v>47</v>
      </c>
      <c r="B107" s="3378" t="s">
        <v>713</v>
      </c>
      <c r="C107" s="882" t="s">
        <v>714</v>
      </c>
      <c r="D107" s="818" t="s">
        <v>715</v>
      </c>
      <c r="E107" s="895">
        <v>0.3</v>
      </c>
      <c r="F107" s="882">
        <v>50</v>
      </c>
    </row>
    <row r="108" spans="1:6" s="878" customFormat="1" ht="36">
      <c r="A108" s="882">
        <v>48</v>
      </c>
      <c r="B108" s="33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8" t="s">
        <v>724</v>
      </c>
      <c r="C111" s="882" t="s">
        <v>725</v>
      </c>
      <c r="D111" s="818" t="s">
        <v>726</v>
      </c>
      <c r="E111" s="895">
        <v>0.2</v>
      </c>
      <c r="F111" s="882">
        <v>30</v>
      </c>
    </row>
    <row r="112" spans="1:6" s="878" customFormat="1" ht="24">
      <c r="A112" s="882">
        <v>52</v>
      </c>
      <c r="B112" s="3378"/>
      <c r="C112" s="882" t="s">
        <v>727</v>
      </c>
      <c r="D112" s="818" t="s">
        <v>728</v>
      </c>
      <c r="E112" s="895">
        <v>0.2</v>
      </c>
      <c r="F112" s="882">
        <v>30</v>
      </c>
    </row>
    <row r="113" spans="1:6" s="878" customFormat="1" ht="24">
      <c r="A113" s="882">
        <v>53</v>
      </c>
      <c r="B113" s="33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8" t="s">
        <v>737</v>
      </c>
      <c r="C116" s="882" t="s">
        <v>738</v>
      </c>
      <c r="D116" s="818" t="s">
        <v>739</v>
      </c>
      <c r="E116" s="895">
        <v>0.2</v>
      </c>
      <c r="F116" s="882">
        <v>30</v>
      </c>
    </row>
    <row r="117" spans="1:6" ht="36">
      <c r="A117" s="882">
        <v>57</v>
      </c>
      <c r="B117" s="33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0"/>
      <c r="B4" s="3024" t="s">
        <v>1626</v>
      </c>
      <c r="C4" s="3024"/>
      <c r="D4" s="3024"/>
      <c r="E4" s="1960"/>
    </row>
    <row r="5" spans="1:5" ht="16.5" thickTop="1">
      <c r="A5" s="1958"/>
      <c r="B5" s="3022" t="s">
        <v>1618</v>
      </c>
      <c r="C5" s="1961" t="s">
        <v>1619</v>
      </c>
      <c r="D5" s="1040">
        <f ca="1">结果表!H101</f>
        <v>74279</v>
      </c>
      <c r="E5" s="1958"/>
    </row>
    <row r="6" spans="1:5" ht="15.75">
      <c r="A6" s="1958"/>
      <c r="B6" s="3022"/>
      <c r="C6" s="1961" t="s">
        <v>1620</v>
      </c>
      <c r="D6" s="1040" t="str">
        <f ca="1">NUMBERSTRING(INT(D5*10000),2)&amp;"元整"</f>
        <v>柒亿肆仟贰佰柒拾玖万元整</v>
      </c>
      <c r="E6" s="1958"/>
    </row>
    <row r="7" spans="1:5" ht="15.75">
      <c r="A7" s="1958"/>
      <c r="B7" s="3027"/>
      <c r="C7" s="1962" t="s">
        <v>1621</v>
      </c>
      <c r="D7" s="1041">
        <f ca="1">结果表!H102</f>
        <v>5016</v>
      </c>
      <c r="E7" s="1958"/>
    </row>
    <row r="8" spans="1:5" ht="15.75">
      <c r="A8" s="1958"/>
      <c r="B8" s="3028" t="str">
        <f>结果表!E103</f>
        <v>2.估价师知悉的法定优先受偿款</v>
      </c>
      <c r="C8" s="1963" t="s">
        <v>1622</v>
      </c>
      <c r="D8" s="1041">
        <f>结果表!H103</f>
        <v>0</v>
      </c>
      <c r="E8" s="1958"/>
    </row>
    <row r="9" spans="1:5" ht="15.75">
      <c r="A9" s="1958"/>
      <c r="B9" s="3030"/>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21" t="str">
        <f>结果表!E107</f>
        <v>3.房地产抵押价值</v>
      </c>
      <c r="C13" s="1966" t="s">
        <v>1619</v>
      </c>
      <c r="D13" s="1043">
        <f ca="1">结果表!H107</f>
        <v>74279</v>
      </c>
      <c r="E13" s="1958"/>
    </row>
    <row r="14" spans="1:5" ht="15.75">
      <c r="A14" s="1958"/>
      <c r="B14" s="3022"/>
      <c r="C14" s="1961" t="s">
        <v>1620</v>
      </c>
      <c r="D14" s="1040" t="str">
        <f ca="1">NUMBERSTRING(INT(D13*10000),2)&amp;"元整"</f>
        <v>柒亿肆仟贰佰柒拾玖万元整</v>
      </c>
      <c r="E14" s="1958"/>
    </row>
    <row r="15" spans="1:5" ht="15">
      <c r="A15" s="1958"/>
      <c r="B15" s="3027"/>
      <c r="C15" s="1962" t="s">
        <v>1630</v>
      </c>
      <c r="D15" s="1052">
        <f ca="1">结果表!H108</f>
        <v>5016</v>
      </c>
      <c r="E15" s="1958"/>
    </row>
    <row r="16" spans="1:5" ht="15">
      <c r="A16" s="1958"/>
      <c r="B16" s="3028" t="str">
        <f>结果表!E109</f>
        <v>——</v>
      </c>
      <c r="C16" s="1966" t="s">
        <v>1631</v>
      </c>
      <c r="D16" s="1967" t="str">
        <f>结果表!H109</f>
        <v>——</v>
      </c>
      <c r="E16" s="1958"/>
    </row>
    <row r="17" spans="1:5" ht="15.75">
      <c r="A17" s="1958"/>
      <c r="B17" s="3029"/>
      <c r="C17" s="1961" t="s">
        <v>1632</v>
      </c>
      <c r="D17" s="1040" t="e">
        <f>NUMBERSTRING(INT(D16*10000),2)&amp;"元整"</f>
        <v>#VALUE!</v>
      </c>
      <c r="E17" s="1958"/>
    </row>
    <row r="18" spans="1:5" ht="15">
      <c r="A18" s="1958"/>
      <c r="B18" s="3030"/>
      <c r="C18" s="1962" t="s">
        <v>1621</v>
      </c>
      <c r="D18" s="1052" t="str">
        <f>结果表!H110</f>
        <v>——</v>
      </c>
      <c r="E18" s="1958"/>
    </row>
    <row r="19" spans="1:5" ht="15.75">
      <c r="A19" s="1958"/>
      <c r="B19" s="3021" t="str">
        <f>结果表!E111</f>
        <v>——</v>
      </c>
      <c r="C19" s="1966" t="s">
        <v>1619</v>
      </c>
      <c r="D19" s="1041" t="str">
        <f>结果表!H111</f>
        <v>——</v>
      </c>
      <c r="E19" s="1958"/>
    </row>
    <row r="20" spans="1:5" ht="15.75">
      <c r="A20" s="1958"/>
      <c r="B20" s="3022"/>
      <c r="C20" s="1961" t="s">
        <v>1632</v>
      </c>
      <c r="D20" s="1040" t="e">
        <f>NUMBERSTRING(INT(D19*10000),2)&amp;"元整"</f>
        <v>#VALUE!</v>
      </c>
      <c r="E20" s="1958"/>
    </row>
    <row r="21" spans="1:5" ht="15.75" thickBot="1">
      <c r="A21" s="1958"/>
      <c r="B21" s="3023"/>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4" t="s">
        <v>1146</v>
      </c>
      <c r="C1" s="3384"/>
      <c r="D1" s="3384"/>
      <c r="E1" s="3384"/>
      <c r="F1" s="3384"/>
      <c r="G1" s="3380" t="s">
        <v>1147</v>
      </c>
      <c r="H1" s="3380"/>
      <c r="I1" s="3380"/>
      <c r="J1" s="3380"/>
      <c r="K1" s="3380"/>
      <c r="L1" s="3380"/>
      <c r="N1" s="3380" t="s">
        <v>1148</v>
      </c>
      <c r="O1" s="3380"/>
      <c r="P1" s="3380"/>
      <c r="Q1" s="3380"/>
      <c r="R1" s="1446"/>
      <c r="S1" s="3380" t="s">
        <v>1149</v>
      </c>
      <c r="T1" s="3380"/>
      <c r="U1" s="3380"/>
      <c r="V1" s="3380"/>
      <c r="X1" s="3379" t="s">
        <v>1150</v>
      </c>
      <c r="Y1" s="3380"/>
      <c r="Z1" s="3380"/>
      <c r="AA1" s="3380"/>
      <c r="AB1" s="3380"/>
      <c r="AD1" s="3379" t="s">
        <v>1151</v>
      </c>
      <c r="AE1" s="3380"/>
      <c r="AF1" s="3380"/>
      <c r="AG1" s="3380"/>
      <c r="AH1" s="338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82">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82"/>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82"/>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89"/>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85">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82"/>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82"/>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89"/>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85">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82"/>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82"/>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83"/>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81">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82"/>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82"/>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83"/>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81">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82"/>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82"/>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83"/>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86">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87"/>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87"/>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88"/>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81">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82"/>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82"/>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83"/>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81">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82">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82">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83">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81">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82">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82">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83">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81">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82">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82">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83">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81">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82">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82">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83">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81">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82">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82">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83">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81">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82">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82">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83">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81">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82">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82">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83">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81">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82">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82">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83">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8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82">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82">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8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8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82">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82">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83">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91" t="s">
        <v>2991</v>
      </c>
      <c r="D1" s="3392"/>
      <c r="E1" s="3392"/>
      <c r="F1" s="3392"/>
      <c r="G1" s="3392"/>
      <c r="H1" s="3392"/>
      <c r="I1" s="3392"/>
      <c r="J1" s="3392"/>
      <c r="K1" s="3392"/>
      <c r="L1" s="3392"/>
      <c r="M1" s="3392"/>
      <c r="N1" s="3392"/>
      <c r="O1" s="3392"/>
      <c r="P1" s="3392"/>
      <c r="Q1" s="3392"/>
      <c r="R1" s="3392"/>
      <c r="S1" s="3393"/>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66" t="s">
        <v>33</v>
      </c>
      <c r="D22" s="3167"/>
      <c r="E22" s="3167"/>
      <c r="F22" s="3167"/>
      <c r="G22" s="3167"/>
      <c r="H22" s="3167"/>
      <c r="I22" s="3167"/>
      <c r="J22" s="3167"/>
      <c r="K22" s="3167"/>
      <c r="L22" s="3167"/>
      <c r="M22" s="3167"/>
      <c r="N22" s="3167"/>
      <c r="O22" s="3167"/>
      <c r="P22" s="3167"/>
      <c r="Q22" s="3390"/>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82270</v>
      </c>
      <c r="C2" s="2" t="s">
        <v>133</v>
      </c>
      <c r="D2" s="243"/>
      <c r="E2" s="243"/>
      <c r="F2" s="243"/>
      <c r="G2" s="243"/>
    </row>
    <row r="3" spans="1:7" s="244" customFormat="1" ht="18" customHeight="1" thickBot="1">
      <c r="A3" s="247" t="s">
        <v>85</v>
      </c>
      <c r="B3" s="248">
        <f ca="1">ROUND(B2*10000/'数据-汇总表'!E3,0)</f>
        <v>5556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592</v>
      </c>
      <c r="D10" s="1032">
        <f>'数据-汇总表'!E6</f>
        <v>148075.10999999999</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2962</v>
      </c>
      <c r="D19" s="1036">
        <f>'数据-汇总表'!E3</f>
        <v>148075.10999999999</v>
      </c>
      <c r="E19" s="255">
        <f>'数据-取费表'!B31</f>
        <v>200</v>
      </c>
      <c r="F19" s="275"/>
      <c r="G19" s="1" t="s">
        <v>1071</v>
      </c>
    </row>
    <row r="20" spans="1:7" s="258" customFormat="1" ht="13.5" customHeight="1">
      <c r="A20" s="948" t="s">
        <v>1054</v>
      </c>
      <c r="B20" s="254" t="s">
        <v>104</v>
      </c>
      <c r="C20" s="276">
        <f>ROUND((C5+C19)*F20,0)</f>
        <v>707</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2694</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2321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334</v>
      </c>
      <c r="D24" s="282"/>
      <c r="E24" s="282"/>
      <c r="F24" s="283"/>
      <c r="G24" s="284" t="s">
        <v>109</v>
      </c>
    </row>
    <row r="25" spans="1:7" s="258" customFormat="1" ht="24">
      <c r="A25" s="951" t="s">
        <v>793</v>
      </c>
      <c r="B25" s="259" t="s">
        <v>1055</v>
      </c>
      <c r="C25" s="1355">
        <f ca="1">ROUND(IF('数据-取费表'!B22&lt;=1,C20*F22*'数据-取费表'!B23/2,C20*(POWER((1+F22),'数据-取费表'!B23/2)-1)),0)</f>
        <v>39</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4244</v>
      </c>
      <c r="D27" s="279">
        <f>C29</f>
        <v>5.1999999999999998E-3</v>
      </c>
      <c r="E27" s="280" t="s">
        <v>126</v>
      </c>
      <c r="F27" s="290">
        <f>'数据-取费表'!Q16</f>
        <v>0.19</v>
      </c>
      <c r="G27" s="291" t="s">
        <v>1066</v>
      </c>
    </row>
    <row r="28" spans="1:7" s="258" customFormat="1" ht="13.5" customHeight="1">
      <c r="A28" s="951" t="s">
        <v>794</v>
      </c>
      <c r="B28" s="292" t="s">
        <v>1059</v>
      </c>
      <c r="C28" s="293">
        <f>ROUND((C5+C19+C20)*F27*'数据-取费表'!B21/'数据-取费表'!B20,0)</f>
        <v>4244</v>
      </c>
      <c r="D28" s="279"/>
      <c r="E28" s="280"/>
      <c r="F28" s="290"/>
      <c r="G28" s="291"/>
    </row>
    <row r="29" spans="1:7" s="258" customFormat="1" ht="13.5" customHeight="1">
      <c r="A29" s="951" t="s">
        <v>792</v>
      </c>
      <c r="B29" s="292" t="s">
        <v>1060</v>
      </c>
      <c r="C29" s="282">
        <f>ROUND(C21*F27*'数据-取费表'!B21/'数据-取费表'!B20,4)</f>
        <v>5.1999999999999998E-3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34274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34077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29833</v>
      </c>
      <c r="D34" s="261"/>
      <c r="E34" s="264"/>
      <c r="F34" s="301">
        <f>IF('数据-取费表'!B24=0,1,'数据-取费表'!N16)</f>
        <v>0.98</v>
      </c>
      <c r="G34" s="263" t="s">
        <v>116</v>
      </c>
    </row>
    <row r="35" spans="1:7" ht="13.5" customHeight="1">
      <c r="A35" s="951" t="s">
        <v>796</v>
      </c>
      <c r="B35" s="259" t="s">
        <v>60</v>
      </c>
      <c r="C35" s="264">
        <f>ROUND(C34*F35,0)</f>
        <v>895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2902</v>
      </c>
      <c r="D37" s="261">
        <f>'数据-汇总表'!E3</f>
        <v>148075.10999999999</v>
      </c>
      <c r="E37" s="293">
        <f>'数据-取费表'!B35</f>
        <v>200</v>
      </c>
      <c r="F37" s="303"/>
      <c r="G37" s="305" t="s">
        <v>119</v>
      </c>
    </row>
    <row r="38" spans="1:7" ht="13.5" customHeight="1">
      <c r="A38" s="951" t="s">
        <v>799</v>
      </c>
      <c r="B38" s="259" t="s">
        <v>63</v>
      </c>
      <c r="C38" s="264">
        <f>ROUND(C34*F38,0)</f>
        <v>447</v>
      </c>
      <c r="D38" s="264"/>
      <c r="E38" s="264"/>
      <c r="F38" s="303">
        <f>'数据-取费表'!B36</f>
        <v>1.4999999999999999E-2</v>
      </c>
      <c r="G38" s="263" t="s">
        <v>117</v>
      </c>
    </row>
    <row r="39" spans="1:7" s="258" customFormat="1" ht="13.5" customHeight="1">
      <c r="A39" s="948" t="s">
        <v>783</v>
      </c>
      <c r="B39" s="254" t="s">
        <v>104</v>
      </c>
      <c r="C39" s="276">
        <f>ROUND(C33*F20,0)</f>
        <v>1022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1924</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1868</v>
      </c>
      <c r="D42" s="282"/>
      <c r="E42" s="282"/>
      <c r="F42" s="283"/>
      <c r="G42" s="3251" t="s">
        <v>121</v>
      </c>
    </row>
    <row r="43" spans="1:7" ht="13.5" customHeight="1">
      <c r="A43" s="951" t="s">
        <v>792</v>
      </c>
      <c r="B43" s="259" t="s">
        <v>1061</v>
      </c>
      <c r="C43" s="282">
        <f ca="1">ROUND(IF('数据-取费表'!B22&lt;=1,C39*F22*'数据-取费表'!B21/2,C39*(POWER((1+F22),'数据-取费表'!B21/2)-1)),0)</f>
        <v>56</v>
      </c>
      <c r="D43" s="282"/>
      <c r="E43" s="282"/>
      <c r="F43" s="283"/>
      <c r="G43" s="3252"/>
    </row>
    <row r="44" spans="1:7" ht="13.5" customHeight="1">
      <c r="A44" s="951" t="s">
        <v>793</v>
      </c>
      <c r="B44" s="259" t="s">
        <v>1063</v>
      </c>
      <c r="C44" s="282">
        <f ca="1">ROUND(IF('数据-取费表'!B22&lt;=1,C40*F22*'数据-取费表'!B21/2,C40*(POWER((1+F22),'数据-取费表'!B21/2)-1)),4)</f>
        <v>1.6000000000000001E-3</v>
      </c>
      <c r="D44" s="282"/>
      <c r="E44" s="282"/>
      <c r="F44" s="283"/>
      <c r="G44" s="3253"/>
    </row>
    <row r="45" spans="1:7" s="258" customFormat="1" ht="13.5" customHeight="1">
      <c r="A45" s="948" t="s">
        <v>786</v>
      </c>
      <c r="B45" s="288" t="s">
        <v>112</v>
      </c>
      <c r="C45" s="289">
        <f>C46</f>
        <v>6669</v>
      </c>
      <c r="D45" s="279">
        <f>C47</f>
        <v>5.7000000000000002E-3</v>
      </c>
      <c r="E45" s="280" t="s">
        <v>129</v>
      </c>
      <c r="F45" s="290"/>
      <c r="G45" s="291" t="s">
        <v>1069</v>
      </c>
    </row>
    <row r="46" spans="1:7" s="258" customFormat="1" ht="13.5" customHeight="1">
      <c r="A46" s="951" t="s">
        <v>794</v>
      </c>
      <c r="B46" s="292" t="s">
        <v>1062</v>
      </c>
      <c r="C46" s="293">
        <f>ROUND((C33+C39)*F27,0)</f>
        <v>6669</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47996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47996</v>
      </c>
      <c r="D51" s="276"/>
      <c r="E51" s="276"/>
      <c r="F51" s="308"/>
      <c r="G51" s="278" t="s">
        <v>64</v>
      </c>
    </row>
    <row r="52" spans="1:7" s="252" customFormat="1" ht="16.5" thickBot="1">
      <c r="A52" s="309" t="s">
        <v>65</v>
      </c>
      <c r="B52" s="310"/>
      <c r="C52" s="311">
        <f ca="1">C31+C51</f>
        <v>82270</v>
      </c>
      <c r="D52" s="310"/>
      <c r="E52" s="310"/>
      <c r="F52" s="310"/>
      <c r="G52" s="312"/>
    </row>
    <row r="55" spans="1:7" ht="15">
      <c r="B55" s="314" t="s">
        <v>66</v>
      </c>
      <c r="C55" s="315"/>
    </row>
    <row r="56" spans="1:7">
      <c r="B56" s="317" t="s">
        <v>67</v>
      </c>
      <c r="C56" s="318">
        <f ca="1">ROUND(C51/C52,3)</f>
        <v>0.58299999999999996</v>
      </c>
    </row>
    <row r="57" spans="1:7">
      <c r="B57" s="317" t="s">
        <v>68</v>
      </c>
      <c r="C57" s="319">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94" t="s">
        <v>156</v>
      </c>
      <c r="B1" s="3394"/>
      <c r="C1" s="3394"/>
      <c r="D1" s="3394"/>
      <c r="E1" s="3394"/>
      <c r="F1" s="33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95" t="s">
        <v>169</v>
      </c>
      <c r="B2" s="3395"/>
      <c r="C2" s="3395"/>
      <c r="D2" s="3395"/>
      <c r="E2" s="3395"/>
      <c r="F2" s="33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94" t="s">
        <v>868</v>
      </c>
      <c r="B1" s="339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1637</v>
      </c>
      <c r="B2" s="3032" t="s">
        <v>1638</v>
      </c>
      <c r="C2" s="3032" t="s">
        <v>1639</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148075.10999999999</v>
      </c>
      <c r="C4" s="1044">
        <f>项目基本情况!C18</f>
        <v>164645</v>
      </c>
      <c r="D4" s="1044">
        <f ca="1">结果表!D118</f>
        <v>26666</v>
      </c>
      <c r="E4" s="1044">
        <f ca="1">结果表!E118</f>
        <v>1801</v>
      </c>
      <c r="F4" s="1044">
        <f ca="1">结果表!F118</f>
        <v>47613</v>
      </c>
      <c r="G4" s="1044">
        <f ca="1">结果表!G118</f>
        <v>3215</v>
      </c>
      <c r="H4" s="1044">
        <f ca="1">结果表!H118</f>
        <v>74279</v>
      </c>
      <c r="I4" s="1044">
        <f ca="1">结果表!I118</f>
        <v>5016</v>
      </c>
    </row>
    <row r="5" spans="1:9" ht="30" customHeight="1">
      <c r="A5" s="3033" t="s">
        <v>1636</v>
      </c>
      <c r="B5" s="3033"/>
      <c r="C5" s="3033"/>
      <c r="D5" s="3034" t="str">
        <f ca="1">结果表!D119</f>
        <v>贰亿陆仟陆佰陆拾陆万元整</v>
      </c>
      <c r="E5" s="3034"/>
      <c r="F5" s="3034" t="str">
        <f ca="1">结果表!F119</f>
        <v>肆亿柒仟陆佰壹拾叁万元整</v>
      </c>
      <c r="G5" s="3034"/>
      <c r="H5" s="3034" t="str">
        <f ca="1">结果表!H119</f>
        <v>柒亿肆仟贰佰柒拾玖万元整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1636</v>
      </c>
      <c r="B7" s="3033"/>
      <c r="C7" s="3033"/>
      <c r="D7" s="3036" t="str">
        <f>结果表!D121</f>
        <v>零元整</v>
      </c>
      <c r="E7" s="3037"/>
      <c r="F7" s="3037"/>
      <c r="G7" s="3037"/>
      <c r="H7" s="3037"/>
      <c r="I7" s="3038"/>
    </row>
    <row r="8" spans="1:9" ht="15.75">
      <c r="A8" s="3035" t="str">
        <f>结果表!A122</f>
        <v>房地产抵押价值</v>
      </c>
      <c r="B8" s="3035"/>
      <c r="C8" s="3035"/>
      <c r="D8" s="3035">
        <f ca="1">结果表!D122</f>
        <v>74279</v>
      </c>
      <c r="E8" s="3035"/>
      <c r="F8" s="3035"/>
      <c r="G8" s="3035"/>
      <c r="H8" s="3035"/>
      <c r="I8" s="3035"/>
    </row>
    <row r="9" spans="1:9" ht="15">
      <c r="A9" s="3033" t="s">
        <v>1636</v>
      </c>
      <c r="B9" s="3033"/>
      <c r="C9" s="3033"/>
      <c r="D9" s="3034" t="str">
        <f ca="1">结果表!D123</f>
        <v>柒亿肆仟贰佰柒拾玖万元整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1636</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1636</v>
      </c>
      <c r="B13" s="3039"/>
      <c r="C13" s="3039"/>
      <c r="D13" s="3040" t="e">
        <f>结果表!D127</f>
        <v>#VALUE!</v>
      </c>
      <c r="E13" s="3040"/>
      <c r="F13" s="3040"/>
      <c r="G13" s="3040"/>
      <c r="H13" s="3040"/>
      <c r="I13" s="3040"/>
    </row>
    <row r="14" spans="1:9" ht="15" thickTop="1">
      <c r="A14" s="3041" t="s">
        <v>1641</v>
      </c>
      <c r="B14" s="3041"/>
      <c r="C14" s="3041"/>
      <c r="D14" s="3041"/>
      <c r="E14" s="3041"/>
      <c r="F14" s="3041"/>
      <c r="G14" s="3041"/>
      <c r="H14" s="3041"/>
      <c r="I14" s="3041"/>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2" t="s">
        <v>1658</v>
      </c>
      <c r="B1" s="3042"/>
      <c r="C1" s="3042"/>
      <c r="D1" s="3042"/>
    </row>
    <row r="2" spans="1:4" ht="18">
      <c r="A2" s="3043" t="s">
        <v>1642</v>
      </c>
      <c r="B2" s="3043"/>
      <c r="C2" s="3043"/>
      <c r="D2" s="3043"/>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43" t="s">
        <v>1648</v>
      </c>
      <c r="B6" s="3043"/>
      <c r="C6" s="3043"/>
      <c r="D6" s="3043"/>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44" t="s">
        <v>1651</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5" t="str">
        <f>IF(项目基本情况!B8="抵押","4.本次评估估价师所知悉的法定优先受偿款情况说明如下：","——")</f>
        <v>4.本次评估估价师所知悉的法定优先受偿款情况说明如下：</v>
      </c>
      <c r="B14" s="3046"/>
      <c r="C14" s="3046"/>
      <c r="D14" s="3046"/>
    </row>
    <row r="15" spans="1:4" ht="42" customHeight="1">
      <c r="A15" s="3045"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45"/>
      <c r="C15" s="3045"/>
      <c r="D15" s="3045"/>
    </row>
    <row r="16" spans="1:4" ht="30" customHeight="1">
      <c r="A16" s="3048" t="s">
        <v>1652</v>
      </c>
      <c r="B16" s="3048"/>
      <c r="C16" s="3048"/>
      <c r="D16" s="3048"/>
    </row>
    <row r="17" spans="1:4" ht="144" customHeight="1">
      <c r="A17" s="3048" t="s">
        <v>1653</v>
      </c>
      <c r="B17" s="3048"/>
      <c r="C17" s="3048"/>
      <c r="D17" s="3048"/>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9"/>
      <c r="C21" s="3049"/>
      <c r="D21" s="3049"/>
    </row>
    <row r="22" spans="1:4" ht="18.75" customHeight="1">
      <c r="A22" s="3050" t="s">
        <v>1654</v>
      </c>
      <c r="B22" s="3050"/>
      <c r="C22" s="3050"/>
      <c r="D22" s="3050"/>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56" t="s">
        <v>1665</v>
      </c>
      <c r="B15" s="3051" t="s">
        <v>136</v>
      </c>
      <c r="C15" s="3052"/>
    </row>
    <row r="16" spans="1:7" ht="13.5">
      <c r="A16" s="3057"/>
      <c r="B16" s="3051" t="s">
        <v>69</v>
      </c>
      <c r="C16" s="3052"/>
    </row>
    <row r="17" spans="1:3" ht="13.5">
      <c r="A17" s="3057"/>
      <c r="B17" s="3054" t="s">
        <v>1666</v>
      </c>
      <c r="C17" s="1999" t="s">
        <v>1665</v>
      </c>
    </row>
    <row r="18" spans="1:3" ht="13.5">
      <c r="A18" s="3057"/>
      <c r="B18" s="3054"/>
      <c r="C18" s="1999" t="s">
        <v>1667</v>
      </c>
    </row>
    <row r="19" spans="1:3" ht="13.5">
      <c r="A19" s="3057"/>
      <c r="B19" s="3054"/>
      <c r="C19" s="1999" t="s">
        <v>1668</v>
      </c>
    </row>
    <row r="20" spans="1:3" ht="13.5">
      <c r="A20" s="3058"/>
      <c r="B20" s="3053" t="s">
        <v>1669</v>
      </c>
      <c r="C20" s="3052"/>
    </row>
    <row r="21" spans="1:3" ht="13.5">
      <c r="A21" s="2000" t="s">
        <v>1670</v>
      </c>
      <c r="B21" s="2001"/>
      <c r="C21" s="2002"/>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1999" t="s">
        <v>1676</v>
      </c>
    </row>
    <row r="26" spans="1:3" ht="13.5">
      <c r="A26" s="3055"/>
      <c r="B26" s="3054"/>
      <c r="C26" s="1999" t="s">
        <v>1677</v>
      </c>
    </row>
    <row r="27" spans="1:3" ht="13.5">
      <c r="A27" s="3055"/>
      <c r="B27" s="3054"/>
      <c r="C27" s="1999" t="s">
        <v>1678</v>
      </c>
    </row>
    <row r="28" spans="1:3" ht="13.5">
      <c r="A28" s="3055"/>
      <c r="B28" s="3054"/>
      <c r="C28" s="1999" t="s">
        <v>1679</v>
      </c>
    </row>
    <row r="29" spans="1:3" ht="13.5">
      <c r="A29" s="3055"/>
      <c r="B29" s="3054"/>
      <c r="C29" s="1999" t="s">
        <v>1680</v>
      </c>
    </row>
    <row r="30" spans="1:3" ht="13.5">
      <c r="A30" s="3055"/>
      <c r="B30" s="3054"/>
      <c r="C30" s="1999" t="s">
        <v>1681</v>
      </c>
    </row>
    <row r="31" spans="1:3" ht="13.5">
      <c r="A31" s="3055"/>
      <c r="B31" s="3054"/>
      <c r="C31" s="1999" t="s">
        <v>1682</v>
      </c>
    </row>
    <row r="32" spans="1:3" ht="13.5">
      <c r="A32" s="3055"/>
      <c r="B32" s="3054"/>
      <c r="C32" s="1999" t="s">
        <v>1683</v>
      </c>
    </row>
    <row r="33" spans="1:3" ht="13.5">
      <c r="A33" s="3055"/>
      <c r="B33" s="3054"/>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43612</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59" t="s">
        <v>843</v>
      </c>
      <c r="B25" s="3059"/>
      <c r="C25" s="3059"/>
      <c r="D25" s="3059"/>
      <c r="E25" s="3059"/>
      <c r="F25" s="3059"/>
      <c r="G25" s="3059"/>
    </row>
    <row r="26" spans="1:7" s="1025" customFormat="1" ht="24" customHeight="1">
      <c r="A26" s="3060" t="s">
        <v>844</v>
      </c>
      <c r="B26" s="3060"/>
      <c r="C26" s="3061"/>
      <c r="D26" s="3062" t="s">
        <v>845</v>
      </c>
      <c r="E26" s="3060"/>
      <c r="F26" s="3060"/>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2019-05-27T13:23:13Z</dcterms:modified>
</cp:coreProperties>
</file>