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6" i="1" l="1"/>
  <c r="C6" i="68"/>
  <c r="G60" i="43"/>
  <c r="G61" i="43"/>
  <c r="G62" i="43"/>
  <c r="G63" i="43"/>
  <c r="G64" i="43"/>
  <c r="G65" i="43"/>
  <c r="G66" i="43"/>
  <c r="G67" i="43"/>
  <c r="G59" i="43"/>
  <c r="G41" i="43"/>
  <c r="D39" i="43"/>
  <c r="D29" i="43"/>
  <c r="Q6" i="1"/>
  <c r="B59" i="1"/>
  <c r="G19" i="6"/>
  <c r="F19" i="6"/>
  <c r="AN17" i="3"/>
  <c r="C11" i="4"/>
  <c r="B7" i="4"/>
  <c r="G13" i="4" l="1"/>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BA5" i="3"/>
  <c r="E27" i="6"/>
  <c r="E11" i="6"/>
  <c r="E61" i="39"/>
  <c r="BL17" i="3"/>
  <c r="AZ17" i="3"/>
  <c r="BL13" i="3"/>
  <c r="E65" i="39"/>
  <c r="J56" i="9"/>
  <c r="J57" i="9" s="1"/>
  <c r="J59" i="9" s="1"/>
  <c r="J61" i="9" s="1"/>
  <c r="A24" i="51"/>
  <c r="B18" i="72"/>
  <c r="U29" i="34"/>
  <c r="E14" i="6"/>
  <c r="E64" i="39"/>
  <c r="E5" i="6"/>
  <c r="D9" i="11" s="1"/>
  <c r="C9" i="11" s="1"/>
  <c r="E32" i="6"/>
  <c r="L19" i="6"/>
  <c r="G1" i="68"/>
  <c r="K1" i="12"/>
  <c r="F30"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55" i="43"/>
  <c r="H56" i="43"/>
  <c r="H72" i="43"/>
  <c r="L20" i="6"/>
  <c r="E62" i="39"/>
  <c r="E56" i="39"/>
  <c r="E51" i="40"/>
  <c r="B6" i="1"/>
  <c r="E6" i="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E63" i="39"/>
  <c r="T11" i="1"/>
  <c r="D9" i="69"/>
  <c r="C9" i="69" s="1"/>
  <c r="D19" i="12"/>
  <c r="C19" i="12" s="1"/>
  <c r="AQ9" i="1"/>
  <c r="AR11" i="1"/>
  <c r="E59" i="40"/>
  <c r="T9" i="1"/>
  <c r="T13" i="1"/>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1" i="3"/>
  <c r="E130"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C36" i="69" s="1"/>
  <c r="Q16" i="1"/>
  <c r="F27" i="69" s="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51" i="43"/>
  <c r="M4" i="43"/>
  <c r="M5" i="43"/>
  <c r="N12" i="43"/>
  <c r="N11" i="43"/>
  <c r="M10" i="43"/>
  <c r="C6" i="43" s="1"/>
  <c r="M2" i="43"/>
  <c r="M7" i="43"/>
  <c r="H70" i="43"/>
  <c r="H54" i="43"/>
  <c r="N9" i="43"/>
  <c r="M8" i="43"/>
  <c r="N10" i="43"/>
  <c r="F59"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E68" i="39"/>
  <c r="F68" i="39" s="1"/>
  <c r="V14" i="71"/>
  <c r="C14" i="71"/>
  <c r="D15" i="71"/>
  <c r="I59" i="34"/>
  <c r="J59" i="34" s="1"/>
  <c r="D12" i="71"/>
  <c r="T14" i="71"/>
  <c r="D13" i="71"/>
  <c r="D14" i="71"/>
  <c r="U14" i="71"/>
  <c r="F8" i="67"/>
  <c r="D3" i="73"/>
  <c r="D4" i="73"/>
  <c r="AO11" i="1"/>
  <c r="AO8" i="1"/>
  <c r="F41" i="67"/>
  <c r="C76" i="15"/>
  <c r="F7" i="67"/>
  <c r="M23" i="67"/>
  <c r="F38" i="67"/>
  <c r="D6" i="73"/>
  <c r="B10" i="76"/>
  <c r="F9" i="15"/>
  <c r="F37" i="67"/>
  <c r="F42" i="15"/>
  <c r="F43" i="67"/>
  <c r="E7" i="76"/>
  <c r="M9" i="67"/>
  <c r="C76" i="67"/>
  <c r="F42" i="67"/>
  <c r="F8" i="15"/>
  <c r="M29" i="67"/>
  <c r="F36" i="15"/>
  <c r="E2" i="68"/>
  <c r="F40" i="15"/>
  <c r="F35" i="67"/>
  <c r="F20" i="31"/>
  <c r="B9" i="76"/>
  <c r="L47" i="67"/>
  <c r="D2" i="35"/>
  <c r="D2" i="37"/>
  <c r="F43" i="15"/>
  <c r="E13" i="76"/>
  <c r="D2" i="21"/>
  <c r="F16" i="67"/>
  <c r="F37" i="15"/>
  <c r="M21" i="67"/>
  <c r="M23" i="15"/>
  <c r="E2" i="69"/>
  <c r="F40" i="67"/>
  <c r="F5" i="73"/>
  <c r="J15" i="67"/>
  <c r="M26" i="67"/>
  <c r="B12" i="76"/>
  <c r="D2" i="34"/>
  <c r="D2" i="36"/>
  <c r="F6" i="67"/>
  <c r="E9" i="76"/>
  <c r="AO12" i="1"/>
  <c r="M29" i="15"/>
  <c r="B7" i="76"/>
  <c r="F13" i="15"/>
  <c r="L48" i="15"/>
  <c r="F3" i="73"/>
  <c r="M22" i="15"/>
  <c r="M9" i="15"/>
  <c r="F16" i="15"/>
  <c r="M6" i="67"/>
  <c r="D5" i="73"/>
  <c r="D7" i="73"/>
  <c r="D2" i="33"/>
  <c r="L48" i="67"/>
  <c r="E11" i="76"/>
  <c r="M24" i="67"/>
  <c r="M28" i="15"/>
  <c r="M27" i="67"/>
  <c r="B8" i="76"/>
  <c r="AO10" i="1"/>
  <c r="F7" i="73"/>
  <c r="AO9" i="1"/>
  <c r="M24" i="15"/>
  <c r="F13" i="67"/>
  <c r="F9" i="67"/>
  <c r="E8" i="76"/>
  <c r="F6" i="73"/>
  <c r="B13" i="76"/>
  <c r="J15" i="15"/>
  <c r="E10" i="76"/>
  <c r="F38" i="15"/>
  <c r="F36" i="67"/>
  <c r="M26" i="15"/>
  <c r="F4" i="73"/>
  <c r="AO13" i="1"/>
  <c r="B11" i="76"/>
  <c r="F26" i="67"/>
  <c r="M8" i="67"/>
  <c r="AO7" i="1"/>
  <c r="E12" i="76"/>
  <c r="M8" i="15"/>
  <c r="F7" i="15"/>
  <c r="M27" i="15"/>
  <c r="F26" i="15"/>
  <c r="F6" i="15"/>
  <c r="L47" i="15"/>
  <c r="M28" i="67"/>
  <c r="M6" i="15"/>
  <c r="M22" i="67"/>
  <c r="C5" i="11" l="1"/>
  <c r="D64" i="43"/>
  <c r="D60" i="43"/>
  <c r="E59" i="43" s="1"/>
  <c r="B57" i="43" s="1"/>
  <c r="C24" i="43" s="1"/>
  <c r="N65" i="43"/>
  <c r="C20" i="43"/>
  <c r="H62" i="43"/>
  <c r="H65" i="43"/>
  <c r="H63" i="43"/>
  <c r="H59" i="43"/>
  <c r="H61" i="43"/>
  <c r="H67" i="43"/>
  <c r="H60" i="43"/>
  <c r="H66" i="43"/>
  <c r="H64" i="43"/>
  <c r="G17" i="43"/>
  <c r="C16" i="43" s="1"/>
  <c r="D5" i="43" s="1"/>
  <c r="P61" i="15"/>
  <c r="C94" i="9"/>
  <c r="C92" i="9"/>
  <c r="F30" i="69"/>
  <c r="F48" i="69" s="1"/>
  <c r="M18" i="15"/>
  <c r="F52" i="9"/>
  <c r="C30" i="11"/>
  <c r="F54" i="9"/>
  <c r="F32" i="15"/>
  <c r="F60" i="15" s="1"/>
  <c r="F32" i="67"/>
  <c r="F60" i="67" s="1"/>
  <c r="F28" i="67"/>
  <c r="C28" i="67" s="1"/>
  <c r="C77" i="9"/>
  <c r="C74" i="9" s="1"/>
  <c r="C13" i="12"/>
  <c r="D68" i="9"/>
  <c r="F28" i="15"/>
  <c r="C28" i="15" s="1"/>
  <c r="M18" i="67"/>
  <c r="F31" i="12"/>
  <c r="F30" i="68"/>
  <c r="F53" i="9"/>
  <c r="C21" i="69"/>
  <c r="D22" i="67"/>
  <c r="F28" i="12"/>
  <c r="H16" i="1"/>
  <c r="E215" i="3"/>
  <c r="AT6" i="3"/>
  <c r="E298"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216" i="3"/>
  <c r="E134"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F27" i="11"/>
  <c r="C47" i="11" s="1"/>
  <c r="D45" i="11" s="1"/>
  <c r="F27" i="68"/>
  <c r="F45" i="68" s="1"/>
  <c r="E189" i="3"/>
  <c r="E230" i="3"/>
  <c r="G30" i="6"/>
  <c r="G31" i="6" s="1"/>
  <c r="E28" i="6"/>
  <c r="K24" i="6"/>
  <c r="M24" i="6" s="1"/>
  <c r="I24" i="6" s="1"/>
  <c r="S24" i="6" s="1"/>
  <c r="P7" i="1"/>
  <c r="BL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66" i="39"/>
  <c r="AZ5" i="3"/>
  <c r="AY6" i="3" s="1"/>
  <c r="F31" i="6"/>
  <c r="E30" i="6"/>
  <c r="E31" i="6" s="1"/>
  <c r="P6" i="1"/>
  <c r="O12" i="1"/>
  <c r="P12" i="1" s="1"/>
  <c r="O8"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5" i="43"/>
  <c r="A19" i="51"/>
  <c r="B14" i="72" s="1"/>
  <c r="T35" i="4"/>
  <c r="D19" i="53"/>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9" i="71"/>
  <c r="C8" i="71"/>
  <c r="Y10" i="71"/>
  <c r="Z10" i="71" s="1"/>
  <c r="Y9" i="71"/>
  <c r="AA10" i="71"/>
  <c r="AB3" i="71"/>
  <c r="C29" i="69"/>
  <c r="D27" i="69" s="1"/>
  <c r="B10" i="71"/>
  <c r="B9" i="71" s="1"/>
  <c r="B8" i="71" s="1"/>
  <c r="B7" i="71" s="1"/>
  <c r="B6" i="71" s="1"/>
  <c r="B5" i="71" s="1"/>
  <c r="X10" i="71"/>
  <c r="AB10" i="71"/>
  <c r="Z9" i="71"/>
  <c r="Y3" i="71"/>
  <c r="Z3" i="71" s="1"/>
  <c r="D10" i="71"/>
  <c r="F10" i="7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4" i="15"/>
  <c r="C16" i="15"/>
  <c r="G1" i="73"/>
  <c r="C14" i="67"/>
  <c r="C17" i="67"/>
  <c r="C17" i="15"/>
  <c r="C16" i="67"/>
  <c r="C5" i="43" l="1"/>
  <c r="T13" i="43" s="1"/>
  <c r="V13" i="43" s="1"/>
  <c r="C36" i="43"/>
  <c r="G36" i="43" s="1"/>
  <c r="I36" i="43" s="1"/>
  <c r="C34" i="43"/>
  <c r="E34" i="43" s="1"/>
  <c r="C35" i="43"/>
  <c r="E35" i="43" s="1"/>
  <c r="C39" i="43"/>
  <c r="G39" i="43" s="1"/>
  <c r="I39" i="43" s="1"/>
  <c r="C33" i="43"/>
  <c r="G33" i="43" s="1"/>
  <c r="I33" i="43" s="1"/>
  <c r="C38" i="43"/>
  <c r="G38" i="43" s="1"/>
  <c r="I38" i="43" s="1"/>
  <c r="T15" i="43"/>
  <c r="V15" i="43" s="1"/>
  <c r="T12" i="43"/>
  <c r="V12" i="43" s="1"/>
  <c r="T16" i="43"/>
  <c r="V16" i="43" s="1"/>
  <c r="C48" i="69"/>
  <c r="C30" i="69"/>
  <c r="F48" i="68"/>
  <c r="C30" i="68"/>
  <c r="C48" i="68"/>
  <c r="C47" i="68"/>
  <c r="D45" i="68" s="1"/>
  <c r="E3" i="6"/>
  <c r="H6" i="3"/>
  <c r="K20" i="6"/>
  <c r="M20" i="6" s="1"/>
  <c r="I20" i="6" s="1"/>
  <c r="S20" i="6" s="1"/>
  <c r="K21" i="6"/>
  <c r="M21" i="6" s="1"/>
  <c r="I21" i="6" s="1"/>
  <c r="S21" i="6" s="1"/>
  <c r="K26" i="6"/>
  <c r="M26" i="6" s="1"/>
  <c r="I26" i="6" s="1"/>
  <c r="S26" i="6" s="1"/>
  <c r="K19" i="6"/>
  <c r="S6" i="1" s="1"/>
  <c r="K25" i="6"/>
  <c r="M25" i="6" s="1"/>
  <c r="I25" i="6" s="1"/>
  <c r="S25" i="6" s="1"/>
  <c r="K14" i="1"/>
  <c r="K22" i="6"/>
  <c r="M22" i="6" s="1"/>
  <c r="I22" i="6" s="1"/>
  <c r="S22" i="6" s="1"/>
  <c r="K23" i="6"/>
  <c r="M23" i="6" s="1"/>
  <c r="I23" i="6" s="1"/>
  <c r="S23" i="6" s="1"/>
  <c r="AC6" i="3"/>
  <c r="E6" i="3" s="1"/>
  <c r="C15" i="15"/>
  <c r="C18" i="15"/>
  <c r="D3" i="21"/>
  <c r="D19" i="11"/>
  <c r="C19" i="11" s="1"/>
  <c r="C17" i="4"/>
  <c r="B4" i="52" s="1"/>
  <c r="B43" i="72" s="1"/>
  <c r="L18" i="9"/>
  <c r="D3" i="37"/>
  <c r="D3" i="33"/>
  <c r="D37" i="11"/>
  <c r="M18" i="9"/>
  <c r="B118" i="9" s="1"/>
  <c r="B14" i="74" s="1"/>
  <c r="B1" i="74" s="1"/>
  <c r="E6" i="6"/>
  <c r="D14" i="12"/>
  <c r="D3" i="34"/>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98" i="3"/>
  <c r="AY82" i="3"/>
  <c r="AY18" i="3"/>
  <c r="AY191" i="3"/>
  <c r="AY171" i="3"/>
  <c r="AY132" i="3"/>
  <c r="AY90" i="3"/>
  <c r="AY31" i="3"/>
  <c r="AY163" i="3"/>
  <c r="AY292" i="3"/>
  <c r="AY75" i="3"/>
  <c r="AY147" i="3"/>
  <c r="AY237" i="3"/>
  <c r="AY220" i="3"/>
  <c r="AY387" i="3"/>
  <c r="AY350" i="3"/>
  <c r="AY334" i="3"/>
  <c r="AY486" i="3"/>
  <c r="AY444" i="3"/>
  <c r="AY425"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67" i="3"/>
  <c r="AY196" i="3"/>
  <c r="AY139" i="3"/>
  <c r="AY74" i="3"/>
  <c r="AY123" i="3"/>
  <c r="AY204" i="3"/>
  <c r="AY252" i="3"/>
  <c r="AY363" i="3"/>
  <c r="AY489" i="3"/>
  <c r="AY412"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2" i="3"/>
  <c r="AY21" i="3"/>
  <c r="AY205" i="3"/>
  <c r="AY174" i="3"/>
  <c r="AY142" i="3"/>
  <c r="AY103" i="3"/>
  <c r="AY50" i="3"/>
  <c r="AY160" i="3"/>
  <c r="AY289" i="3"/>
  <c r="AY183" i="3"/>
  <c r="AY261" i="3"/>
  <c r="AY284" i="3"/>
  <c r="AY209" i="3"/>
  <c r="AY319" i="3"/>
  <c r="AY455" i="3"/>
  <c r="AY497"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6" i="43"/>
  <c r="D102" i="43"/>
  <c r="D105" i="43"/>
  <c r="D107" i="43"/>
  <c r="D22" i="43"/>
  <c r="F107" i="43"/>
  <c r="F106" i="43"/>
  <c r="F103" i="43"/>
  <c r="F109" i="43"/>
  <c r="F104" i="43"/>
  <c r="F102" i="43"/>
  <c r="F105" i="43"/>
  <c r="E36" i="43"/>
  <c r="C37" i="43"/>
  <c r="E37" i="43" s="1"/>
  <c r="J10" i="39"/>
  <c r="AC10" i="39" s="1"/>
  <c r="H10" i="40"/>
  <c r="AB10" i="40" s="1"/>
  <c r="H10" i="39"/>
  <c r="AB10" i="39" s="1"/>
  <c r="J10" i="40"/>
  <c r="AC10" i="40" s="1"/>
  <c r="F10" i="40"/>
  <c r="S10" i="40" s="1"/>
  <c r="B38" i="72"/>
  <c r="D20" i="53"/>
  <c r="B40" i="72"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8" i="71"/>
  <c r="C7" i="71"/>
  <c r="M17" i="67"/>
  <c r="M17" i="15"/>
  <c r="F59" i="15"/>
  <c r="P24" i="43"/>
  <c r="B66" i="40" s="1"/>
  <c r="P21" i="43"/>
  <c r="C49" i="67"/>
  <c r="E39" i="43"/>
  <c r="P25" i="43"/>
  <c r="P23" i="43"/>
  <c r="B71" i="39" s="1"/>
  <c r="G34" i="43"/>
  <c r="I34"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38" i="43" l="1"/>
  <c r="T10" i="43"/>
  <c r="V10" i="43" s="1"/>
  <c r="T8" i="43"/>
  <c r="V8" i="43" s="1"/>
  <c r="T9" i="43"/>
  <c r="V9" i="43" s="1"/>
  <c r="T11" i="43"/>
  <c r="V11" i="43" s="1"/>
  <c r="T14" i="43"/>
  <c r="V14" i="43" s="1"/>
  <c r="G35" i="43"/>
  <c r="I35" i="43" s="1"/>
  <c r="G37" i="43"/>
  <c r="I37" i="43" s="1"/>
  <c r="U10" i="40"/>
  <c r="W10" i="40"/>
  <c r="C19" i="15"/>
  <c r="C20" i="15" s="1"/>
  <c r="C26" i="15" s="1"/>
  <c r="AR6" i="1"/>
  <c r="S16" i="1"/>
  <c r="AQ6" i="1"/>
  <c r="T6" i="1"/>
  <c r="M14" i="1"/>
  <c r="C34" i="69"/>
  <c r="K16" i="1"/>
  <c r="M19" i="6"/>
  <c r="K27" i="6"/>
  <c r="W10" i="39"/>
  <c r="U10" i="39"/>
  <c r="D17" i="12"/>
  <c r="C17" i="12" s="1"/>
  <c r="C7" i="74"/>
  <c r="C8" i="74"/>
  <c r="C20" i="11"/>
  <c r="D19" i="6"/>
  <c r="D26" i="6"/>
  <c r="C18" i="4"/>
  <c r="D8" i="6"/>
  <c r="D23" i="6"/>
  <c r="D14" i="6"/>
  <c r="D5" i="6"/>
  <c r="D12" i="6"/>
  <c r="D11" i="6"/>
  <c r="D13" i="6"/>
  <c r="D28" i="6"/>
  <c r="E61" i="40"/>
  <c r="H23" i="6"/>
  <c r="R23" i="6" s="1"/>
  <c r="H26" i="6"/>
  <c r="H20" i="6"/>
  <c r="M19" i="9"/>
  <c r="C118" i="9" s="1"/>
  <c r="C14" i="74" s="1"/>
  <c r="B2" i="74" s="1"/>
  <c r="D15" i="6"/>
  <c r="D21" i="6"/>
  <c r="D20" i="6"/>
  <c r="R20" i="6" s="1"/>
  <c r="D6" i="6"/>
  <c r="D10" i="6"/>
  <c r="D29" i="6"/>
  <c r="H22" i="6"/>
  <c r="H24" i="6"/>
  <c r="D25" i="6"/>
  <c r="D22" i="6"/>
  <c r="D24" i="6"/>
  <c r="D9" i="6"/>
  <c r="L19" i="9"/>
  <c r="H25" i="6"/>
  <c r="H21" i="6"/>
  <c r="D10" i="11"/>
  <c r="C10" i="11" s="1"/>
  <c r="D20" i="12"/>
  <c r="C20" i="12" s="1"/>
  <c r="D10" i="68"/>
  <c r="D10" i="69"/>
  <c r="C115" i="43"/>
  <c r="D113" i="43" s="1"/>
  <c r="S5" i="43"/>
  <c r="T5" i="43" s="1"/>
  <c r="V5" i="43" s="1"/>
  <c r="S3" i="43"/>
  <c r="T3" i="43" s="1"/>
  <c r="V3" i="43" s="1"/>
  <c r="S2" i="43"/>
  <c r="T2" i="43" s="1"/>
  <c r="V2" i="43" s="1"/>
  <c r="C23" i="43"/>
  <c r="C21" i="43" s="1"/>
  <c r="C29" i="43" s="1"/>
  <c r="S7" i="43"/>
  <c r="T7" i="43" s="1"/>
  <c r="V7" i="43" s="1"/>
  <c r="S6" i="43"/>
  <c r="T6" i="43" s="1"/>
  <c r="V6" i="43" s="1"/>
  <c r="S4" i="43"/>
  <c r="T4" i="43" s="1"/>
  <c r="V4" i="43" s="1"/>
  <c r="AA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8" i="12" l="1"/>
  <c r="M16" i="1"/>
  <c r="O14" i="1"/>
  <c r="T16" i="1"/>
  <c r="M27" i="6"/>
  <c r="I19" i="6"/>
  <c r="C35" i="69"/>
  <c r="C38" i="69"/>
  <c r="D16" i="6"/>
  <c r="D30" i="6"/>
  <c r="R22" i="6"/>
  <c r="R21" i="6"/>
  <c r="C10" i="69"/>
  <c r="C8" i="69" s="1"/>
  <c r="C5" i="69" s="1"/>
  <c r="C23" i="69" s="1"/>
  <c r="D19" i="69"/>
  <c r="R24" i="6"/>
  <c r="R25" i="6"/>
  <c r="R26" i="6"/>
  <c r="C10" i="68"/>
  <c r="B29" i="1" s="1"/>
  <c r="C8" i="68" s="1"/>
  <c r="C5" i="68" s="1"/>
  <c r="D19" i="68"/>
  <c r="D7" i="74"/>
  <c r="D8" i="74"/>
  <c r="C4" i="52"/>
  <c r="B45" i="72" s="1"/>
  <c r="A10" i="51"/>
  <c r="B9" i="72" s="1"/>
  <c r="A7" i="51"/>
  <c r="B7" i="72" s="1"/>
  <c r="D27" i="6"/>
  <c r="D31" i="6" s="1"/>
  <c r="C30" i="43"/>
  <c r="E30" i="43" s="1"/>
  <c r="C27" i="43" s="1"/>
  <c r="E29" i="43"/>
  <c r="C26" i="43" s="1"/>
  <c r="B2"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38" i="67"/>
  <c r="C38" i="15"/>
  <c r="C66" i="67"/>
  <c r="C60" i="67"/>
  <c r="C23" i="67"/>
  <c r="C29" i="67" s="1"/>
  <c r="E6" i="76"/>
  <c r="B6" i="76"/>
  <c r="P14" i="1" l="1"/>
  <c r="P16" i="1" s="1"/>
  <c r="C11" i="12" s="1"/>
  <c r="O16" i="1"/>
  <c r="S19" i="6"/>
  <c r="S27" i="6" s="1"/>
  <c r="I27" i="6"/>
  <c r="H19" i="6"/>
  <c r="N16" i="1"/>
  <c r="B21" i="1" s="1"/>
  <c r="L16" i="1"/>
  <c r="I6" i="6"/>
  <c r="I5" i="6"/>
  <c r="C19" i="68"/>
  <c r="D37" i="68"/>
  <c r="C19" i="69"/>
  <c r="C24" i="69" s="1"/>
  <c r="D37" i="69"/>
  <c r="C37" i="69" s="1"/>
  <c r="C33" i="69" s="1"/>
  <c r="C20" i="69"/>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C36" i="67"/>
  <c r="C33" i="67"/>
  <c r="C31" i="67" s="1"/>
  <c r="J14" i="67"/>
  <c r="C13" i="67"/>
  <c r="J19" i="67"/>
  <c r="J17" i="67" s="1"/>
  <c r="C57" i="67"/>
  <c r="C61" i="67" s="1"/>
  <c r="Q49" i="67"/>
  <c r="J59" i="67"/>
  <c r="B24" i="1" l="1"/>
  <c r="F50" i="68" s="1"/>
  <c r="B23" i="1"/>
  <c r="C29" i="11"/>
  <c r="D27" i="11" s="1"/>
  <c r="C29" i="68"/>
  <c r="D27" i="68" s="1"/>
  <c r="C28" i="11"/>
  <c r="C27" i="11" s="1"/>
  <c r="C44" i="68"/>
  <c r="D41" i="68" s="1"/>
  <c r="C44" i="11"/>
  <c r="D41" i="11" s="1"/>
  <c r="C24" i="11"/>
  <c r="F50" i="69"/>
  <c r="H27" i="6"/>
  <c r="R19" i="6"/>
  <c r="C12" i="12"/>
  <c r="C15" i="12"/>
  <c r="B3" i="76"/>
  <c r="C28" i="69"/>
  <c r="C27" i="69" s="1"/>
  <c r="C25" i="69"/>
  <c r="C22" i="69" s="1"/>
  <c r="C39" i="69"/>
  <c r="C43" i="69" s="1"/>
  <c r="C42" i="69"/>
  <c r="C20" i="68"/>
  <c r="C25" i="68" s="1"/>
  <c r="C24" i="68"/>
  <c r="K70" i="39"/>
  <c r="L68" i="39"/>
  <c r="I63" i="40"/>
  <c r="H65" i="40"/>
  <c r="I58" i="21"/>
  <c r="J58" i="21" s="1"/>
  <c r="K58" i="21" s="1"/>
  <c r="L58" i="21" s="1"/>
  <c r="M58" i="21" s="1"/>
  <c r="N58" i="21" s="1"/>
  <c r="O58" i="21" s="1"/>
  <c r="H7" i="21" s="1"/>
  <c r="J7" i="21"/>
  <c r="F7" i="21"/>
  <c r="J48" i="35"/>
  <c r="J13" i="67"/>
  <c r="J23" i="67" s="1"/>
  <c r="J22" i="67"/>
  <c r="C59" i="67"/>
  <c r="C64" i="67"/>
  <c r="C64" i="15"/>
  <c r="C56" i="67"/>
  <c r="C65" i="67" s="1"/>
  <c r="C75" i="67"/>
  <c r="Q70" i="67"/>
  <c r="C37" i="67"/>
  <c r="C30" i="67" s="1"/>
  <c r="C39" i="67" s="1"/>
  <c r="C56" i="15"/>
  <c r="C65" i="15" s="1"/>
  <c r="Q70" i="15"/>
  <c r="C37" i="15"/>
  <c r="C75" i="15"/>
  <c r="J22" i="15"/>
  <c r="J13" i="15"/>
  <c r="J23" i="15" s="1"/>
  <c r="L51" i="67"/>
  <c r="F50" i="11" l="1"/>
  <c r="C23" i="68"/>
  <c r="C22" i="68" s="1"/>
  <c r="C23" i="11"/>
  <c r="C25" i="11"/>
  <c r="C26" i="68"/>
  <c r="D22" i="68" s="1"/>
  <c r="C26" i="11"/>
  <c r="D22" i="11" s="1"/>
  <c r="F11" i="12"/>
  <c r="F34" i="11"/>
  <c r="F34" i="68"/>
  <c r="M59" i="15"/>
  <c r="L59" i="15" s="1"/>
  <c r="J53" i="67"/>
  <c r="J53" i="15"/>
  <c r="M59" i="67"/>
  <c r="C29" i="12"/>
  <c r="D28" i="12" s="1"/>
  <c r="C26" i="12"/>
  <c r="D25" i="12" s="1"/>
  <c r="C41" i="69"/>
  <c r="C31" i="69"/>
  <c r="R27" i="6"/>
  <c r="R6" i="1"/>
  <c r="C28" i="68"/>
  <c r="C27" i="68"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Q74" i="15" l="1"/>
  <c r="Q61" i="15"/>
  <c r="J20" i="15"/>
  <c r="J17" i="15" s="1"/>
  <c r="J16" i="15" s="1"/>
  <c r="J25" i="15" s="1"/>
  <c r="C34" i="15"/>
  <c r="C31" i="15" s="1"/>
  <c r="C30" i="15" s="1"/>
  <c r="C39" i="15" s="1"/>
  <c r="F63" i="15"/>
  <c r="C62" i="15" s="1"/>
  <c r="C59" i="15" s="1"/>
  <c r="C58" i="15" s="1"/>
  <c r="C67" i="15" s="1"/>
  <c r="R16" i="1"/>
  <c r="C31" i="68"/>
  <c r="L56" i="15"/>
  <c r="F1" i="15"/>
  <c r="Q52" i="15"/>
  <c r="J60" i="15"/>
  <c r="C36" i="11"/>
  <c r="C37" i="11"/>
  <c r="C34" i="11"/>
  <c r="C22" i="11"/>
  <c r="C31" i="11" s="1"/>
  <c r="Q52" i="67"/>
  <c r="F1" i="67"/>
  <c r="J60" i="67"/>
  <c r="C36" i="68"/>
  <c r="C34" i="68"/>
  <c r="C37" i="68"/>
  <c r="C14" i="12"/>
  <c r="C16" i="12" s="1"/>
  <c r="C21" i="12" s="1"/>
  <c r="C49" i="69"/>
  <c r="C51" i="69" s="1"/>
  <c r="C52" i="69" s="1"/>
  <c r="B2" i="69" s="1"/>
  <c r="B3" i="69"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L51" i="15"/>
  <c r="AE6" i="1"/>
  <c r="Q67" i="15" l="1"/>
  <c r="L57" i="15"/>
  <c r="L60" i="15" s="1"/>
  <c r="Q57" i="15" s="1"/>
  <c r="C80" i="15"/>
  <c r="C79" i="15" s="1"/>
  <c r="Q69" i="15"/>
  <c r="Q68" i="15" s="1"/>
  <c r="C57" i="69"/>
  <c r="C56" i="69" s="1"/>
  <c r="C38" i="68"/>
  <c r="C35" i="68"/>
  <c r="L46" i="67"/>
  <c r="D2" i="67" s="1"/>
  <c r="B3" i="67" s="1"/>
  <c r="Q48" i="67"/>
  <c r="Q53" i="67" s="1"/>
  <c r="C22" i="12"/>
  <c r="L46" i="15"/>
  <c r="Q48" i="15"/>
  <c r="C38" i="11"/>
  <c r="C35" i="1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F41" i="15"/>
  <c r="J29" i="15" l="1"/>
  <c r="F69" i="15"/>
  <c r="C68" i="15" s="1"/>
  <c r="C40" i="15"/>
  <c r="Q56" i="15" s="1"/>
  <c r="Q62" i="15" s="1"/>
  <c r="B2" i="67"/>
  <c r="B2" i="15"/>
  <c r="B3" i="15" s="1"/>
  <c r="C6" i="12" s="1"/>
  <c r="C71" i="15"/>
  <c r="C46" i="15"/>
  <c r="C33" i="68"/>
  <c r="C39" i="68" s="1"/>
  <c r="C46" i="68" s="1"/>
  <c r="C45" i="68" s="1"/>
  <c r="C33" i="11"/>
  <c r="C39" i="11" s="1"/>
  <c r="C43" i="11" s="1"/>
  <c r="H7" i="39"/>
  <c r="J7" i="39"/>
  <c r="AA7" i="39"/>
  <c r="R47" i="39" s="1"/>
  <c r="S7" i="39"/>
  <c r="R39" i="35"/>
  <c r="E38" i="35"/>
  <c r="M63" i="40"/>
  <c r="L65" i="40"/>
  <c r="AO6" i="1"/>
  <c r="Q65" i="15" l="1"/>
  <c r="Q75" i="15" s="1"/>
  <c r="C43" i="15"/>
  <c r="Q47" i="15"/>
  <c r="Q53" i="15" s="1"/>
  <c r="C83" i="15"/>
  <c r="C82" i="15" s="1"/>
  <c r="C42" i="68"/>
  <c r="B6" i="70"/>
  <c r="B2" i="70" s="1"/>
  <c r="B3" i="70" s="1"/>
  <c r="C8" i="12"/>
  <c r="C4" i="12" s="1"/>
  <c r="C46" i="11"/>
  <c r="C45" i="11" s="1"/>
  <c r="C42" i="11"/>
  <c r="C41" i="11" s="1"/>
  <c r="C43" i="68"/>
  <c r="E47" i="39"/>
  <c r="R48" i="39"/>
  <c r="W7" i="39"/>
  <c r="AC7" i="39"/>
  <c r="V47" i="39" s="1"/>
  <c r="I47" i="39" s="1"/>
  <c r="U7" i="39"/>
  <c r="AB7" i="39"/>
  <c r="T47" i="39" s="1"/>
  <c r="G47" i="39" s="1"/>
  <c r="C39" i="35"/>
  <c r="B2" i="35" s="1"/>
  <c r="B3" i="35" s="1"/>
  <c r="C38" i="35"/>
  <c r="N63" i="40"/>
  <c r="M65" i="40"/>
  <c r="E43" i="35"/>
  <c r="F43" i="35" s="1"/>
  <c r="E42" i="35"/>
  <c r="F42" i="35" s="1"/>
  <c r="I43" i="35"/>
  <c r="J43" i="35" s="1"/>
  <c r="C41" i="68" l="1"/>
  <c r="C49" i="68" s="1"/>
  <c r="C51" i="68" s="1"/>
  <c r="C52" i="68" s="1"/>
  <c r="B2" i="68" s="1"/>
  <c r="C49" i="11"/>
  <c r="C51" i="11" s="1"/>
  <c r="C52" i="11" s="1"/>
  <c r="B2" i="11" s="1"/>
  <c r="B3" i="11" s="1"/>
  <c r="C31" i="12"/>
  <c r="C23" i="12"/>
  <c r="E52" i="39"/>
  <c r="F52" i="39" s="1"/>
  <c r="E51" i="39"/>
  <c r="F51" i="39" s="1"/>
  <c r="G51" i="39"/>
  <c r="H51" i="39" s="1"/>
  <c r="G52" i="39"/>
  <c r="H52" i="39" s="1"/>
  <c r="I51" i="39"/>
  <c r="J51" i="39" s="1"/>
  <c r="I52" i="39"/>
  <c r="J52" i="39" s="1"/>
  <c r="C48" i="39"/>
  <c r="C47" i="39"/>
  <c r="O63" i="40"/>
  <c r="O65" i="40" s="1"/>
  <c r="N65" i="40"/>
  <c r="C19" i="9"/>
  <c r="C27" i="12" l="1"/>
  <c r="C25" i="12" s="1"/>
  <c r="C30" i="12"/>
  <c r="C28" i="12" s="1"/>
  <c r="C102" i="9"/>
  <c r="C21" i="9"/>
  <c r="B3" i="68"/>
  <c r="C56" i="11"/>
  <c r="C57" i="11" s="1"/>
  <c r="C57" i="68"/>
  <c r="C56"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C20" i="9"/>
  <c r="C32" i="12" l="1"/>
  <c r="B2" i="12" s="1"/>
  <c r="C103" i="9"/>
  <c r="U7" i="40"/>
  <c r="AB7" i="40"/>
  <c r="T42" i="40" s="1"/>
  <c r="G42" i="40" s="1"/>
  <c r="AA7" i="40"/>
  <c r="R42" i="40" s="1"/>
  <c r="S7" i="40"/>
  <c r="AC7" i="40"/>
  <c r="V42" i="40" s="1"/>
  <c r="I42" i="40" s="1"/>
  <c r="W7" i="40"/>
  <c r="D19" i="9"/>
  <c r="D21" i="9" l="1"/>
  <c r="D102" i="9"/>
  <c r="D22" i="9"/>
  <c r="G19" i="9"/>
  <c r="G21" i="9" s="1"/>
  <c r="B3" i="12"/>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I118" i="9" s="1"/>
  <c r="F4" i="52"/>
  <c r="B51" i="72" s="1"/>
  <c r="D4" i="52" l="1"/>
  <c r="B47" i="72" s="1"/>
  <c r="H4" i="52"/>
  <c r="H119" i="9"/>
  <c r="H5" i="52" s="1"/>
  <c r="D14" i="74"/>
  <c r="H102" i="9"/>
  <c r="D7" i="53" s="1"/>
  <c r="B21" i="72" s="1"/>
  <c r="C105" i="9"/>
  <c r="E118" i="9"/>
  <c r="E4" i="52" s="1"/>
  <c r="B48" i="72" s="1"/>
  <c r="I4" i="52"/>
  <c r="C104" i="9"/>
  <c r="H101" i="9"/>
  <c r="F119" i="9"/>
  <c r="F5" i="52" s="1"/>
  <c r="B53" i="72" s="1"/>
  <c r="B5" i="74" l="1"/>
  <c r="F14" i="74"/>
  <c r="E14" i="74"/>
  <c r="D45" i="9"/>
  <c r="D5" i="53"/>
  <c r="M48" i="9"/>
  <c r="H107" i="9"/>
  <c r="D5" i="74" l="1"/>
  <c r="C5" i="74"/>
  <c r="D53" i="9"/>
  <c r="D55" i="9"/>
  <c r="M53" i="9" s="1"/>
  <c r="C64" i="9"/>
  <c r="C63" i="9" s="1"/>
  <c r="C67" i="9" s="1"/>
  <c r="D52" i="9"/>
  <c r="C72" i="9"/>
  <c r="C78" i="9"/>
  <c r="C73" i="9" s="1"/>
  <c r="C85" i="9"/>
  <c r="C93" i="9"/>
  <c r="C86" i="9" s="1"/>
  <c r="M49" i="9"/>
  <c r="H108" i="9"/>
  <c r="D15" i="53" s="1"/>
  <c r="B31" i="72" s="1"/>
  <c r="D122" i="9"/>
  <c r="D13" i="53"/>
  <c r="D6" i="53"/>
  <c r="B22" i="72" s="1"/>
  <c r="B20" i="72"/>
  <c r="C79" i="9" l="1"/>
  <c r="C80" i="9" s="1"/>
  <c r="C95" i="9"/>
  <c r="L63" i="9"/>
  <c r="M63" i="9" s="1"/>
  <c r="L67" i="9"/>
  <c r="M67" i="9" s="1"/>
  <c r="L64" i="9"/>
  <c r="M64" i="9" s="1"/>
  <c r="L65" i="9"/>
  <c r="M65" i="9" s="1"/>
  <c r="L66" i="9"/>
  <c r="M66" i="9" s="1"/>
  <c r="L68" i="9"/>
  <c r="M68" i="9" s="1"/>
  <c r="D14" i="53"/>
  <c r="B32" i="72" s="1"/>
  <c r="B30" i="72"/>
  <c r="D123" i="9"/>
  <c r="D9" i="52" s="1"/>
  <c r="D8" i="52"/>
  <c r="G14" i="74"/>
  <c r="B6" i="74" s="1"/>
  <c r="C96" i="9"/>
  <c r="E96" i="9" s="1"/>
  <c r="E97" i="9" s="1"/>
  <c r="C97" i="9"/>
  <c r="D58" i="9" s="1"/>
  <c r="D56" i="9" s="1"/>
  <c r="M54" i="9" s="1"/>
  <c r="C68" i="9"/>
  <c r="D54" i="9" s="1"/>
  <c r="D59" i="9"/>
  <c r="M55" i="9" s="1"/>
  <c r="E80" i="9" l="1"/>
  <c r="E81" i="9" s="1"/>
  <c r="C81" i="9"/>
  <c r="N57" i="9"/>
  <c r="P57" i="9" s="1"/>
  <c r="M69" i="9"/>
  <c r="N69" i="9" s="1"/>
  <c r="C6" i="74"/>
  <c r="D6" i="74"/>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<sst xmlns="http://schemas.openxmlformats.org/spreadsheetml/2006/main" count="7339" uniqueCount="3113">
  <si>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</si>
  <si>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</si>
  <si>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</si>
  <si>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</si>
  <si>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</si>
  <si>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</si>
  <si>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</si>
  <si>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</si>
  <si>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</si>
  <si>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</si>
  <si>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</si>
  <si>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</si>
  <si>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</si>
  <si>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</si>
  <si>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</si>
  <si>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</si>
  <si>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</si>
  <si>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</si>
  <si>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</si>
  <si>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</si>
  <si>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</si>
  <si>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</si>
  <si>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</si>
  <si>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</si>
  <si>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</si>
  <si>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</si>
  <si>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</si>
  <si>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</si>
  <si>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</si>
  <si>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</si>
  <si>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</si>
  <si>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</si>
  <si>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</si>
  <si>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</si>
  <si>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</si>
  <si>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</si>
  <si>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</si>
  <si>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</si>
  <si>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</si>
  <si>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</si>
  <si>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</si>
  <si>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</si>
  <si>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</si>
  <si>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</si>
  <si>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</si>
  <si>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</si>
  <si>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</si>
  <si>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</si>
  <si>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</si>
  <si>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</si>
  <si>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</si>
  <si>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</si>
  <si>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</si>
  <si>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</si>
  <si>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</si>
  <si>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</si>
  <si>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</si>
  <si>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</si>
  <si>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</si>
  <si>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</si>
  <si>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</si>
  <si>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</si>
  <si>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</si>
  <si>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</si>
  <si>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</si>
  <si>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</si>
  <si>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</si>
  <si>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</si>
  <si>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</si>
  <si>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</si>
  <si>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</si>
  <si>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</si>
  <si>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</si>
  <si>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</si>
  <si>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</si>
  <si>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</si>
  <si>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</si>
  <si>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</si>
  <si>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</si>
  <si>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</si>
  <si>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</si>
  <si>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</si>
  <si>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</si>
  <si>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</si>
  <si>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</si>
  <si>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</si>
  <si>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</si>
  <si>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</si>
  <si>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</si>
  <si>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</si>
  <si>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</si>
  <si>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</si>
  <si>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</si>
  <si>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</si>
  <si>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</si>
  <si>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</si>
  <si>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</si>
  <si>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</si>
  <si>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</si>
  <si>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</si>
  <si>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</si>
  <si>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</si>
  <si>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</si>
  <si>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</si>
  <si>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</si>
  <si>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</si>
  <si>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</si>
  <si>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</si>
  <si>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</si>
  <si>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</si>
  <si>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</si>
  <si>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</si>
  <si>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</si>
  <si>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</si>
  <si>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</si>
  <si>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</si>
  <si>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</si>
  <si>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</si>
  <si>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</si>
  <si>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</si>
  <si>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</si>
  <si>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</si>
  <si>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</si>
  <si>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</si>
  <si>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</si>
  <si>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</si>
  <si>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</si>
  <si>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</si>
  <si>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</si>
  <si>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</si>
  <si>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</si>
  <si>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</si>
  <si>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</si>
  <si>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</si>
  <si>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</si>
  <si>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</si>
  <si>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</si>
  <si>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</si>
  <si>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</si>
  <si>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</si>
  <si>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</si>
  <si>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</si>
  <si>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</si>
  <si>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</si>
  <si>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</si>
  <si>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</si>
  <si>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</si>
  <si>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</si>
  <si>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</si>
  <si>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</si>
  <si>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</si>
  <si>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</si>
  <si>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</si>
  <si>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</si>
  <si>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</si>
  <si>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</si>
  <si>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</si>
  <si>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</si>
  <si>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</si>
  <si>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</si>
  <si>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</si>
  <si>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</si>
  <si>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</si>
  <si>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</si>
  <si>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</si>
  <si>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</si>
  <si>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</si>
  <si>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</si>
  <si>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</si>
  <si>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</si>
  <si>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</si>
  <si>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</si>
  <si>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</si>
  <si>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</si>
  <si>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</si>
  <si>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</si>
  <si>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</si>
  <si>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</si>
  <si>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</si>
  <si>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</si>
  <si>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</si>
  <si>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</si>
  <si>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</si>
  <si>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</si>
  <si>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</si>
  <si>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</si>
  <si>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</si>
  <si>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</si>
  <si>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</si>
  <si>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</si>
  <si>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</si>
  <si>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</si>
  <si>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</si>
  <si>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</si>
  <si>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</si>
  <si>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</si>
  <si>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</si>
  <si>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</si>
  <si>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</si>
  <si>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</si>
  <si>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</si>
  <si>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</si>
  <si>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</si>
  <si>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</si>
  <si>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</si>
  <si>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</si>
  <si>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</si>
  <si>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</si>
  <si>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</si>
  <si>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</si>
  <si>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</si>
  <si>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</si>
  <si>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</si>
  <si>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</si>
  <si>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</si>
  <si>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</si>
  <si>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</si>
  <si>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</si>
  <si>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</si>
  <si>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</si>
  <si>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</si>
  <si>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</si>
  <si>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</si>
  <si>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</si>
  <si>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</si>
  <si>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</si>
  <si>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</si>
  <si>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</si>
  <si>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</si>
  <si>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</si>
  <si>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</si>
  <si>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</si>
  <si>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</si>
  <si>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</si>
  <si>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</si>
  <si>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</si>
  <si>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</si>
  <si>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</si>
  <si>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</si>
  <si>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</si>
  <si>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</si>
  <si>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</si>
  <si>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</si>
  <si>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</si>
  <si>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</si>
  <si>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</si>
  <si>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</si>
  <si>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</si>
  <si>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</si>
  <si>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</si>
  <si>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</si>
  <si>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</si>
  <si>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</si>
  <si>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</si>
  <si>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</si>
  <si>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</si>
  <si>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</si>
  <si>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</si>
  <si>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</si>
  <si>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</si>
  <si>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</si>
  <si>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</si>
  <si>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</si>
  <si>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</si>
  <si>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</si>
  <si>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</si>
  <si>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</si>
  <si>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</si>
  <si>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</si>
  <si>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</si>
  <si>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</si>
  <si>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</si>
  <si>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</si>
  <si>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</si>
  <si>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</si>
  <si>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</si>
  <si>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</si>
  <si>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</si>
  <si>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</si>
  <si>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</si>
  <si>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</si>
  <si>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</si>
  <si>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</si>
  <si>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</si>
  <si>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</si>
  <si>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</si>
  <si>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</si>
  <si>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</si>
  <si>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</si>
  <si>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</si>
  <si>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</si>
  <si>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</si>
  <si>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</si>
  <si>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</si>
  <si>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</si>
  <si>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</si>
  <si>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</si>
  <si>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</si>
  <si>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</si>
  <si>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</si>
  <si>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</si>
  <si>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</si>
  <si>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</si>
  <si>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</si>
  <si>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</si>
  <si>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</si>
  <si>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</si>
  <si>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</si>
  <si>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</si>
  <si>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</si>
  <si>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</si>
  <si>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</si>
  <si>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</si>
  <si>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</si>
  <si>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</si>
  <si>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</si>
  <si>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</si>
  <si>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</si>
  <si>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</si>
  <si>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</si>
  <si>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</si>
  <si>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</si>
  <si>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</si>
  <si>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</si>
  <si>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</si>
  <si>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</si>
  <si>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</si>
  <si>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</si>
  <si>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</si>
  <si>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</si>
  <si>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</si>
  <si>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</si>
  <si>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</si>
  <si>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</si>
  <si>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</si>
  <si>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</si>
  <si>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</si>
  <si>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</si>
  <si>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</si>
  <si>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</si>
  <si>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</si>
  <si>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</si>
  <si>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</si>
  <si>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</si>
  <si>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</si>
  <si>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</si>
  <si>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</si>
  <si>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</si>
  <si>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</si>
  <si>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</si>
  <si>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</si>
  <si>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</si>
  <si>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</si>
  <si>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</si>
  <si>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</si>
  <si>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</si>
  <si>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</si>
  <si>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</si>
  <si>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</si>
  <si>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</si>
  <si>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</si>
  <si>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</si>
  <si>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</si>
  <si>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</si>
  <si>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</si>
  <si>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</si>
  <si>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</si>
  <si>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</si>
  <si>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</si>
  <si>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</si>
  <si>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</si>
  <si>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</si>
  <si>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</si>
  <si>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</si>
  <si>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</si>
  <si>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</si>
  <si>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</si>
  <si>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</si>
  <si>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</si>
  <si>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</si>
  <si>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</si>
  <si>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</si>
  <si>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</si>
  <si>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</si>
  <si>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</si>
  <si>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</si>
  <si>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</si>
  <si>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</si>
  <si>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</si>
  <si>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</si>
  <si>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</si>
  <si>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</si>
  <si>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</si>
  <si>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</si>
  <si>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</si>
  <si>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</si>
  <si>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</si>
  <si>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</si>
  <si>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</si>
  <si>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</si>
  <si>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</si>
  <si>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</si>
  <si>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</si>
  <si>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</si>
  <si>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</si>
  <si>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</si>
  <si>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</si>
  <si>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</si>
  <si>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</si>
  <si>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</si>
  <si>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</si>
  <si>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</si>
  <si>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</si>
  <si>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</si>
  <si>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</si>
  <si>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</si>
  <si>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</si>
  <si>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</si>
  <si>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</si>
  <si>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</si>
  <si>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</si>
  <si>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</si>
  <si>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</si>
  <si>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</si>
  <si>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</si>
  <si>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</si>
  <si>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</si>
  <si>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</si>
  <si>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</si>
  <si>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</si>
  <si>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</si>
  <si>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</si>
  <si>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</si>
  <si>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</si>
  <si>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</si>
  <si>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</si>
  <si>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</si>
  <si>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</si>
  <si>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</si>
  <si>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</si>
  <si>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</si>
  <si>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</si>
  <si>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</si>
  <si>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</si>
  <si>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</si>
  <si>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</si>
  <si>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</si>
  <si>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</si>
  <si>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</si>
  <si>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</si>
  <si>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</si>
  <si>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</si>
  <si>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</si>
  <si>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</si>
  <si>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</si>
  <si>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</si>
  <si>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</si>
  <si>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</si>
  <si>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</si>
  <si>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</si>
  <si>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</si>
  <si>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</si>
  <si>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</si>
  <si>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</si>
  <si>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</si>
  <si>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</si>
  <si>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</si>
  <si>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</si>
  <si>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</si>
  <si>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</si>
  <si>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</si>
  <si>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</si>
  <si>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</si>
  <si>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</si>
  <si>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</si>
  <si>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</si>
  <si>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</si>
  <si>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</si>
  <si>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</si>
  <si>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</si>
  <si>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</si>
  <si>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</si>
  <si>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</si>
  <si>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</si>
  <si>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</si>
  <si>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</si>
  <si>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</si>
  <si>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</si>
  <si>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</si>
  <si>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</si>
  <si>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</si>
  <si>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</si>
  <si>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</si>
  <si>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</si>
  <si>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</si>
  <si>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</si>
  <si>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</si>
  <si>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</si>
  <si>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</si>
  <si>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</si>
  <si>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</si>
  <si>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</si>
  <si>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</si>
  <si>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</si>
  <si>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</si>
  <si>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</si>
  <si>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</si>
  <si>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</si>
  <si>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</si>
  <si>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</si>
  <si>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</si>
  <si>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</si>
  <si>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</si>
  <si>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</si>
  <si>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</si>
  <si>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</si>
  <si>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</si>
  <si>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</si>
  <si>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</si>
  <si>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</si>
  <si>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</si>
  <si>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</si>
  <si>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</si>
  <si>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</si>
  <si>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</si>
  <si>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</si>
  <si>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</si>
  <si>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</si>
  <si>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</si>
  <si>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</si>
  <si>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</si>
  <si>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</si>
  <si>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</si>
  <si>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</si>
  <si>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</si>
  <si>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</si>
  <si>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</si>
  <si>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</si>
  <si>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</si>
  <si>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</si>
  <si>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</si>
  <si>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</si>
  <si>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</si>
  <si>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</si>
  <si>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</si>
  <si>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</si>
  <si>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</si>
  <si>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</si>
  <si>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</si>
  <si>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</si>
  <si>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</si>
  <si>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</si>
  <si>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</si>
  <si>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</si>
  <si>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</si>
  <si>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</si>
  <si>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</si>
  <si>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</si>
  <si>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</si>
  <si>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</si>
  <si>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</si>
  <si>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</si>
  <si>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</si>
  <si>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</si>
  <si>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</si>
  <si>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</si>
  <si>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</si>
  <si>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</si>
  <si>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</si>
  <si>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</si>
  <si>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</si>
  <si>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</si>
  <si>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</si>
  <si>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</si>
  <si>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</si>
  <si>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</si>
  <si>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</si>
  <si>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</si>
  <si>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</si>
  <si>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</si>
  <si>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</si>
  <si>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</si>
  <si>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</si>
  <si>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</si>
  <si>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</si>
  <si>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</si>
  <si>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</si>
  <si>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</si>
  <si>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</si>
  <si>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</si>
  <si>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</si>
  <si>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</si>
  <si>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</si>
  <si>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</si>
  <si>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</si>
  <si>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</si>
  <si>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</si>
  <si>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</si>
  <si>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</si>
  <si>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</si>
  <si>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</si>
  <si>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</si>
  <si>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</si>
  <si>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</si>
  <si>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</si>
  <si>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</si>
  <si>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</si>
  <si>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</si>
  <si>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</si>
  <si>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</si>
  <si>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</si>
  <si>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</si>
  <si>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</si>
  <si>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</si>
  <si>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</si>
  <si>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</si>
  <si>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</si>
  <si>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</si>
  <si>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</si>
  <si>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</si>
  <si>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</si>
  <si>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</si>
  <si>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</si>
  <si>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</si>
  <si>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</si>
  <si>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</si>
  <si>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</si>
  <si>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</si>
  <si>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</si>
  <si>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</si>
  <si>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</si>
  <si>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</si>
  <si>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</si>
  <si>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</si>
  <si>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</si>
  <si>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</si>
  <si>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</si>
  <si>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</si>
  <si>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</si>
  <si>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</si>
  <si>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</si>
  <si>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</si>
  <si>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</si>
  <si>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</si>
  <si>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</si>
  <si>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</si>
  <si>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</si>
  <si>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</si>
  <si>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</si>
  <si>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</si>
  <si>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</si>
  <si>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</si>
  <si>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</si>
  <si>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</si>
  <si>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</si>
  <si>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</si>
  <si>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</si>
  <si>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</si>
  <si>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</si>
  <si>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</si>
  <si>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</si>
  <si>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</si>
  <si>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</si>
  <si>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</si>
  <si>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</si>
  <si>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</si>
  <si>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</si>
  <si>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</si>
  <si>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</si>
  <si>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</si>
  <si>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</si>
  <si>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</si>
  <si>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</si>
  <si>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</si>
  <si>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</si>
  <si>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</si>
  <si>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</si>
  <si>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</si>
  <si>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</si>
  <si>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</si>
  <si>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</si>
  <si>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</si>
  <si>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</si>
  <si>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</si>
  <si>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</si>
  <si>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</si>
  <si>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</si>
  <si>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</si>
  <si>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</si>
  <si>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</si>
  <si>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</si>
  <si>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</si>
  <si>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</si>
  <si>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</si>
  <si>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</si>
  <si>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</si>
  <si>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</si>
  <si>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</si>
  <si>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</si>
  <si>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</si>
  <si>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</si>
  <si>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</si>
  <si>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</si>
  <si>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</si>
  <si>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</si>
  <si>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</si>
  <si>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</si>
  <si>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</si>
  <si>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</si>
  <si>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</si>
  <si>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</si>
  <si>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</si>
  <si>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</si>
  <si>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</si>
  <si>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</si>
  <si>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</si>
  <si>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</si>
  <si>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</si>
  <si>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</si>
  <si>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</si>
  <si>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</si>
  <si>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</si>
  <si>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</si>
  <si>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</si>
  <si>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</si>
  <si>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</si>
  <si>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</si>
  <si>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</si>
  <si>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</si>
  <si>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</si>
  <si>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</si>
  <si>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</si>
  <si>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</si>
  <si>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</si>
  <si>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</si>
  <si>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</si>
  <si>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</si>
  <si>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</si>
  <si>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</si>
  <si>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</si>
  <si>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</si>
  <si>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</si>
  <si>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</si>
  <si>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</si>
  <si>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</si>
  <si>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</si>
  <si>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</si>
  <si>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</si>
  <si>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</si>
  <si>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</si>
  <si>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</si>
  <si>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</si>
  <si>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</si>
  <si>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</si>
  <si>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</si>
  <si>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</si>
  <si>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</si>
  <si>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</si>
  <si>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</si>
  <si>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</si>
  <si>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</si>
  <si>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</si>
  <si>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</si>
  <si>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</si>
  <si>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</si>
  <si>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</si>
  <si>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</si>
  <si>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</si>
  <si>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</si>
  <si>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</si>
  <si>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</si>
  <si>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</si>
  <si>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</si>
  <si>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</si>
  <si>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</si>
  <si>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</si>
  <si>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</si>
  <si>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</si>
  <si>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</si>
  <si>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</si>
  <si>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</si>
  <si>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</si>
  <si>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</si>
  <si>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</si>
  <si>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</si>
  <si>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</si>
  <si>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</si>
  <si>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</si>
  <si>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</si>
  <si>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</si>
  <si>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</si>
  <si>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</si>
  <si>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</si>
  <si>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</si>
  <si>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</si>
  <si>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</si>
  <si>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</si>
  <si>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</si>
  <si>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</si>
  <si>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</si>
  <si>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</si>
  <si>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</si>
  <si>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</si>
  <si>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</si>
  <si>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</si>
  <si>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</si>
  <si>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</si>
  <si>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</si>
  <si>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</si>
  <si>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</si>
  <si>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</si>
  <si>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</si>
  <si>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</si>
  <si>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</si>
  <si>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</si>
  <si>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</si>
  <si>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</si>
  <si>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</si>
  <si>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</si>
  <si>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</si>
  <si>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</si>
  <si>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</si>
  <si>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</si>
  <si>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</si>
  <si>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</si>
  <si>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</si>
  <si>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</si>
  <si>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</si>
  <si>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</si>
  <si>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</si>
  <si>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</si>
  <si>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</si>
  <si>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</si>
  <si>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</si>
  <si>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</si>
  <si>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</si>
  <si>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</si>
  <si>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</si>
  <si>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</si>
  <si>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</si>
  <si>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</si>
  <si>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</si>
  <si>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</si>
  <si>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</si>
  <si>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</si>
  <si>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</si>
  <si>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</si>
  <si>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</si>
  <si>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</si>
  <si>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</si>
  <si>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</si>
  <si>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</si>
  <si>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</si>
  <si>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</si>
  <si>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</si>
  <si>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</si>
  <si>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</si>
  <si>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</si>
  <si>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</si>
  <si>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</si>
  <si>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</si>
  <si>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</si>
  <si>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</si>
  <si>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</si>
  <si>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</si>
  <si>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</si>
  <si>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</si>
  <si>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</si>
  <si>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</si>
  <si>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</si>
  <si>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</si>
  <si>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</si>
  <si>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</si>
  <si>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</si>
  <si>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</si>
  <si>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</si>
  <si>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</si>
  <si>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</si>
  <si>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</si>
  <si>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</si>
  <si>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</si>
  <si>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</si>
  <si>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</si>
  <si>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</si>
  <si>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</si>
  <si>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</si>
  <si>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</si>
  <si>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</si>
  <si>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</si>
  <si>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</si>
  <si>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</si>
  <si>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</si>
  <si>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</si>
  <si>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</si>
  <si>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</si>
  <si>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</si>
  <si>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</si>
  <si>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</si>
  <si>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</si>
  <si>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</si>
  <si>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</si>
  <si>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</si>
  <si>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</si>
  <si>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</si>
  <si>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</si>
  <si>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</si>
  <si>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</si>
  <si>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</si>
  <si>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</si>
  <si>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</si>
  <si>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</si>
  <si>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</si>
  <si>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</si>
  <si>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</si>
  <si>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</si>
  <si>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</si>
  <si>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</si>
  <si>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</si>
  <si>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</si>
  <si>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</si>
  <si>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</si>
  <si>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</si>
  <si>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</si>
  <si>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</si>
  <si>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</si>
  <si>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</si>
  <si>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</si>
  <si>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</si>
  <si>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</si>
  <si>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</si>
  <si>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</si>
  <si>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</si>
  <si>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</si>
  <si>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</si>
  <si>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</si>
  <si>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</si>
  <si>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</si>
  <si>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</si>
  <si>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</si>
  <si>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</si>
  <si>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</si>
  <si>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</si>
  <si>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</si>
  <si>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</si>
  <si>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</si>
  <si>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</si>
  <si>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</si>
  <si>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</si>
  <si>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</si>
  <si>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</si>
  <si>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</si>
  <si>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</si>
  <si>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</si>
  <si>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</si>
  <si>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</si>
  <si>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</si>
  <si>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</si>
  <si>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</si>
  <si>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</si>
  <si>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</si>
  <si>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</si>
  <si>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</si>
  <si>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</si>
  <si>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</si>
  <si>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</si>
  <si>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</si>
  <si>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</si>
  <si>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</si>
  <si>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</si>
  <si>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</si>
  <si>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</si>
  <si>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</si>
  <si>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</si>
  <si>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</si>
  <si>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</si>
  <si>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</si>
  <si>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</si>
  <si>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</si>
  <si>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</si>
  <si>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</si>
  <si>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</si>
  <si>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</si>
  <si>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</si>
  <si>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</si>
  <si>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</si>
  <si>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</si>
  <si>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</si>
  <si>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</si>
  <si>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</si>
  <si>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</si>
  <si>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</si>
  <si>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</si>
  <si>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</si>
  <si>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</si>
  <si>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</si>
  <si>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</si>
  <si>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</si>
  <si>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</si>
  <si>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</si>
  <si>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</si>
  <si>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</si>
  <si>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</si>
  <si>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</si>
  <si>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</si>
  <si>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</si>
  <si>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</si>
  <si>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</si>
  <si>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</si>
  <si>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</si>
  <si>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</si>
  <si>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</si>
  <si>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</si>
  <si>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</si>
  <si>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</si>
  <si>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</si>
  <si>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</si>
  <si>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</si>
  <si>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</si>
  <si>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</si>
  <si>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</si>
  <si>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</si>
  <si>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</si>
  <si>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</si>
  <si>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</si>
  <si>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</si>
  <si>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</si>
  <si>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</si>
  <si>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</si>
  <si>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</si>
  <si>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</si>
  <si>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</si>
  <si>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</si>
  <si>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</si>
  <si>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</si>
  <si>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</si>
  <si>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</si>
  <si>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</si>
  <si>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</si>
  <si>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</si>
  <si>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</si>
  <si>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</si>
  <si>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</si>
  <si>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</si>
  <si>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</si>
  <si>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</si>
  <si>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</si>
  <si>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</si>
  <si>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</si>
  <si>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</si>
  <si>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</si>
  <si>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</si>
  <si>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</si>
  <si>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</si>
  <si>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</si>
  <si>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</si>
  <si>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</si>
  <si>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</si>
  <si>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</si>
  <si>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</si>
  <si>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</si>
  <si>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</si>
  <si>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</si>
  <si>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</si>
  <si>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</si>
  <si>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</si>
  <si>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</si>
  <si>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</si>
  <si>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</si>
  <si>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</si>
  <si>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</si>
  <si>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</si>
  <si>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</si>
  <si>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</si>
  <si>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</si>
  <si>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</si>
  <si>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</si>
  <si>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</si>
  <si>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</si>
  <si>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</si>
  <si>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</si>
  <si>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</si>
  <si>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</si>
  <si>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</si>
  <si>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</si>
  <si>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</si>
  <si>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</si>
  <si>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</si>
  <si>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</si>
  <si>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</si>
  <si>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</si>
  <si>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</si>
  <si>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</si>
  <si>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</si>
  <si>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</si>
  <si>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</si>
  <si>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</si>
  <si>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</si>
  <si>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</si>
  <si>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</si>
  <si>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</si>
  <si>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</si>
  <si>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</si>
  <si>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</si>
  <si>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</si>
  <si>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</si>
  <si>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</si>
  <si>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</si>
  <si>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</si>
  <si>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</si>
  <si>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</si>
  <si>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</si>
  <si>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</si>
  <si>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</si>
  <si>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</si>
  <si>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</si>
  <si>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</si>
  <si>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</si>
  <si>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</si>
  <si>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</si>
  <si>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</si>
  <si>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</si>
  <si>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</si>
  <si>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</si>
  <si>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</si>
  <si>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</si>
  <si>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</si>
  <si>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</si>
  <si>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</si>
  <si>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</si>
  <si>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</si>
  <si>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</si>
  <si>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</si>
  <si>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</si>
  <si>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</si>
  <si>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</si>
  <si>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</si>
  <si>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</si>
  <si>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</si>
  <si>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</si>
  <si>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</si>
  <si>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</si>
  <si>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</si>
  <si>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</si>
  <si>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</si>
  <si>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</si>
  <si>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</si>
  <si>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</si>
  <si>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</si>
  <si>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</si>
  <si>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</si>
  <si>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</si>
  <si>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</si>
  <si>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</si>
  <si>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</si>
  <si>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</si>
  <si>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</si>
  <si>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</si>
  <si>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</si>
  <si>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</si>
  <si>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</si>
  <si>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</si>
  <si>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</si>
  <si>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</si>
  <si>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</si>
  <si>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</si>
  <si>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</si>
  <si>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</si>
  <si>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</si>
  <si>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</si>
  <si>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</si>
  <si>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</si>
  <si>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</si>
  <si>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</si>
  <si>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</si>
  <si>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</si>
  <si>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</si>
  <si>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</si>
  <si>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</si>
  <si>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</si>
  <si>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</si>
  <si>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</si>
  <si>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</si>
  <si>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</si>
  <si>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</si>
  <si>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</si>
  <si>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</si>
  <si>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</si>
  <si>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</si>
  <si>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</si>
  <si>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</si>
  <si>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</si>
  <si>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</si>
  <si>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</si>
  <si>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</si>
  <si>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</si>
  <si>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</si>
  <si>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</si>
  <si>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</si>
  <si>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</si>
  <si>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</si>
  <si>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</si>
  <si>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</si>
  <si>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</si>
  <si>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</si>
  <si>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</si>
  <si>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</si>
  <si>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</si>
  <si>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</si>
  <si>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</si>
  <si>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</si>
  <si>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</si>
  <si>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</si>
  <si>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</si>
  <si>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</si>
  <si>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</si>
  <si>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</si>
  <si>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</si>
  <si>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</si>
  <si>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</si>
  <si>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</si>
  <si>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</si>
  <si>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</si>
  <si>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</si>
  <si>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</si>
  <si>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</si>
  <si>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</si>
  <si>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</si>
  <si>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</si>
  <si>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</si>
  <si>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</si>
  <si>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</si>
  <si>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</si>
  <si>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</si>
  <si>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</si>
  <si>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</si>
  <si>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</si>
  <si>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</si>
  <si>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</si>
  <si>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</si>
  <si>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</si>
  <si>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</si>
  <si>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</si>
  <si>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</si>
  <si>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</si>
  <si>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</si>
  <si>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</si>
  <si>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</si>
  <si>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</si>
  <si>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</si>
  <si>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</si>
  <si>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</si>
  <si>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</si>
  <si>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</si>
  <si>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</si>
  <si>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</si>
  <si>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</si>
  <si>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</si>
  <si>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</si>
  <si>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</si>
  <si>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</si>
  <si>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</si>
  <si>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</si>
  <si>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</si>
  <si>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</si>
  <si>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</si>
  <si>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</si>
  <si>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</si>
  <si>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</si>
  <si>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</si>
  <si>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</si>
  <si>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</si>
  <si>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</si>
  <si>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</si>
  <si>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</si>
  <si>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</si>
  <si>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</si>
  <si>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</si>
  <si>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</si>
  <si>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</si>
  <si>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</si>
  <si>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</si>
  <si>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</si>
  <si>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</si>
  <si>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</si>
  <si>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</si>
  <si>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</si>
  <si>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</si>
  <si>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</si>
  <si>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</si>
  <si>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</si>
  <si>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</si>
  <si>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</si>
  <si>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</si>
  <si>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</si>
  <si>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</si>
  <si>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</si>
  <si>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</si>
  <si>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</si>
  <si>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</si>
  <si>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</si>
  <si>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</si>
  <si>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</si>
  <si>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</si>
  <si>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</si>
  <si>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</si>
  <si>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</si>
  <si>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</si>
  <si>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</si>
  <si>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</si>
  <si>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</si>
  <si>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</si>
  <si>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</si>
  <si>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</si>
  <si>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</si>
  <si>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</si>
  <si>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</si>
  <si>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</si>
  <si>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</si>
  <si>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</si>
  <si>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</si>
  <si>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</si>
  <si>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</si>
  <si>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</si>
  <si>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</si>
  <si>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</si>
  <si>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</si>
  <si>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</si>
  <si>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</si>
  <si>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</si>
  <si>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</si>
  <si>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</si>
  <si>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</si>
  <si>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</si>
  <si>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</si>
  <si>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</si>
  <si>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</si>
  <si>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</si>
  <si>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</si>
  <si>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</si>
  <si>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</si>
  <si>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</si>
  <si>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</si>
  <si>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</si>
  <si>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</si>
  <si>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</si>
  <si>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</si>
  <si>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</si>
  <si>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</si>
  <si>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</si>
  <si>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</si>
  <si>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</si>
  <si>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</si>
  <si>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</si>
  <si>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</si>
  <si>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</si>
  <si>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</si>
  <si>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</si>
  <si>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</si>
  <si>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</si>
  <si>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</si>
  <si>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</si>
  <si>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</si>
  <si>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</si>
  <si>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</si>
  <si>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</si>
  <si>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</si>
  <si>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</si>
  <si>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</si>
  <si>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</si>
  <si>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</si>
  <si>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</si>
  <si>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</si>
  <si>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</si>
  <si>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</si>
  <si>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</si>
  <si>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</si>
  <si>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</si>
  <si>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</si>
  <si>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</si>
  <si>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</si>
  <si>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</si>
  <si>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</si>
  <si>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</si>
  <si>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</si>
  <si>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</si>
  <si>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</si>
  <si>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</si>
  <si>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</si>
  <si>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</si>
  <si>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</si>
  <si>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</si>
  <si>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</si>
  <si>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</si>
  <si>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</si>
  <si>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</si>
  <si>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</si>
  <si>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</si>
  <si>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</si>
  <si>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</si>
  <si>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</si>
  <si>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</si>
  <si>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</si>
  <si>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</si>
  <si>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</si>
  <si>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</si>
  <si>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</si>
  <si>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</si>
  <si>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</si>
  <si>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</si>
  <si>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</si>
  <si>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</si>
  <si>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</si>
  <si>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</si>
  <si>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</si>
  <si>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</si>
  <si>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</si>
  <si>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</si>
  <si>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</si>
  <si>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</si>
  <si>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</si>
  <si>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</si>
  <si>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</si>
  <si>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</si>
  <si>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</si>
  <si>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</si>
  <si>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</si>
  <si>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</si>
  <si>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</si>
  <si>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</si>
  <si>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</si>
  <si>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</si>
  <si>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</si>
  <si>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</si>
  <si>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</si>
  <si>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</si>
  <si>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</si>
  <si>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</si>
  <si>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</si>
  <si>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</si>
  <si>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</si>
  <si>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</si>
  <si>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</si>
  <si>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</si>
  <si>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</si>
  <si>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</si>
  <si>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</si>
  <si>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</si>
  <si>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</si>
  <si>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</si>
  <si>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</si>
  <si>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</si>
  <si>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</si>
  <si>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</si>
  <si>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</si>
  <si>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</si>
  <si>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</si>
  <si>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</si>
  <si>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</si>
  <si>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</si>
  <si>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</si>
  <si>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</si>
  <si>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</si>
  <si>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</si>
  <si>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</si>
  <si>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</si>
  <si>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</si>
  <si>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</si>
  <si>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</si>
  <si>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</si>
  <si>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</si>
  <si>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</si>
  <si>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</si>
  <si>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</si>
  <si>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</si>
  <si>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</si>
  <si>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</si>
  <si>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</si>
  <si>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</si>
  <si>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</si>
  <si>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</si>
  <si>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</si>
  <si>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</si>
  <si>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</si>
  <si>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</si>
  <si>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</si>
  <si>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</si>
  <si>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</si>
  <si>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</si>
  <si>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</si>
  <si>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</si>
  <si>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</si>
  <si>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</si>
  <si>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</si>
  <si>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</si>
  <si>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</si>
  <si>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</si>
  <si>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</si>
  <si>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</si>
  <si>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</si>
  <si>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</si>
  <si>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</si>
  <si>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</si>
  <si>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</si>
  <si>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</si>
  <si>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</si>
  <si>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</si>
  <si>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</si>
  <si>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</si>
  <si>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</si>
  <si>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</si>
  <si>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</si>
  <si>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</si>
  <si>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</si>
  <si>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</si>
  <si>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</si>
  <si>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</si>
  <si>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</si>
  <si>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</si>
  <si>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</si>
  <si>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</si>
  <si>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</si>
  <si>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</si>
  <si>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</si>
  <si>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</si>
  <si>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</si>
  <si>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</si>
  <si>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</si>
  <si>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</si>
  <si>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</si>
  <si>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</si>
  <si>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</si>
  <si>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</si>
  <si>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</si>
  <si>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</si>
  <si>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</si>
  <si>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</si>
  <si>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</si>
  <si>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</si>
  <si>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</si>
  <si>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</si>
  <si>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</si>
  <si>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</si>
  <si>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</si>
  <si>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</si>
  <si>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</si>
  <si>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</si>
  <si>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</si>
  <si>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</si>
  <si>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</si>
  <si>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</si>
  <si>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</si>
  <si>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</si>
  <si>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</si>
  <si>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</si>
  <si>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</si>
  <si>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</si>
  <si>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</si>
  <si>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</si>
  <si>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</si>
  <si>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</si>
  <si>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</si>
  <si>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</si>
  <si>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</si>
  <si>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</si>
  <si>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</si>
  <si>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</si>
  <si>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</si>
  <si>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</si>
  <si>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</si>
  <si>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</si>
  <si>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</si>
  <si>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</si>
  <si>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</si>
  <si>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</si>
  <si>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</si>
  <si>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</si>
  <si>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</si>
  <si>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</si>
  <si>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</si>
  <si>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</si>
  <si>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</si>
  <si>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</si>
  <si>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</si>
  <si>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</si>
  <si>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</si>
  <si>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</si>
  <si>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</si>
  <si>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</si>
  <si>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</si>
  <si>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</si>
  <si>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</si>
  <si>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</si>
  <si>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</si>
  <si>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</si>
  <si>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</si>
  <si>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</si>
  <si>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</si>
  <si>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</si>
  <si>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</si>
  <si>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</si>
  <si>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</si>
  <si>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</si>
  <si>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</si>
  <si>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</si>
  <si>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</si>
  <si>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</si>
  <si>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</si>
  <si>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</si>
  <si>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</si>
  <si>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</si>
  <si>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</si>
  <si>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</si>
  <si>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</si>
  <si>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</si>
  <si>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</si>
  <si>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</si>
  <si>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</si>
  <si>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</si>
  <si>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</si>
  <si>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</si>
  <si>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</si>
  <si>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</si>
  <si>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</si>
  <si>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</si>
  <si>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</si>
  <si>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</si>
  <si>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</si>
  <si>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</si>
  <si>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</si>
  <si>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</si>
  <si>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</si>
  <si>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</si>
  <si>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</si>
  <si>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</si>
  <si>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</si>
  <si>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</si>
  <si>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</si>
  <si>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</si>
  <si>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</si>
  <si>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</si>
  <si>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</si>
  <si>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</si>
  <si>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</si>
  <si>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</si>
  <si>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</si>
  <si>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</si>
  <si>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</si>
  <si>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</si>
  <si>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</si>
  <si>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</si>
  <si>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</si>
  <si>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</si>
  <si>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</si>
  <si>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</si>
  <si>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</si>
  <si>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</si>
  <si>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</si>
  <si>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</si>
  <si>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</si>
  <si>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</si>
  <si>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</si>
  <si>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</si>
  <si>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</si>
  <si>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</si>
  <si>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</si>
  <si>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</si>
  <si>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</si>
  <si>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</si>
  <si>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</si>
  <si>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</si>
  <si>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</si>
  <si>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</si>
  <si>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</si>
  <si>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</si>
  <si>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</si>
  <si>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</si>
  <si>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</si>
  <si>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</si>
  <si>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</si>
  <si>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</si>
  <si>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</si>
  <si>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</si>
  <si>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</si>
  <si>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</si>
  <si>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</si>
  <si>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</si>
  <si>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</si>
  <si>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</si>
  <si>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</si>
  <si>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</si>
  <si>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</si>
  <si>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</si>
  <si>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</si>
  <si>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</si>
  <si>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</si>
  <si>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</si>
  <si>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</si>
  <si>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</si>
  <si>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</si>
  <si>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</si>
  <si>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</si>
  <si>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</si>
  <si>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</si>
  <si>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</si>
  <si>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</si>
  <si>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</si>
  <si>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</si>
  <si>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</si>
  <si>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</si>
  <si>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</si>
  <si>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</si>
  <si>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</si>
  <si>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</si>
  <si>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</si>
  <si>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</si>
  <si>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</si>
  <si>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</si>
  <si>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</si>
  <si>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</si>
  <si>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</si>
  <si>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</si>
  <si>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</si>
  <si>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</si>
  <si>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</si>
  <si>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</si>
  <si>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</si>
  <si>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</si>
  <si>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</si>
  <si>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</si>
  <si>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</si>
  <si>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</si>
  <si>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</si>
  <si>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</si>
  <si>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</si>
  <si>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</si>
  <si>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</si>
  <si>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</si>
  <si>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</si>
  <si>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</si>
  <si>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</si>
  <si>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</si>
  <si>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</si>
  <si>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</si>
  <si>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</si>
  <si>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</si>
  <si>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</si>
  <si>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</si>
  <si>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</si>
  <si>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</si>
  <si>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</si>
  <si>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</si>
  <si>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</si>
  <si>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</si>
  <si>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</si>
  <si>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</si>
  <si>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</si>
  <si>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</si>
  <si>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</si>
  <si>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</si>
  <si>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</si>
  <si>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</si>
  <si>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</si>
  <si>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</si>
  <si>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</si>
  <si>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</si>
  <si>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</si>
  <si>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</si>
  <si>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</si>
  <si>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</si>
  <si>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</si>
  <si>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</si>
  <si>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</si>
  <si>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</si>
  <si>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</si>
  <si>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</si>
  <si>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</si>
  <si>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</si>
  <si>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</si>
  <si>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</si>
  <si>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</si>
  <si>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</si>
  <si>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</si>
  <si>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</si>
  <si>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</si>
  <si>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</si>
  <si>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</si>
  <si>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</si>
  <si>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</si>
  <si>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</si>
  <si>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</si>
  <si>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</si>
  <si>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</si>
  <si>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</si>
  <si>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</si>
  <si>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</si>
  <si>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</si>
  <si>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</si>
  <si>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</si>
  <si>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</si>
  <si>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</si>
  <si>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</si>
  <si>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</si>
  <si>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</si>
  <si>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</si>
  <si>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</si>
  <si>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</si>
  <si>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</si>
  <si>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</si>
  <si>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</si>
  <si>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</si>
  <si>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</si>
  <si>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</si>
  <si>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</si>
  <si>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</si>
  <si>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</si>
  <si>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</si>
  <si>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</si>
  <si>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</si>
  <si>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</si>
  <si>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</si>
  <si>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</si>
  <si>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</si>
  <si>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</si>
  <si>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</si>
  <si>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</si>
  <si>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</si>
  <si>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</si>
  <si>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</si>
  <si>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</si>
  <si>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</si>
  <si>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</si>
  <si>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</si>
  <si>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</si>
  <si>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</si>
  <si>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</si>
  <si>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</si>
  <si>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</si>
  <si>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</si>
  <si>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</si>
  <si>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</si>
  <si>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</si>
  <si>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</si>
  <si>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</si>
  <si>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</si>
  <si>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</si>
  <si>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</si>
  <si>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</si>
  <si>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</si>
  <si>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</si>
  <si>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</si>
  <si>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</si>
  <si>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</si>
  <si>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</si>
  <si>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</si>
  <si>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</si>
  <si>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</si>
  <si>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</si>
  <si>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</si>
  <si>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</si>
  <si>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</si>
  <si>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</si>
  <si>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</si>
  <si>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</si>
  <si>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</si>
  <si>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</si>
  <si>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</si>
  <si>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</si>
  <si>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</si>
  <si>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</si>
  <si>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</si>
  <si>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</si>
  <si>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</si>
  <si>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</si>
  <si>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</si>
  <si>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</si>
  <si>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</si>
  <si>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</si>
  <si>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</si>
  <si>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</si>
  <si>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</si>
  <si>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</si>
  <si>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</si>
  <si>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</si>
  <si>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</si>
  <si>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</si>
  <si>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</si>
  <si>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</si>
  <si>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</si>
  <si>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</si>
  <si>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</si>
  <si>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</si>
  <si>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</si>
  <si>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</si>
  <si>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</si>
  <si>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</si>
  <si>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</si>
  <si>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</si>
  <si>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</si>
  <si>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</si>
  <si>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</si>
  <si>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</si>
  <si>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</si>
  <si>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</si>
  <si>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</si>
  <si>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</si>
  <si>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</si>
  <si>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</si>
  <si>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</si>
  <si>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</si>
  <si>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</si>
  <si>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</si>
  <si>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</si>
  <si>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</si>
  <si>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</si>
  <si>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</si>
  <si>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</si>
  <si>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</si>
  <si>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</si>
  <si>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</si>
  <si>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</si>
  <si>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</si>
  <si>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</si>
  <si>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</si>
  <si>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</si>
  <si>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</si>
  <si>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</si>
  <si>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</si>
  <si>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</si>
  <si>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</si>
  <si>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</si>
  <si>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</si>
  <si>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</si>
  <si>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</si>
  <si>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</si>
  <si>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</si>
  <si>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</si>
  <si>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</si>
  <si>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</si>
  <si>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</si>
  <si>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</si>
  <si>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</si>
  <si>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</si>
  <si>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</si>
  <si>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</si>
  <si>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</si>
  <si>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</si>
  <si>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</si>
  <si>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</si>
  <si>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</si>
  <si>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</si>
  <si>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</si>
  <si>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</si>
  <si>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</si>
  <si>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</si>
  <si>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</si>
  <si>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</si>
  <si>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</si>
  <si>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</si>
  <si>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</si>
  <si>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</si>
  <si>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</si>
  <si>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</si>
  <si>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</si>
  <si>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</si>
  <si>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</si>
  <si>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</si>
  <si>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</si>
  <si>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</si>
  <si>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</si>
  <si>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</si>
  <si>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</si>
  <si>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</si>
  <si>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</si>
  <si>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</si>
  <si>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</si>
  <si>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</si>
  <si>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</si>
  <si>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</si>
  <si>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</si>
  <si>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</si>
  <si>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</si>
  <si>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</si>
  <si>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</si>
  <si>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</si>
  <si>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</si>
  <si>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</si>
  <si>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</si>
  <si>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</si>
  <si>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</si>
  <si>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</si>
  <si>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</si>
  <si>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</si>
  <si>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</si>
  <si>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</si>
  <si>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</si>
  <si>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</si>
  <si>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</si>
  <si>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</si>
  <si>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</si>
  <si>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</si>
  <si>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</si>
  <si>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</si>
  <si>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</si>
  <si>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</si>
  <si>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</si>
  <si>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</si>
  <si>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</si>
  <si>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</si>
  <si>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</si>
  <si>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</si>
  <si>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</si>
  <si>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</si>
  <si>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</si>
  <si>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</si>
  <si>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</si>
  <si>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</si>
  <si>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</si>
  <si>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</si>
  <si>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</si>
  <si>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</si>
  <si>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</si>
  <si>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</si>
  <si>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</si>
  <si>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</si>
  <si>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</si>
  <si>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</si>
  <si>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</si>
  <si>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</si>
  <si>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</si>
  <si>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</si>
  <si>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</si>
  <si>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</si>
  <si>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</si>
  <si>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</si>
  <si>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</si>
  <si>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</si>
  <si>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</si>
  <si>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</si>
  <si>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</si>
  <si>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</si>
  <si>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</si>
  <si>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</si>
  <si>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</si>
  <si>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</si>
  <si>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</si>
  <si>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</si>
  <si>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</si>
  <si>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</si>
  <si>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</si>
  <si>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</si>
  <si>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</si>
  <si>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</si>
  <si>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</si>
  <si>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</si>
  <si>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</si>
  <si>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</si>
  <si>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</si>
  <si>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</si>
  <si>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</si>
  <si>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</si>
  <si>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</si>
  <si>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</si>
  <si>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</si>
  <si>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</si>
  <si>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</si>
  <si>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</si>
  <si>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</si>
  <si>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</si>
  <si>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</si>
  <si>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</si>
  <si>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</si>
  <si>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</si>
  <si>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</si>
  <si>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</si>
  <si>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</si>
  <si>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</si>
  <si>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</si>
  <si>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</si>
  <si>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</si>
  <si>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</si>
  <si>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</si>
  <si>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</si>
  <si>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</si>
  <si>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</si>
  <si>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</si>
  <si>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</si>
  <si>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</si>
  <si>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</si>
  <si>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</si>
  <si>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</si>
  <si>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</si>
  <si>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</si>
  <si>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</si>
  <si>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</si>
  <si>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</si>
  <si>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</si>
  <si>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</si>
  <si>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</si>
  <si>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</si>
  <si>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</si>
  <si>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</si>
  <si>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</si>
  <si>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</si>
  <si>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</si>
  <si>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</si>
  <si>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</si>
  <si>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</si>
  <si>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</si>
  <si>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</si>
  <si>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</si>
  <si>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</si>
  <si>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</si>
  <si>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</si>
  <si>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</si>
  <si>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</si>
  <si>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</si>
  <si>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</si>
  <si>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</si>
  <si>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</si>
  <si>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</si>
  <si>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</si>
  <si>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</si>
  <si>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</si>
  <si>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</si>
  <si>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</si>
  <si>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</si>
  <si>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</si>
  <si>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</si>
  <si>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</si>
  <si>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</si>
  <si>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</si>
  <si>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</si>
  <si>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</si>
  <si>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</si>
  <si>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</si>
  <si>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</si>
  <si>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</si>
  <si>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</si>
  <si>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</si>
  <si>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</si>
  <si>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</si>
  <si>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</si>
  <si>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</si>
  <si>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</si>
  <si>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</si>
  <si>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</si>
  <si>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</si>
  <si>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</si>
  <si>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</si>
  <si>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</si>
  <si>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</si>
  <si>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</si>
  <si>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</si>
  <si>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</si>
  <si>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</si>
  <si>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</si>
  <si>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</si>
  <si>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</si>
  <si>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</si>
  <si>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</si>
  <si>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</si>
  <si>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</si>
  <si>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</si>
  <si>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</si>
  <si>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</si>
  <si>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</si>
  <si>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</si>
  <si>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</si>
  <si>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</si>
  <si>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</si>
  <si>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</si>
  <si>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</si>
  <si>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</si>
  <si>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</si>
  <si>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</si>
  <si>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</si>
  <si>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</si>
  <si>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</si>
  <si>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</si>
  <si>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</si>
  <si>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</si>
  <si>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</si>
  <si>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</si>
  <si>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</si>
  <si>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</si>
  <si>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</si>
  <si>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</si>
  <si>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</si>
  <si>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</si>
  <si>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</si>
  <si>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</si>
  <si>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</si>
  <si>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</si>
  <si>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</si>
  <si>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</si>
  <si>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</si>
  <si>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</si>
  <si>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</si>
  <si>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</si>
  <si>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</si>
  <si>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</si>
  <si>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</si>
  <si>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</si>
  <si>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</si>
  <si>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</si>
  <si>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</si>
  <si>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</si>
  <si>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</si>
  <si>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</si>
  <si>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</si>
  <si>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</si>
  <si>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</si>
  <si>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</si>
  <si>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</si>
  <si>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</si>
  <si>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</si>
  <si>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</si>
  <si>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</si>
  <si>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</si>
  <si>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</si>
  <si>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</si>
  <si>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</si>
  <si>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</si>
  <si>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</si>
  <si>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</si>
  <si>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</si>
  <si>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</si>
  <si>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</si>
  <si>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</si>
  <si>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</si>
  <si>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</si>
  <si>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</si>
  <si>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</si>
  <si>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</si>
  <si>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</si>
  <si>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</si>
  <si>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</si>
  <si>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</si>
  <si>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</si>
  <si>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</si>
  <si>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</si>
  <si>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</si>
  <si>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</si>
  <si>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</si>
  <si>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</si>
  <si>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</si>
  <si>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</si>
  <si>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</si>
  <si>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</si>
  <si>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</si>
  <si>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</si>
  <si>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</si>
  <si>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</si>
  <si>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</si>
  <si>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</si>
  <si>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</si>
  <si>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</si>
  <si>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</si>
  <si>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</si>
  <si>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</si>
  <si>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</si>
  <si>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</si>
  <si>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</si>
  <si>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</si>
  <si>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</si>
  <si>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</si>
  <si>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</si>
  <si>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</si>
  <si>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</si>
  <si>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</si>
  <si>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</si>
  <si>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</si>
  <si>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</si>
  <si>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</si>
  <si>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</si>
  <si>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</si>
  <si>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</si>
  <si>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</si>
  <si>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</si>
  <si>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</si>
  <si>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</si>
  <si>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</si>
  <si>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</si>
  <si>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</si>
  <si>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</si>
  <si>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</si>
  <si>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</si>
  <si>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</si>
  <si>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</si>
  <si>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</si>
  <si>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</si>
  <si>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</si>
  <si>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</si>
  <si>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</si>
  <si>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</si>
  <si>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</si>
  <si>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</si>
  <si>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</si>
  <si>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</si>
  <si>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</si>
  <si>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</si>
  <si>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</si>
  <si>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</si>
  <si>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</si>
  <si>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</si>
  <si>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</si>
  <si>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</si>
  <si>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</si>
  <si>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</si>
  <si>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</si>
  <si>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</si>
  <si>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</si>
  <si>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</si>
  <si>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</si>
  <si>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</si>
  <si>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</si>
  <si>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</si>
  <si>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</si>
  <si>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</si>
  <si>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</si>
  <si>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</si>
  <si>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</si>
  <si>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</si>
  <si>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</si>
  <si>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</si>
  <si>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</si>
  <si>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</si>
  <si>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</si>
  <si>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</si>
  <si>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</si>
  <si>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</si>
  <si>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</si>
  <si>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</si>
  <si>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</si>
  <si>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</si>
  <si>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</si>
  <si>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</si>
  <si>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</si>
  <si>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</si>
  <si>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</si>
  <si>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</si>
  <si>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</si>
  <si>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</si>
  <si>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</si>
  <si>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</si>
  <si>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</si>
  <si>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</si>
  <si>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</si>
  <si>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</si>
  <si>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</si>
  <si>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</si>
  <si>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</si>
  <si>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</si>
  <si>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</si>
  <si>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</si>
  <si>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</si>
  <si>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</si>
  <si>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</si>
  <si>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</si>
  <si>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</si>
  <si>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</si>
  <si>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</si>
  <si>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</si>
  <si>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</si>
  <si>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</si>
  <si>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</si>
  <si>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</si>
  <si>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</si>
  <si>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</si>
  <si>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</si>
  <si>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</si>
  <si>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</si>
  <si>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</si>
  <si>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</si>
  <si>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</si>
  <si>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</si>
  <si>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</si>
  <si>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</si>
  <si>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</si>
  <si>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</si>
  <si>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</si>
  <si>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</si>
  <si>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</si>
  <si>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</si>
  <si>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</si>
  <si>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</si>
  <si>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</si>
  <si>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</si>
  <si>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</si>
  <si>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</si>
  <si>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</si>
  <si>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</si>
  <si>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</si>
  <si>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</si>
  <si>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</si>
  <si>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</si>
  <si>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</si>
  <si>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</si>
  <si>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</si>
  <si>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</si>
  <si>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</si>
  <si>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</si>
  <si>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</si>
  <si>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</si>
  <si>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</si>
  <si>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</si>
  <si>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</si>
  <si>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</si>
  <si>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</si>
  <si>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</si>
  <si>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</si>
  <si>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</si>
  <si>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</si>
  <si>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</si>
  <si>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</si>
  <si>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</si>
  <si>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</si>
  <si>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</si>
  <si>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</si>
  <si>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</si>
  <si>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</si>
  <si>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</si>
  <si>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</si>
  <si>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</si>
  <si>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</si>
  <si>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</si>
  <si>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</si>
  <si>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</si>
  <si>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</si>
  <si>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</si>
  <si>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</si>
  <si>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</si>
  <si>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</si>
  <si>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</si>
  <si>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</si>
  <si>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</si>
  <si>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</si>
  <si>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</si>
  <si>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</si>
  <si>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</si>
  <si>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</si>
  <si>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</si>
  <si>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</si>
  <si>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</si>
  <si>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</si>
  <si>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</si>
  <si>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</si>
  <si>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</si>
  <si>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</si>
  <si>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</si>
  <si>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</si>
  <si>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</si>
  <si>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</si>
  <si>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</si>
  <si>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</si>
  <si>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</si>
  <si>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</si>
  <si>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</si>
  <si>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</si>
  <si>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</si>
  <si>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</si>
  <si>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</si>
  <si>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</si>
  <si>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</si>
  <si>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</si>
  <si>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</si>
  <si>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</si>
  <si>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</si>
  <si>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</si>
  <si>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</si>
  <si>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</si>
  <si>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</si>
  <si>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</si>
  <si>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</si>
  <si>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</si>
  <si>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</si>
  <si>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</si>
  <si>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</si>
  <si>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</si>
  <si>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</si>
  <si>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</si>
  <si>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</si>
  <si>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</si>
  <si>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</si>
  <si>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</si>
  <si>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</si>
  <si>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</si>
  <si>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</si>
  <si>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</si>
  <si>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</si>
  <si>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</si>
  <si>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</si>
  <si>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</si>
  <si>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</si>
  <si>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</si>
  <si>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</si>
  <si>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</si>
  <si>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</si>
  <si>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</si>
  <si>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</si>
  <si>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</si>
  <si>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</si>
  <si>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</si>
  <si>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</si>
  <si>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</si>
  <si>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</si>
  <si>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</si>
  <si>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</si>
  <si>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</si>
  <si>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</si>
  <si>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</si>
  <si>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</si>
  <si>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</si>
  <si>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</si>
  <si>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</si>
  <si>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</si>
  <si>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</si>
  <si>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</si>
  <si>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</si>
  <si>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</si>
  <si>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</si>
  <si>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</si>
  <si>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</si>
  <si>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</si>
  <si>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</si>
  <si>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</si>
  <si>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</si>
  <si>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</si>
  <si>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</si>
  <si>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</si>
  <si>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</si>
  <si>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</si>
  <si>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</si>
  <si>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</si>
  <si>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</si>
  <si>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</si>
  <si>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</si>
  <si>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</si>
  <si>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</si>
  <si>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</si>
  <si>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</si>
  <si>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</si>
  <si>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</si>
  <si>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</si>
  <si>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</si>
  <si>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</si>
  <si>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</si>
  <si>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</si>
  <si>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</si>
  <si>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</si>
  <si>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</si>
  <si>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</si>
  <si>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</si>
  <si>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</si>
  <si>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</si>
  <si>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</si>
  <si>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</si>
  <si>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</si>
  <si>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</si>
  <si>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</si>
  <si>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</si>
  <si>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</si>
  <si>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</si>
  <si>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</si>
  <si>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</si>
  <si>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</si>
  <si>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</si>
  <si>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</si>
  <si>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</si>
  <si>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</si>
  <si>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</si>
  <si>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</si>
  <si>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</si>
  <si>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</si>
  <si>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</si>
  <si>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</si>
  <si>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</si>
  <si>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</si>
  <si>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</si>
  <si>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</si>
  <si>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</si>
  <si>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</si>
  <si>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</si>
  <si>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</si>
  <si>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</si>
  <si>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</si>
  <si>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</si>
  <si>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</si>
  <si>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</si>
  <si>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</si>
  <si>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</si>
  <si>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</si>
  <si>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</si>
  <si>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</si>
  <si>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</si>
  <si>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</si>
  <si>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</si>
  <si>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</si>
  <si>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</si>
  <si>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</si>
  <si>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</si>
  <si>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</si>
  <si>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</si>
  <si>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</si>
  <si>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</si>
  <si>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</si>
  <si>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</si>
  <si>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</si>
  <si>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</si>
  <si>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</si>
  <si>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</si>
  <si>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</si>
  <si>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</si>
  <si>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</si>
  <si>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</si>
  <si>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</si>
  <si>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</si>
  <si>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</si>
  <si>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</si>
  <si>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</si>
  <si>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</si>
  <si>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</si>
  <si>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</si>
  <si>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</si>
  <si>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</si>
  <si>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</si>
  <si>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</si>
  <si>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</si>
  <si>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</si>
  <si>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</si>
  <si>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</si>
  <si>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</si>
  <si>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</si>
  <si>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</si>
  <si>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</si>
  <si>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</si>
  <si>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</si>
  <si>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</si>
  <si>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</si>
  <si>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</si>
  <si>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</si>
  <si>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</si>
  <si>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</si>
  <si>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</si>
  <si>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</si>
  <si>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</si>
  <si>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</si>
  <si>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</si>
  <si>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</si>
  <si>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</si>
  <si>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</si>
  <si>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</si>
  <si>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</si>
  <si>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</si>
  <si>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</si>
  <si>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</si>
  <si>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</si>
  <si>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</si>
  <si>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</si>
  <si>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</si>
  <si>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</si>
  <si>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</si>
  <si>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</si>
  <si>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</si>
  <si>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</si>
  <si>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</si>
  <si>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</si>
  <si>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</si>
  <si>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</si>
  <si>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</si>
  <si>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</si>
  <si>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</si>
  <si>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</si>
  <si>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</si>
  <si>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</si>
  <si>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</si>
  <si>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</si>
  <si>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</si>
  <si>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</si>
  <si>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</si>
  <si>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</si>
  <si>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</si>
  <si>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</si>
  <si>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</si>
  <si>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</si>
  <si>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</si>
  <si>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</si>
  <si>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</si>
  <si>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</si>
  <si>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</si>
  <si>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</si>
  <si>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</si>
  <si>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</si>
  <si>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</si>
  <si>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</si>
  <si>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</si>
  <si>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</si>
  <si>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</si>
  <si>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</si>
  <si>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</si>
  <si>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</si>
  <si>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</si>
  <si>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</si>
  <si>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</si>
  <si>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</si>
  <si>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</si>
  <si>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</si>
  <si>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</si>
  <si>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</si>
  <si>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</si>
  <si>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</si>
  <si>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</si>
  <si>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</si>
  <si>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</si>
  <si>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</si>
  <si>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</si>
  <si>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</si>
  <si>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</si>
  <si>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</si>
  <si>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</si>
  <si>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</si>
  <si>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</si>
  <si>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</si>
  <si>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</si>
  <si>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</si>
  <si>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</si>
  <si>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</si>
  <si>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</si>
  <si>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</si>
  <si>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</si>
  <si>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</si>
  <si>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</si>
  <si>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</si>
  <si>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</si>
  <si>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</si>
  <si>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</si>
  <si>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</si>
  <si>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</si>
  <si>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</si>
  <si>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</si>
  <si>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</si>
  <si>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</si>
  <si>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</si>
  <si>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</si>
  <si>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</si>
  <si>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</si>
  <si>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</si>
  <si>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</si>
  <si>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</si>
  <si>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</si>
  <si>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</si>
  <si>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</si>
  <si>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</si>
  <si>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</si>
  <si>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</si>
  <si>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</si>
  <si>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</si>
  <si>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</si>
  <si>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</si>
  <si>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</si>
  <si>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</si>
  <si>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</si>
  <si>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</si>
  <si>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</si>
  <si>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</si>
  <si>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</si>
  <si>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</si>
  <si>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</si>
  <si>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</si>
  <si>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</si>
  <si>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</si>
  <si>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</si>
  <si>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</si>
  <si>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</si>
  <si>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</si>
  <si>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</si>
  <si>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</si>
  <si>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</si>
  <si>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</si>
  <si>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</si>
  <si>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</si>
  <si>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</si>
  <si>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</si>
  <si>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</si>
  <si>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</si>
  <si>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</si>
  <si>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</si>
  <si>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</si>
  <si>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</si>
  <si>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</si>
  <si>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</si>
  <si>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</si>
  <si>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</si>
  <si>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</si>
  <si>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</si>
  <si>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</si>
  <si>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</si>
  <si>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</si>
  <si>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</si>
  <si>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</si>
  <si>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</si>
  <si>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</si>
  <si>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</si>
  <si>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</si>
  <si>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</si>
  <si>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</si>
  <si>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</si>
  <si>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</si>
  <si>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</si>
  <si>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</si>
  <si>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</si>
  <si>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</si>
  <si>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</si>
  <si>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</si>
  <si>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</si>
  <si>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</si>
  <si>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</si>
  <si>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</si>
  <si>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</si>
  <si>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</si>
  <si>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</si>
  <si>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</si>
  <si>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</si>
  <si>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</si>
  <si>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</si>
  <si>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</si>
  <si>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</si>
  <si>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</si>
  <si>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</si>
  <si>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</si>
  <si>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</si>
  <si>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</si>
  <si>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</si>
  <si>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</si>
  <si>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</si>
  <si>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</si>
  <si>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</si>
  <si>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</si>
  <si>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</si>
  <si>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</si>
  <si>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</si>
  <si>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</si>
  <si>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</si>
  <si>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</si>
  <si>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</si>
  <si>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</si>
  <si>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</si>
  <si>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</si>
  <si>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</si>
  <si>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</si>
  <si>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</si>
  <si>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</si>
  <si>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</si>
  <si>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</si>
  <si>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</si>
  <si>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</si>
  <si>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</si>
  <si>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</si>
  <si>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</si>
  <si>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</si>
  <si>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</si>
  <si>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</si>
  <si>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</si>
  <si>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</si>
  <si>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</si>
  <si>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</si>
  <si>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</si>
  <si>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</si>
  <si>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</si>
  <si>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</si>
  <si>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</si>
  <si>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</si>
  <si>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</si>
  <si>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</si>
  <si>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</si>
  <si>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</si>
  <si>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</si>
  <si>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</si>
  <si>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</si>
  <si>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</si>
  <si>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</si>
  <si>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</si>
  <si>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</si>
  <si>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</si>
  <si>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</si>
  <si>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</si>
  <si>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</si>
  <si>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</si>
  <si>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</si>
  <si>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</si>
  <si>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</si>
  <si>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</si>
  <si>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</si>
  <si>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</si>
  <si>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</si>
  <si>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</si>
  <si>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</si>
  <si>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</si>
  <si>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</si>
  <si>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</si>
  <si>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</si>
  <si>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</si>
  <si>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</si>
  <si>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</si>
  <si>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</si>
  <si>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</si>
  <si>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</si>
  <si>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</si>
  <si>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</si>
  <si>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</si>
  <si>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</si>
  <si>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</si>
  <si>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</si>
  <si>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</si>
  <si>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</si>
  <si>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</si>
  <si>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</si>
  <si>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</si>
  <si>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</si>
  <si>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</si>
  <si>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</si>
  <si>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</si>
  <si>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</si>
  <si>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</si>
  <si>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</si>
  <si>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</si>
  <si>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</si>
  <si>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</si>
  <si>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</si>
  <si>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</si>
  <si>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</si>
  <si>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</si>
  <si>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</si>
  <si>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</si>
  <si>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</si>
  <si>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</si>
  <si>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</si>
  <si>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</si>
  <si>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</si>
  <si>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</si>
  <si>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</si>
  <si>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</si>
  <si>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</si>
  <si>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</si>
  <si>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</si>
  <si>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</si>
  <si>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</si>
  <si>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</si>
  <si>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</si>
  <si>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</si>
  <si>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</si>
  <si>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</si>
  <si>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</si>
  <si>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</si>
  <si>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</si>
  <si>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</si>
  <si>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</si>
  <si>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</si>
  <si>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</si>
  <si>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</si>
  <si>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</si>
  <si>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</si>
  <si>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</si>
  <si>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</si>
  <si>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</si>
  <si>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</si>
  <si>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</si>
  <si>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</si>
  <si>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</si>
  <si>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</si>
  <si>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</si>
  <si>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</si>
  <si>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</si>
  <si>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</si>
  <si>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</si>
  <si>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</si>
  <si>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</si>
  <si>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</si>
  <si>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</si>
  <si>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</si>
  <si>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</si>
  <si>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</si>
  <si>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</si>
  <si>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</si>
  <si>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</si>
  <si>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</si>
  <si>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</si>
  <si>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</si>
  <si>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</si>
  <si>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</si>
  <si>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</si>
  <si>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</si>
  <si>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</si>
  <si>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</si>
  <si>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</si>
  <si>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</si>
  <si>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</si>
  <si>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</si>
  <si>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</si>
  <si>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</si>
  <si>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</si>
  <si>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</si>
  <si>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</si>
  <si>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</si>
  <si>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</si>
  <si>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</si>
  <si>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</si>
  <si>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</si>
  <si>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</si>
  <si>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</si>
  <si>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</si>
  <si>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</si>
  <si>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</si>
  <si>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</si>
  <si>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</si>
  <si>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</si>
  <si>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</si>
  <si>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</si>
  <si>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</si>
  <si>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</si>
  <si>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</si>
  <si>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</si>
  <si>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</si>
  <si>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</si>
  <si>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</si>
  <si>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</si>
  <si>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</si>
  <si>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</si>
  <si>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</si>
  <si>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</si>
  <si>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</si>
  <si>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</si>
  <si>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</si>
  <si>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</si>
  <si>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</si>
  <si>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</si>
  <si>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</si>
  <si>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</si>
  <si>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</si>
  <si>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</si>
  <si>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</si>
  <si>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</si>
  <si>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</si>
  <si>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</si>
  <si>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</si>
  <si>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</si>
  <si>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</si>
  <si>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</si>
  <si>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</si>
  <si>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</si>
  <si>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</si>
  <si>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</si>
  <si>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</si>
  <si>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</si>
  <si>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</si>
  <si>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</si>
  <si>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</si>
  <si>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</si>
  <si>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</si>
  <si>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郑燚</t>
  </si>
  <si>
    <t>崔锴</t>
  </si>
  <si>
    <t>抵押</t>
  </si>
  <si>
    <t>房地产抵押价值</t>
  </si>
  <si>
    <t>北京市</t>
  </si>
  <si>
    <t>企业</t>
  </si>
  <si>
    <t>出让</t>
  </si>
  <si>
    <t>办公项目</t>
  </si>
  <si>
    <t>在建</t>
  </si>
  <si>
    <t>通路</t>
  </si>
  <si>
    <t>通电</t>
  </si>
  <si>
    <t>通上水</t>
  </si>
  <si>
    <t>通下水</t>
  </si>
  <si>
    <t>北京通州国际种业科技有限公司</t>
    <phoneticPr fontId="6" type="noConversion"/>
  </si>
  <si>
    <t>工行通州</t>
    <phoneticPr fontId="6" type="noConversion"/>
  </si>
  <si>
    <r>
      <rPr>
        <sz val="10"/>
        <color theme="9" tint="-0.249977111117893"/>
        <rFont val="宋体"/>
        <family val="3"/>
        <charset val="134"/>
      </rPr>
      <t>通州区于家务回族乡通州国际种业科技园区</t>
    </r>
    <r>
      <rPr>
        <sz val="10"/>
        <color theme="9" tint="-0.249977111117893"/>
        <rFont val="Arial"/>
        <family val="2"/>
      </rPr>
      <t>A03</t>
    </r>
    <r>
      <rPr>
        <sz val="10"/>
        <color theme="9" tint="-0.249977111117893"/>
        <rFont val="宋体"/>
        <family val="3"/>
        <charset val="134"/>
      </rPr>
      <t>地块研发中心项目</t>
    </r>
    <phoneticPr fontId="6" type="noConversion"/>
  </si>
  <si>
    <t>Ⅹ-通1</t>
  </si>
  <si>
    <r>
      <t>A</t>
    </r>
    <r>
      <rPr>
        <sz val="10"/>
        <color indexed="8"/>
        <rFont val="宋体"/>
        <family val="3"/>
        <charset val="134"/>
      </rPr>
      <t>座</t>
    </r>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</si>
  <si>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</si>
  <si>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</si>
  <si>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</si>
  <si>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t>地下车库</t>
    <phoneticPr fontId="3" type="noConversion"/>
  </si>
  <si>
    <t>是</t>
  </si>
  <si>
    <t>地上</t>
  </si>
  <si>
    <t>地下</t>
  </si>
  <si>
    <t>车库</t>
  </si>
  <si>
    <t>办公楼</t>
  </si>
  <si>
    <t>办公楼</t>
    <phoneticPr fontId="7" type="noConversion"/>
  </si>
  <si>
    <t>利息：取LPR加浮动点数</t>
  </si>
  <si>
    <t>收益法</t>
  </si>
  <si>
    <t>项目全部</t>
  </si>
  <si>
    <t>成本法</t>
  </si>
  <si>
    <t>假设开发法</t>
  </si>
  <si>
    <t>在建（套用方法）</t>
  </si>
  <si>
    <t>押一</t>
  </si>
  <si>
    <t>按租金收入计税</t>
  </si>
  <si>
    <t>钢混</t>
  </si>
  <si>
    <t>非生产用房</t>
  </si>
  <si>
    <t>科教用地</t>
  </si>
  <si>
    <t>宗地容积率</t>
  </si>
  <si>
    <t>通讯</t>
  </si>
  <si>
    <t>平整</t>
  </si>
  <si>
    <t>与级别开发程度一致</t>
  </si>
  <si>
    <t>按公示增长率计算</t>
  </si>
  <si>
    <t>容积率修正</t>
  </si>
  <si>
    <t>差</t>
  </si>
  <si>
    <t>较差</t>
  </si>
  <si>
    <t>一般</t>
  </si>
  <si>
    <t>较好</t>
  </si>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</sst>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北京市通州区于家务回族乡通州国际种业科技园区A03地块研发中心项目出让国有建设用地使用权及在建建筑物房地产抵押价值预评估</v>
      </c>
    </row>
    <row r="3" spans="1:2" s="1365" customFormat="1">
      <c r="A3" s="1363" t="s">
        <v>1188</v>
      </c>
      <c r="B3" s="1364" t="str">
        <f>'预评函-封皮'!B40</f>
        <v>北京通州国际种业科技有限公司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受贵公司委托，我公司对北京市通州区于家务回族乡通州国际种业科技园区A03地块研发中心项目出让国有建设用地使用权及在建建筑物房地产抵押价值进行了预评估。</v>
      </c>
    </row>
    <row r="7" spans="1:2" s="1365" customFormat="1">
      <c r="A7" s="1363" t="s">
        <v>1231</v>
      </c>
      <c r="B7" s="1364"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为估价委托人在向工行通州办理贷款手续过程中，确定房地产抵押贷款额度提供参考依据而评估房地产抵押价值。</v>
      </c>
    </row>
    <row r="12" spans="1:2" s="1365" customFormat="1">
      <c r="A12" s="1363" t="s">
        <v>1193</v>
      </c>
      <c r="B12" s="1364" t="str">
        <f>'预评函-1'!A15</f>
        <v>2021年4月29日（评估专业人员实地查勘之日）</v>
      </c>
    </row>
    <row r="13" spans="1:2" s="1365" customFormat="1">
      <c r="A13" s="1363" t="s">
        <v>1194</v>
      </c>
      <c r="B13" s="1364" t="str">
        <f>'预评函-1'!A18</f>
        <v>本次估价的“房地产价值”是指在正常市场情况下，在价值时点2021年4月29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53096</v>
      </c>
    </row>
    <row r="21" spans="1:2" s="1365" customFormat="1">
      <c r="A21" s="1363" t="s">
        <v>1202</v>
      </c>
      <c r="B21" s="1364">
        <f ca="1">'预评函-2'!D7</f>
        <v>7076</v>
      </c>
    </row>
    <row r="22" spans="1:2" s="1365" customFormat="1">
      <c r="A22" s="1363" t="s">
        <v>1203</v>
      </c>
      <c r="B22" s="1364" t="str">
        <f ca="1">'预评函-2'!D6</f>
        <v>伍亿叁仟零玖拾陆万元整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53096</v>
      </c>
    </row>
    <row r="31" spans="1:2" s="1365" customFormat="1">
      <c r="A31" s="1363" t="s">
        <v>1241</v>
      </c>
      <c r="B31" s="1364">
        <f ca="1">'预评函-2'!D15</f>
        <v>7076</v>
      </c>
    </row>
    <row r="32" spans="1:2" s="1365" customFormat="1">
      <c r="A32" s="1363" t="s">
        <v>1208</v>
      </c>
      <c r="B32" s="1364" t="str">
        <f ca="1">'预评函-2'!D14</f>
        <v>伍亿叁仟零玖拾陆万元整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北京市通州区于家务回族乡通州国际种业科技园区A03地块研发中心项目出让国有建设用地使用权及在建建筑物房地产</v>
      </c>
    </row>
    <row r="42" spans="1:2" s="1365" customFormat="1">
      <c r="A42" s="1363" t="s">
        <v>1255</v>
      </c>
      <c r="B42" s="1364" t="str">
        <f>'预评函-3'!B2</f>
        <v>建筑面积</v>
      </c>
    </row>
    <row r="43" spans="1:2" s="1365" customFormat="1">
      <c r="A43" s="1363" t="s">
        <v>1256</v>
      </c>
      <c r="B43" s="1364">
        <f>'预评函-3'!B4</f>
        <v>75038.94</v>
      </c>
    </row>
    <row r="44" spans="1:2" s="1365" customFormat="1">
      <c r="A44" s="1363" t="s">
        <v>1240</v>
      </c>
      <c r="B44" s="1364" t="str">
        <f>'预评函-3'!C2</f>
        <v>(分摊)土地面积</v>
      </c>
    </row>
    <row r="45" spans="1:2" s="1365" customFormat="1">
      <c r="A45" s="1363" t="s">
        <v>1212</v>
      </c>
      <c r="B45" s="1364">
        <f>'预评函-3'!C4</f>
        <v>17679.96</v>
      </c>
    </row>
    <row r="46" spans="1:2" s="1365" customFormat="1">
      <c r="A46" s="1363" t="s">
        <v>1238</v>
      </c>
      <c r="B46" s="1364" t="str">
        <f>'预评函-3'!D2</f>
        <v>出让国有建设用地使用权价值</v>
      </c>
    </row>
    <row r="47" spans="1:2" s="1365" customFormat="1">
      <c r="A47" s="1363" t="s">
        <v>1213</v>
      </c>
      <c r="B47" s="1364">
        <f ca="1">'预评函-3'!D4</f>
        <v>22460</v>
      </c>
    </row>
    <row r="48" spans="1:2" s="1365" customFormat="1">
      <c r="A48" s="1363" t="s">
        <v>1214</v>
      </c>
      <c r="B48" s="1364">
        <f ca="1">'预评函-3'!E4</f>
        <v>2993</v>
      </c>
    </row>
    <row r="49" spans="1:2" s="1365" customFormat="1">
      <c r="A49" s="1363" t="s">
        <v>1215</v>
      </c>
      <c r="B49" s="1364" t="str">
        <f ca="1">'预评函-3'!D5</f>
        <v>贰亿贰仟肆佰陆拾万元整</v>
      </c>
    </row>
    <row r="50" spans="1:2" s="1365" customFormat="1">
      <c r="A50" s="1363" t="s">
        <v>1239</v>
      </c>
      <c r="B50" s="1364" t="str">
        <f>'预评函-3'!F2</f>
        <v>在建建筑物价值</v>
      </c>
    </row>
    <row r="51" spans="1:2" s="1365" customFormat="1">
      <c r="A51" s="1363" t="s">
        <v>1216</v>
      </c>
      <c r="B51" s="1364">
        <f ca="1">'预评函-3'!F4</f>
        <v>30636</v>
      </c>
    </row>
    <row r="52" spans="1:2" s="1365" customFormat="1">
      <c r="A52" s="1363" t="s">
        <v>1217</v>
      </c>
      <c r="B52" s="1364">
        <f ca="1">'预评函-3'!G4</f>
        <v>4083</v>
      </c>
    </row>
    <row r="53" spans="1:2" s="1365" customFormat="1">
      <c r="A53" s="1363" t="s">
        <v>1245</v>
      </c>
      <c r="B53" s="1364" t="str">
        <f ca="1">'预评函-3'!F5</f>
        <v>叁亿零陆佰叁拾陆万元整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工行通州办理贷款手续。工行通州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9" t="s">
        <v>832</v>
      </c>
      <c r="C54" s="1736" t="s">
        <v>1248</v>
      </c>
    </row>
    <row r="55" spans="1:4">
      <c r="A55" s="3104"/>
      <c r="B55" s="1739" t="s">
        <v>833</v>
      </c>
      <c r="C55" s="1736" t="s">
        <v>1249</v>
      </c>
    </row>
    <row r="56" spans="1:4">
      <c r="A56" s="3104"/>
      <c r="B56" s="1739" t="s">
        <v>834</v>
      </c>
      <c r="C56" s="1736" t="s">
        <v>1253</v>
      </c>
    </row>
    <row r="57" spans="1:4">
      <c r="A57" s="31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105"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106"/>
      <c r="D1" s="3106"/>
      <c r="E1" s="3106"/>
      <c r="F1" s="3106"/>
      <c r="G1" s="3106"/>
      <c r="H1" s="3106"/>
      <c r="I1" s="3107"/>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c r="T1" s="1931"/>
      <c r="U1" s="1931"/>
      <c r="V1" s="1931"/>
      <c r="W1" s="1931"/>
      <c r="X1" s="1931"/>
      <c r="Y1" s="1931"/>
      <c r="Z1" s="1931"/>
      <c r="AA1" s="1931"/>
      <c r="AB1" s="1931"/>
    </row>
    <row r="2" spans="1:28">
      <c r="A2" s="2591" t="s">
        <v>2911</v>
      </c>
      <c r="B2" s="2595"/>
      <c r="C2" s="2596"/>
      <c r="D2" s="2896"/>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c r="T2" s="1931"/>
      <c r="U2" s="1931"/>
      <c r="V2" s="1931"/>
      <c r="W2" s="1931"/>
      <c r="X2" s="1931"/>
      <c r="Y2" s="1931"/>
      <c r="Z2" s="1931"/>
      <c r="AA2" s="1931"/>
      <c r="AB2" s="1931"/>
    </row>
    <row r="3" spans="1:28">
      <c r="A3" s="308" t="s">
        <v>2912</v>
      </c>
      <c r="B3" s="2597">
        <v>44315</v>
      </c>
      <c r="C3" s="2598" t="s">
        <v>2913</v>
      </c>
      <c r="D3" s="2597">
        <f>B3</f>
        <v>44315</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3059</v>
      </c>
      <c r="C4" s="2600">
        <f ca="1">SUMIF(注册房地产估价师,B4,估价师及机构信息!B3:B24)</f>
        <v>1120070131</v>
      </c>
      <c r="D4" s="2599" t="s">
        <v>3060</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2915</v>
      </c>
      <c r="B5" s="3057" t="s">
        <v>3072</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2916</v>
      </c>
      <c r="B6" s="3058" t="s">
        <v>3073</v>
      </c>
      <c r="C6" s="2608"/>
      <c r="D6" s="2609"/>
      <c r="E6" s="2886"/>
      <c r="F6" s="2888"/>
      <c r="G6" s="2888"/>
      <c r="H6" s="2888"/>
      <c r="I6" s="2888"/>
      <c r="J6" s="2662"/>
      <c r="K6" s="2838" t="str">
        <f>IF(COUNTIF(B6,"*上海银行*"),"上海银行","")</f>
        <v/>
      </c>
      <c r="L6" s="2836"/>
      <c r="M6" s="2836"/>
      <c r="N6" s="2662"/>
      <c r="O6" s="2673"/>
      <c r="P6" s="2662"/>
      <c r="Q6" s="2662"/>
      <c r="R6" s="2662"/>
    </row>
    <row r="7" spans="1:28">
      <c r="A7" s="2606" t="s">
        <v>2917</v>
      </c>
      <c r="B7" s="2607" t="str">
        <f>B5</f>
        <v>北京通州国际种业科技有限公司</v>
      </c>
      <c r="C7" s="2608"/>
      <c r="D7" s="2609"/>
      <c r="E7" s="2886"/>
      <c r="F7" s="2888"/>
      <c r="G7" s="2888"/>
      <c r="H7" s="2888"/>
      <c r="I7" s="2888"/>
      <c r="J7" s="2662"/>
      <c r="K7" s="2839"/>
      <c r="L7" s="2836"/>
      <c r="M7" s="2836"/>
      <c r="N7" s="2662"/>
      <c r="O7" s="2673"/>
      <c r="P7" s="2662"/>
      <c r="Q7" s="2662"/>
      <c r="R7" s="2662"/>
    </row>
    <row r="8" spans="1:28">
      <c r="A8" s="2610" t="s">
        <v>2918</v>
      </c>
      <c r="B8" s="2611" t="s">
        <v>3061</v>
      </c>
      <c r="C8" s="2612"/>
      <c r="D8" s="3108" t="s">
        <v>2919</v>
      </c>
      <c r="E8" s="2613" t="s">
        <v>3062</v>
      </c>
      <c r="F8" s="2614"/>
      <c r="G8" s="2887"/>
      <c r="H8" s="2887"/>
      <c r="I8" s="2887"/>
      <c r="J8" s="2662"/>
      <c r="K8" s="2837"/>
      <c r="L8" s="2836"/>
      <c r="M8" s="2836"/>
      <c r="N8" s="2662"/>
      <c r="O8" s="2673"/>
      <c r="P8" s="2662"/>
      <c r="Q8" s="2662"/>
      <c r="R8" s="2662"/>
    </row>
    <row r="9" spans="1:28" ht="13.5" thickBot="1">
      <c r="A9" s="2615" t="s">
        <v>2920</v>
      </c>
      <c r="B9" s="2616" t="s">
        <v>3062</v>
      </c>
      <c r="C9" s="2617"/>
      <c r="D9" s="3109"/>
      <c r="E9" s="2616" t="s">
        <v>70</v>
      </c>
      <c r="F9" s="2618"/>
      <c r="G9" s="2889"/>
      <c r="H9" s="2889"/>
      <c r="I9" s="2889"/>
      <c r="J9" s="2662"/>
      <c r="K9" s="2839"/>
      <c r="L9" s="2836"/>
      <c r="M9" s="2836"/>
      <c r="N9" s="2662"/>
      <c r="O9" s="2673"/>
      <c r="P9" s="2662"/>
      <c r="Q9" s="2662"/>
      <c r="R9" s="2662"/>
    </row>
    <row r="10" spans="1:28" ht="13.5" thickTop="1">
      <c r="A10" s="2619" t="s">
        <v>2921</v>
      </c>
      <c r="B10" s="2620" t="s">
        <v>3063</v>
      </c>
      <c r="C10" s="2621"/>
      <c r="D10" s="2605"/>
      <c r="E10" s="2622" t="s">
        <v>2922</v>
      </c>
      <c r="F10" s="2890" t="s">
        <v>3074</v>
      </c>
      <c r="G10" s="2891"/>
      <c r="H10" s="2892"/>
      <c r="I10" s="2893"/>
      <c r="J10" s="2662"/>
      <c r="K10" s="2839"/>
      <c r="L10" s="2836"/>
      <c r="M10" s="2836"/>
      <c r="N10" s="2662"/>
      <c r="O10" s="2673"/>
      <c r="P10" s="2662"/>
      <c r="Q10" s="2662"/>
      <c r="R10" s="2662"/>
    </row>
    <row r="11" spans="1:28">
      <c r="A11" s="2623" t="s">
        <v>2923</v>
      </c>
      <c r="B11" s="2624" t="s">
        <v>3064</v>
      </c>
      <c r="C11" s="3059" t="str">
        <f>B5</f>
        <v>北京通州国际种业科技有限公司</v>
      </c>
      <c r="D11" s="2625"/>
      <c r="E11" s="2594"/>
      <c r="F11" s="2594"/>
      <c r="G11" s="2594"/>
      <c r="H11" s="2594"/>
      <c r="I11" s="2594"/>
      <c r="J11" s="2662"/>
      <c r="K11" s="2839"/>
      <c r="L11" s="2836"/>
      <c r="M11" s="2836"/>
      <c r="N11" s="2662"/>
      <c r="O11" s="2673"/>
      <c r="P11" s="2662"/>
      <c r="Q11" s="2662"/>
      <c r="R11" s="2662"/>
    </row>
    <row r="12" spans="1:28">
      <c r="A12" s="2626" t="s">
        <v>2924</v>
      </c>
      <c r="B12" s="2624" t="s">
        <v>3065</v>
      </c>
      <c r="C12" s="329" t="s">
        <v>2925</v>
      </c>
      <c r="D12" s="2627" t="s">
        <v>2926</v>
      </c>
      <c r="E12" s="2627" t="s">
        <v>2927</v>
      </c>
      <c r="F12" s="2627" t="s">
        <v>2928</v>
      </c>
      <c r="G12" s="2627" t="s">
        <v>2929</v>
      </c>
      <c r="H12" s="2627" t="s">
        <v>2930</v>
      </c>
      <c r="I12" s="2627" t="s">
        <v>2931</v>
      </c>
      <c r="J12" s="2662"/>
      <c r="K12" s="2839"/>
      <c r="L12" s="2836"/>
      <c r="M12" s="2836"/>
      <c r="N12" s="2662"/>
      <c r="O12" s="2673"/>
      <c r="P12" s="2662"/>
      <c r="Q12" s="2662"/>
      <c r="R12" s="2662"/>
    </row>
    <row r="13" spans="1:28">
      <c r="A13" s="1241"/>
      <c r="B13" s="2628"/>
      <c r="C13" s="2629" t="s">
        <v>2932</v>
      </c>
      <c r="D13" s="965"/>
      <c r="E13" s="965"/>
      <c r="F13" s="965">
        <v>61714</v>
      </c>
      <c r="G13" s="965">
        <f>F13</f>
        <v>61714</v>
      </c>
      <c r="H13" s="965"/>
      <c r="I13" s="965"/>
      <c r="J13" s="2662"/>
      <c r="K13" s="2839"/>
      <c r="L13" s="2836"/>
      <c r="M13" s="2836"/>
      <c r="N13" s="2662"/>
      <c r="O13" s="2673"/>
      <c r="P13" s="2662"/>
      <c r="Q13" s="2662"/>
      <c r="R13" s="2662"/>
    </row>
    <row r="14" spans="1:28">
      <c r="A14" s="1241"/>
      <c r="B14" s="2628"/>
      <c r="C14" s="2629" t="s">
        <v>2933</v>
      </c>
      <c r="D14" s="2630"/>
      <c r="E14" s="2630"/>
      <c r="F14" s="2630">
        <v>50</v>
      </c>
      <c r="G14" s="2630">
        <v>50</v>
      </c>
      <c r="H14" s="2630"/>
      <c r="I14" s="2630"/>
      <c r="J14" s="2662"/>
      <c r="K14" s="2840"/>
      <c r="L14" s="2836"/>
      <c r="M14" s="2836"/>
      <c r="N14" s="2662"/>
      <c r="O14" s="2673"/>
      <c r="P14" s="2662"/>
      <c r="Q14" s="2662"/>
      <c r="R14" s="2662"/>
    </row>
    <row r="15" spans="1:28">
      <c r="A15" s="326"/>
      <c r="B15" s="2631"/>
      <c r="C15" s="2632" t="s">
        <v>2934</v>
      </c>
      <c r="D15" s="2633" t="str">
        <f>IF(B12="出让",IF(D13="","",ROUNDDOWN(MIN((D13-$D$3)/365,D14),2)),D14)</f>
        <v/>
      </c>
      <c r="E15" s="2633" t="str">
        <f>IF(B12="出让",IF(E13="","",ROUNDDOWN(MIN((E13-$D$3)/365,E14),2)),E14)</f>
        <v/>
      </c>
      <c r="F15" s="2633">
        <f>IF(B12="出让",IF(F13="","",ROUNDDOWN(MIN((F13-$D$3)/365,F14),2)),F14)</f>
        <v>47.66</v>
      </c>
      <c r="G15" s="2633">
        <f>IF(B12="出让",IF(G13="","",ROUNDDOWN(MIN((G13-$D$3)/365,G14),2)),G14)</f>
        <v>47.66</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2935</v>
      </c>
      <c r="B16" s="3115"/>
      <c r="C16" s="3116"/>
      <c r="D16" s="3117"/>
      <c r="E16" s="2636" t="s">
        <v>2936</v>
      </c>
      <c r="F16" s="3118"/>
      <c r="G16" s="3119"/>
      <c r="H16" s="3119"/>
      <c r="I16" s="3120"/>
      <c r="J16" s="2662"/>
      <c r="K16" s="2841"/>
      <c r="L16" s="2674"/>
      <c r="M16" s="2674"/>
      <c r="N16" s="2732"/>
      <c r="O16" s="2674"/>
      <c r="P16" s="2732"/>
      <c r="Q16" s="2662"/>
      <c r="R16" s="2662"/>
    </row>
    <row r="17" spans="1:28">
      <c r="A17" s="319" t="s">
        <v>2937</v>
      </c>
      <c r="B17" s="308" t="s">
        <v>2938</v>
      </c>
      <c r="C17" s="11">
        <f>'数据-汇总表'!E3</f>
        <v>75038.94</v>
      </c>
      <c r="D17" s="2545" t="s">
        <v>2939</v>
      </c>
      <c r="E17" s="3121" t="s">
        <v>2940</v>
      </c>
      <c r="F17" s="3122"/>
      <c r="G17" s="3122"/>
      <c r="H17" s="3122"/>
      <c r="I17" s="3123"/>
      <c r="J17" s="2662"/>
      <c r="K17" s="2842"/>
      <c r="L17" s="2674"/>
      <c r="M17" s="2674"/>
      <c r="N17" s="2732"/>
      <c r="O17" s="2674"/>
      <c r="P17" s="2732"/>
      <c r="Q17" s="2662"/>
      <c r="R17" s="2662"/>
      <c r="S17" s="2662"/>
      <c r="T17" s="2662"/>
      <c r="U17" s="2662"/>
      <c r="V17" s="2662"/>
    </row>
    <row r="18" spans="1:28" ht="24.75" thickBot="1">
      <c r="A18" s="2637" t="s">
        <v>2941</v>
      </c>
      <c r="B18" s="1250" t="s">
        <v>2942</v>
      </c>
      <c r="C18" s="2638">
        <f>'数据-汇总表'!D3</f>
        <v>17679.96</v>
      </c>
      <c r="D18" s="1252" t="s">
        <v>2943</v>
      </c>
      <c r="E18" s="3124" t="s">
        <v>2944</v>
      </c>
      <c r="F18" s="3125"/>
      <c r="G18" s="3125"/>
      <c r="H18" s="3125"/>
      <c r="I18" s="3126"/>
      <c r="J18" s="2662"/>
      <c r="K18" s="2842"/>
      <c r="L18" s="2674"/>
      <c r="M18" s="2674"/>
      <c r="N18" s="2732"/>
      <c r="O18" s="2674"/>
      <c r="P18" s="2732"/>
      <c r="Q18" s="2662"/>
      <c r="R18" s="2662"/>
      <c r="S18" s="2662"/>
      <c r="T18" s="2662"/>
      <c r="U18" s="2662"/>
      <c r="V18" s="2662"/>
    </row>
    <row r="19" spans="1:28" ht="37.5" thickTop="1" thickBot="1">
      <c r="A19" s="333" t="s">
        <v>1741</v>
      </c>
      <c r="B19" s="313" t="s">
        <v>2945</v>
      </c>
      <c r="C19" s="1748"/>
      <c r="D19" s="1749" t="s">
        <v>2946</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2947</v>
      </c>
      <c r="B20" s="3111" t="s">
        <v>2948</v>
      </c>
      <c r="C20" s="3112"/>
      <c r="D20" s="3113" t="s">
        <v>2949</v>
      </c>
      <c r="E20" s="3114"/>
      <c r="F20" s="2871" t="s">
        <v>1742</v>
      </c>
      <c r="G20" s="2888"/>
      <c r="H20" s="2888"/>
      <c r="I20" s="2888"/>
      <c r="J20" s="2662"/>
      <c r="K20" s="3110"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2951</v>
      </c>
      <c r="C21" s="2858" t="s">
        <v>1743</v>
      </c>
      <c r="D21" s="1753" t="s">
        <v>2952</v>
      </c>
      <c r="E21" s="2859" t="s">
        <v>1743</v>
      </c>
      <c r="F21" s="2872"/>
      <c r="G21" s="2888"/>
      <c r="H21" s="2888"/>
      <c r="I21" s="2888"/>
      <c r="J21" s="2662"/>
      <c r="K21" s="31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2953</v>
      </c>
      <c r="C22" s="2858" t="s">
        <v>1744</v>
      </c>
      <c r="D22" s="2887"/>
      <c r="E22" s="2887"/>
      <c r="F22" s="2887"/>
      <c r="G22" s="2888"/>
      <c r="H22" s="2888"/>
      <c r="I22" s="2888"/>
      <c r="J22" s="2662"/>
      <c r="K22" s="31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2954</v>
      </c>
      <c r="B23" s="2725" t="s">
        <v>2955</v>
      </c>
      <c r="C23" s="2862"/>
      <c r="D23" s="2863" t="s">
        <v>2955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8" t="s">
        <v>2956</v>
      </c>
      <c r="B27" s="326" t="s">
        <v>2957</v>
      </c>
      <c r="C27" s="2639" t="s">
        <v>3066</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8"/>
      <c r="B28" s="308" t="s">
        <v>2958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8"/>
      <c r="B29" s="308" t="s">
        <v>2959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9"/>
      <c r="B30" s="308" t="s">
        <v>2960</v>
      </c>
      <c r="C30" s="3130"/>
      <c r="D30" s="3131"/>
      <c r="E30" s="2888"/>
      <c r="F30" s="2888"/>
      <c r="G30" s="2888"/>
      <c r="H30" s="2888"/>
      <c r="I30" s="2888"/>
      <c r="J30" s="2662"/>
      <c r="K30" s="2839"/>
      <c r="L30" s="2836"/>
      <c r="M30" s="2836"/>
      <c r="N30" s="2662"/>
      <c r="O30" s="2673"/>
      <c r="P30" s="2662"/>
      <c r="Q30" s="2662"/>
      <c r="R30" s="2662"/>
      <c r="S30" s="2662"/>
      <c r="T30" s="2662"/>
      <c r="U30" s="2662"/>
      <c r="V30" s="2662"/>
    </row>
    <row r="31" spans="1:28">
      <c r="A31" s="3132" t="s">
        <v>2961</v>
      </c>
      <c r="B31" s="2645" t="s">
        <v>3067</v>
      </c>
      <c r="C31" s="2546" t="str">
        <f>IF(B31="现房","成新及维护状况正常否",IF(B31="在建","工程状态是否正常",IF(B31="土地","是否闲置","-")))</f>
        <v>工程状态是否正常</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33"/>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33"/>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2962</v>
      </c>
      <c r="B34" s="2214" t="s">
        <v>3068</v>
      </c>
      <c r="C34" s="2214" t="s">
        <v>3069</v>
      </c>
      <c r="D34" s="2214" t="s">
        <v>3069</v>
      </c>
      <c r="E34" s="2214" t="s">
        <v>3070</v>
      </c>
      <c r="F34" s="2214" t="s">
        <v>3071</v>
      </c>
      <c r="G34" s="2214" t="s">
        <v>70</v>
      </c>
      <c r="H34" s="2214" t="s">
        <v>70</v>
      </c>
      <c r="I34" s="2888"/>
      <c r="J34" s="2662"/>
      <c r="K34" s="2650">
        <f>COUNTIF(B34:H34,"——")</f>
        <v>2</v>
      </c>
      <c r="L34" s="329" t="s">
        <v>2963</v>
      </c>
      <c r="M34" s="329" t="s">
        <v>2964</v>
      </c>
      <c r="N34" s="329" t="s">
        <v>2965</v>
      </c>
      <c r="O34" s="329" t="s">
        <v>2966</v>
      </c>
      <c r="P34" s="329" t="s">
        <v>2967</v>
      </c>
      <c r="Q34" s="329" t="s">
        <v>2968</v>
      </c>
      <c r="R34" s="329" t="s">
        <v>2969</v>
      </c>
      <c r="S34" s="3127" t="s">
        <v>2970</v>
      </c>
      <c r="T34" s="2651" t="str">
        <f>NUMBERSTRING(7-K34,1)&amp;"通"</f>
        <v>五通</v>
      </c>
      <c r="U34" s="2662"/>
      <c r="V34" s="2662"/>
    </row>
    <row r="35" spans="1:30">
      <c r="A35" s="2652"/>
      <c r="B35" s="3134" t="s">
        <v>2971</v>
      </c>
      <c r="C35" s="3134"/>
      <c r="D35" s="3134"/>
      <c r="E35" s="3134"/>
      <c r="F35" s="673">
        <f>C10</f>
        <v>0</v>
      </c>
      <c r="G35" s="2888"/>
      <c r="H35" s="2888"/>
      <c r="I35" s="2888"/>
      <c r="J35" s="2662"/>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v>
      </c>
      <c r="R35" s="335" t="str">
        <f>B34&amp;"、"&amp;C34&amp;"、"&amp;D34&amp;"、"&amp;E34&amp;"、"&amp;F34&amp;"、"&amp;G34&amp;"、"&amp;H34</f>
        <v>通路、通电、通电、通上水、通下水、——、——</v>
      </c>
      <c r="S35" s="3127"/>
      <c r="T35" s="335" t="str">
        <f>IF(T34="一通",L35,IF(T34="二通",M35,IF(T34="三通",N35,IF(T34="四通",O35,IF(T34="五通",P35,IF(T34="六通",Q35,R35))))))</f>
        <v>通路、通电、通电、通上水、通下水</v>
      </c>
      <c r="U35" s="2662"/>
      <c r="V35" s="2662"/>
    </row>
    <row r="36" spans="1:30">
      <c r="A36" s="2653"/>
      <c r="B36" s="673" t="s">
        <v>2927</v>
      </c>
      <c r="C36" s="673" t="s">
        <v>2928</v>
      </c>
      <c r="D36" s="673" t="s">
        <v>2926</v>
      </c>
      <c r="E36" s="673" t="s">
        <v>2931</v>
      </c>
      <c r="F36" s="2894"/>
      <c r="G36" s="2888"/>
      <c r="H36" s="2888"/>
      <c r="I36" s="2888"/>
      <c r="J36" s="2662"/>
      <c r="K36" s="2839"/>
      <c r="L36" s="2836"/>
      <c r="M36" s="2836"/>
      <c r="N36" s="2662"/>
      <c r="O36" s="2673"/>
      <c r="P36" s="2662"/>
      <c r="Q36" s="2662"/>
      <c r="R36" s="2662"/>
      <c r="S36" s="2662"/>
      <c r="T36" s="2662"/>
      <c r="U36" s="2662"/>
      <c r="V36" s="2662"/>
    </row>
    <row r="37" spans="1:30">
      <c r="A37" s="2854" t="s">
        <v>2972</v>
      </c>
      <c r="B37" s="2654"/>
      <c r="C37" s="2654" t="s">
        <v>534</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2973</v>
      </c>
      <c r="B38" s="2655"/>
      <c r="C38" s="2655" t="s">
        <v>3075</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2975</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2976</v>
      </c>
      <c r="B42" s="11" t="s">
        <v>2977</v>
      </c>
      <c r="C42" s="11" t="s">
        <v>2978</v>
      </c>
      <c r="D42" s="11" t="s">
        <v>2979</v>
      </c>
      <c r="E42" s="11" t="s">
        <v>2980</v>
      </c>
      <c r="F42" s="11" t="s">
        <v>2981</v>
      </c>
      <c r="G42" s="11" t="s">
        <v>2982</v>
      </c>
      <c r="H42" s="11" t="s">
        <v>2983</v>
      </c>
      <c r="I42" s="11" t="s">
        <v>2984</v>
      </c>
      <c r="J42" s="2850" t="s">
        <v>2985</v>
      </c>
      <c r="K42" s="2851" t="s">
        <v>2986</v>
      </c>
      <c r="L42" s="2851" t="s">
        <v>2987</v>
      </c>
      <c r="M42" s="2851" t="s">
        <v>2988</v>
      </c>
      <c r="N42" s="2844" t="s">
        <v>2989</v>
      </c>
      <c r="O42" s="2844" t="s">
        <v>2990</v>
      </c>
      <c r="P42" s="2844" t="s">
        <v>2991</v>
      </c>
      <c r="Q42" s="2845" t="s">
        <v>2992</v>
      </c>
      <c r="R42" s="2845" t="s">
        <v>2993</v>
      </c>
      <c r="S42" s="2662"/>
      <c r="T42" s="2662"/>
      <c r="U42" s="2662"/>
      <c r="V42" s="2662"/>
    </row>
    <row r="43" spans="1:30" s="1929" customFormat="1">
      <c r="A43" s="1755"/>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9" customFormat="1">
      <c r="A44" s="1755"/>
      <c r="B44" s="1755"/>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9" customFormat="1">
      <c r="A45" s="1755"/>
      <c r="B45" s="1755"/>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9" customFormat="1">
      <c r="A46" s="1755"/>
      <c r="B46" s="1755"/>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9" customFormat="1">
      <c r="A47" s="1755"/>
      <c r="B47" s="1755"/>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9" customFormat="1">
      <c r="A48" s="1755"/>
      <c r="B48" s="1755"/>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9" customFormat="1">
      <c r="A49" s="1755"/>
      <c r="B49" s="1755"/>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9" customFormat="1">
      <c r="A50" s="1755"/>
      <c r="B50" s="1755"/>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9" customFormat="1">
      <c r="A51" s="1755"/>
      <c r="B51" s="1755"/>
      <c r="C51" s="1182"/>
      <c r="D51" s="1182"/>
      <c r="E51" s="1182"/>
      <c r="F51" s="1182"/>
      <c r="G51" s="1182"/>
      <c r="H51" s="1182"/>
      <c r="I51" s="1182"/>
      <c r="J51" s="2660"/>
      <c r="K51" s="2661"/>
      <c r="L51" s="2661"/>
      <c r="M51" s="1182"/>
      <c r="N51" s="1182"/>
      <c r="O51" s="1182"/>
      <c r="P51" s="1182"/>
      <c r="Q51" s="1182"/>
      <c r="R51" s="1182"/>
    </row>
    <row r="52" spans="1:22" s="1929" customFormat="1">
      <c r="A52" s="1755"/>
      <c r="B52" s="1755"/>
      <c r="C52" s="1755"/>
      <c r="D52" s="1755"/>
      <c r="E52" s="1755"/>
      <c r="F52" s="1182"/>
      <c r="G52" s="1755"/>
      <c r="H52" s="1755"/>
      <c r="I52" s="1755"/>
      <c r="J52" s="2663"/>
      <c r="K52" s="2661"/>
      <c r="L52" s="2661"/>
      <c r="M52" s="2661"/>
      <c r="N52" s="1755"/>
      <c r="O52" s="1755"/>
      <c r="P52" s="1755"/>
      <c r="Q52" s="1755"/>
      <c r="R52" s="1755"/>
    </row>
    <row r="53" spans="1:22" s="1929" customFormat="1">
      <c r="A53" s="1755"/>
      <c r="B53" s="1755"/>
      <c r="C53" s="1755"/>
      <c r="D53" s="1755"/>
      <c r="E53" s="1755"/>
      <c r="F53" s="1182"/>
      <c r="G53" s="1755"/>
      <c r="H53" s="1755"/>
      <c r="I53" s="1755"/>
      <c r="J53" s="2663"/>
      <c r="K53" s="2661"/>
      <c r="L53" s="2661"/>
      <c r="M53" s="2661"/>
      <c r="N53" s="1755"/>
      <c r="O53" s="1755"/>
      <c r="P53" s="1755"/>
      <c r="Q53" s="1755"/>
      <c r="R53" s="1755"/>
    </row>
    <row r="54" spans="1:22" s="1929" customFormat="1">
      <c r="A54" s="1755"/>
      <c r="B54" s="1755"/>
      <c r="C54" s="1755"/>
      <c r="D54" s="1755"/>
      <c r="E54" s="1755"/>
      <c r="F54" s="1182"/>
      <c r="G54" s="1755"/>
      <c r="H54" s="1755"/>
      <c r="I54" s="1755"/>
      <c r="J54" s="2663"/>
      <c r="K54" s="2661"/>
      <c r="L54" s="2661"/>
      <c r="M54" s="2661"/>
      <c r="N54" s="1755"/>
      <c r="O54" s="1755"/>
      <c r="P54" s="1755"/>
      <c r="Q54" s="1755"/>
      <c r="R54" s="1755"/>
    </row>
    <row r="55" spans="1:22" s="1929" customFormat="1">
      <c r="A55" s="1755"/>
      <c r="B55" s="1755"/>
      <c r="C55" s="1755"/>
      <c r="D55" s="1755"/>
      <c r="E55" s="1755"/>
      <c r="F55" s="1182"/>
      <c r="G55" s="1755"/>
      <c r="H55" s="1755"/>
      <c r="I55" s="1755"/>
      <c r="J55" s="2663"/>
      <c r="K55" s="2661"/>
      <c r="L55" s="2661"/>
      <c r="M55" s="2661"/>
      <c r="N55" s="1755"/>
      <c r="O55" s="1755"/>
      <c r="P55" s="1755"/>
      <c r="Q55" s="1755"/>
      <c r="R55" s="1755"/>
    </row>
    <row r="56" spans="1:22" s="1929" customFormat="1">
      <c r="A56" s="1755"/>
      <c r="B56" s="1755"/>
      <c r="C56" s="1755"/>
      <c r="D56" s="1755"/>
      <c r="E56" s="1755"/>
      <c r="F56" s="1182"/>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9" width="9.5" style="1758" hidden="1" customWidth="1"/>
    <col min="40"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19329.68</v>
      </c>
      <c r="B3" s="14">
        <f>IF(C3="否",G5-AT5,G5)</f>
        <v>82040.820000000007</v>
      </c>
      <c r="C3" s="1765" t="s">
        <v>3081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82040.820000000007</v>
      </c>
      <c r="H5" s="16">
        <f t="shared" ref="H5:AT5" si="0">SUM(H13:H656)</f>
        <v>71887.839999999997</v>
      </c>
      <c r="I5" s="16">
        <f t="shared" si="0"/>
        <v>57934.700000000004</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3151.1000000000008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3151.1000000000008</v>
      </c>
      <c r="AO5" s="16">
        <f t="shared" si="0"/>
        <v>0</v>
      </c>
      <c r="AP5" s="16">
        <f t="shared" si="0"/>
        <v>0</v>
      </c>
      <c r="AQ5" s="16">
        <f t="shared" si="0"/>
        <v>0</v>
      </c>
      <c r="AR5" s="16">
        <f t="shared" si="0"/>
        <v>0</v>
      </c>
      <c r="AS5" s="16">
        <f t="shared" si="0"/>
        <v>0</v>
      </c>
      <c r="AT5" s="16">
        <f t="shared" si="0"/>
        <v>7001.88</v>
      </c>
      <c r="AU5" s="1530"/>
      <c r="AV5" s="15" t="s">
        <v>1756</v>
      </c>
      <c r="AW5" s="1531"/>
      <c r="AX5" s="1531"/>
      <c r="AY5" s="17" t="s">
        <v>3</v>
      </c>
      <c r="AZ5" s="18">
        <f t="shared" ref="AZ5:BT5" si="1">SUM(AZ13:AZ656)</f>
        <v>75038.94</v>
      </c>
      <c r="BA5" s="18">
        <f t="shared" si="1"/>
        <v>71887.839999999997</v>
      </c>
      <c r="BB5" s="18">
        <f t="shared" si="1"/>
        <v>57934.700000000004</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3151.1000000000008</v>
      </c>
      <c r="BM5" s="18">
        <f t="shared" si="1"/>
        <v>0</v>
      </c>
      <c r="BN5" s="18">
        <f t="shared" si="1"/>
        <v>0</v>
      </c>
      <c r="BO5" s="18">
        <f t="shared" si="1"/>
        <v>0</v>
      </c>
      <c r="BP5" s="18">
        <f t="shared" si="1"/>
        <v>0</v>
      </c>
      <c r="BQ5" s="18">
        <f t="shared" si="1"/>
        <v>0</v>
      </c>
      <c r="BR5" s="18">
        <f t="shared" si="1"/>
        <v>3151.1000000000008</v>
      </c>
      <c r="BS5" s="18">
        <f t="shared" si="1"/>
        <v>0</v>
      </c>
      <c r="BT5" s="19">
        <f t="shared" si="1"/>
        <v>0</v>
      </c>
    </row>
    <row r="6" spans="1:72" s="1774" customFormat="1" ht="12.75">
      <c r="A6" s="15" t="s">
        <v>1757</v>
      </c>
      <c r="B6" s="1771"/>
      <c r="C6" s="1771"/>
      <c r="D6" s="1772"/>
      <c r="E6" s="16">
        <f>H6+AC6+AT6</f>
        <v>19329.68</v>
      </c>
      <c r="F6" s="16" t="s">
        <v>1</v>
      </c>
      <c r="G6" s="16" t="s">
        <v>2</v>
      </c>
      <c r="H6" s="20">
        <f>SUMIF(I$12:AB$12,"总值",I6:AB6)</f>
        <v>16937.53</v>
      </c>
      <c r="I6" s="16">
        <f t="shared" ref="I6:AB6" si="2">ROUND($A$3*I5/$B$3,2)</f>
        <v>13650.02</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742.43</v>
      </c>
      <c r="AO6" s="16">
        <f t="shared" si="3"/>
        <v>0</v>
      </c>
      <c r="AP6" s="16">
        <f t="shared" si="3"/>
        <v>0</v>
      </c>
      <c r="AQ6" s="16">
        <f t="shared" si="3"/>
        <v>0</v>
      </c>
      <c r="AR6" s="16">
        <f t="shared" si="3"/>
        <v>0</v>
      </c>
      <c r="AS6" s="16">
        <f t="shared" si="3"/>
        <v>0</v>
      </c>
      <c r="AT6" s="20">
        <f>IF(C3="是",ROUND($A$3*AT5/$B$3,2),0)</f>
        <v>1649.72</v>
      </c>
      <c r="AU6" s="1773"/>
      <c r="AV6" s="15" t="s">
        <v>1757</v>
      </c>
      <c r="AW6" s="1771"/>
      <c r="AX6" s="1771"/>
      <c r="AY6" s="21">
        <f>IF(AY3&gt;0,AY3,ROUND($A$3*AZ5/$B$3,2))</f>
        <v>17679.96</v>
      </c>
      <c r="AZ6" s="16" t="s">
        <v>3</v>
      </c>
      <c r="BA6" s="16">
        <f>ROUND($AY$6*BA5/$AZ$5,2)</f>
        <v>16937.53</v>
      </c>
      <c r="BB6" s="16">
        <f>ROUND($AY$6*BB5/$AZ$5,2)</f>
        <v>13650.02</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742.43</v>
      </c>
      <c r="BM6" s="16">
        <f t="shared" si="5"/>
        <v>0</v>
      </c>
      <c r="BN6" s="16">
        <f t="shared" si="5"/>
        <v>0</v>
      </c>
      <c r="BO6" s="16">
        <f t="shared" si="5"/>
        <v>0</v>
      </c>
      <c r="BP6" s="16">
        <f t="shared" si="5"/>
        <v>0</v>
      </c>
      <c r="BQ6" s="16">
        <f t="shared" si="5"/>
        <v>0</v>
      </c>
      <c r="BR6" s="16">
        <f t="shared" si="5"/>
        <v>742.43</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3082</v>
      </c>
      <c r="J9" s="918"/>
      <c r="K9" s="1788" t="s">
        <v>3083</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3084</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3076</v>
      </c>
      <c r="D13" s="1810" t="s">
        <v>3081</v>
      </c>
      <c r="E13" s="16">
        <f>IF($C$3="是",ROUND($A$3*G13/$B$3,2),ROUND($A$3*(G13-AT13)/$B$3,2))</f>
        <v>3892.28</v>
      </c>
      <c r="F13" s="32"/>
      <c r="G13" s="33">
        <f>H13+AC13+AT13</f>
        <v>16519.98</v>
      </c>
      <c r="H13" s="20">
        <f>SUMIF(I$12:AB$12,"总值",I13:AB13)</f>
        <v>16519.98</v>
      </c>
      <c r="I13" s="1811">
        <v>16519.98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A座</v>
      </c>
      <c r="AY13" s="1533">
        <f>ROUND($AY$6*AZ13/$AZ$5,2)</f>
        <v>3892.28</v>
      </c>
      <c r="AZ13" s="16">
        <f>BA13+BL13</f>
        <v>16519.98</v>
      </c>
      <c r="BA13" s="16">
        <f>SUM(BB13:BK13)</f>
        <v>16519.98</v>
      </c>
      <c r="BB13" s="16">
        <f>IF($D13="是",I13-J13,0)</f>
        <v>16519.98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3077</v>
      </c>
      <c r="D14" s="1810" t="s">
        <v>3081</v>
      </c>
      <c r="E14" s="16">
        <f>IF($C$3="是",ROUND($A$3*G14/$B$3,2),ROUND($A$3*(G14-AT14)/$B$3,2))</f>
        <v>3830.6</v>
      </c>
      <c r="F14" s="32"/>
      <c r="G14" s="33">
        <f>H14+AC14+AT14</f>
        <v>16258.18</v>
      </c>
      <c r="H14" s="20">
        <f>SUMIF(I$12:AB$12,"总值",I14:AB14)</f>
        <v>16258.18</v>
      </c>
      <c r="I14" s="1811">
        <v>16258.18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B座</v>
      </c>
      <c r="AY14" s="1533">
        <f>ROUND($AY$6*AZ14/$AZ$5,2)</f>
        <v>3830.6</v>
      </c>
      <c r="AZ14" s="16">
        <f>BA14+BL14</f>
        <v>16258.18</v>
      </c>
      <c r="BA14" s="16">
        <f>SUM(BB14:BK14)</f>
        <v>16258.18</v>
      </c>
      <c r="BB14" s="16">
        <f>IF($D14="是",I14-J14,0)</f>
        <v>16258.18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t="s">
        <v>3078</v>
      </c>
      <c r="D15" s="1810" t="s">
        <v>3081</v>
      </c>
      <c r="E15" s="16">
        <f>IF($C$3="是",ROUND($A$3*G15/$B$3,2),ROUND($A$3*(G15-AT15)/$B$3,2))</f>
        <v>4027.75</v>
      </c>
      <c r="F15" s="32"/>
      <c r="G15" s="33">
        <f>H15+AC15+AT15</f>
        <v>17094.939999999999</v>
      </c>
      <c r="H15" s="20">
        <f>SUMIF(I$12:AB$12,"总值",I15:AB15)</f>
        <v>17094.939999999999</v>
      </c>
      <c r="I15" s="1811">
        <v>17094.939999999999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C座</v>
      </c>
      <c r="AY15" s="1533">
        <f>ROUND($AY$6*AZ15/$AZ$5,2)</f>
        <v>4027.75</v>
      </c>
      <c r="AZ15" s="16">
        <f>BA15+BL15</f>
        <v>17094.939999999999</v>
      </c>
      <c r="BA15" s="16">
        <f>SUM(BB15:BK15)</f>
        <v>17094.939999999999</v>
      </c>
      <c r="BB15" s="16">
        <f>IF($D15="是",I15-J15,0)</f>
        <v>17094.939999999999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t="s">
        <v>3079</v>
      </c>
      <c r="D16" s="1810" t="s">
        <v>3081</v>
      </c>
      <c r="E16" s="16">
        <f>IF($C$3="是",ROUND($A$3*G16/$B$3,2),ROUND($A$3*(G16-AT16)/$B$3,2))</f>
        <v>2111.12</v>
      </c>
      <c r="F16" s="32"/>
      <c r="G16" s="33">
        <f>H16+AC16+AT16</f>
        <v>8960.2000000000007</v>
      </c>
      <c r="H16" s="20">
        <f>SUMIF(I$12:AB$12,"总值",I16:AB16)</f>
        <v>8061.6</v>
      </c>
      <c r="I16" s="1811">
        <v>8061.6</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898.6</v>
      </c>
      <c r="AD16" s="1812"/>
      <c r="AE16" s="1812"/>
      <c r="AF16" s="1812"/>
      <c r="AG16" s="1812"/>
      <c r="AH16" s="1812"/>
      <c r="AI16" s="1812"/>
      <c r="AJ16" s="1812"/>
      <c r="AK16" s="1812"/>
      <c r="AL16" s="1812"/>
      <c r="AM16" s="1812"/>
      <c r="AN16" s="1812">
        <v>898.6</v>
      </c>
      <c r="AO16" s="1812"/>
      <c r="AP16" s="1812"/>
      <c r="AQ16" s="1812"/>
      <c r="AR16" s="1812"/>
      <c r="AS16" s="1812"/>
      <c r="AT16" s="1813"/>
      <c r="AU16" s="1814"/>
      <c r="AV16" s="11">
        <f t="shared" si="6"/>
        <v>0</v>
      </c>
      <c r="AW16" s="11">
        <f t="shared" si="6"/>
        <v>0</v>
      </c>
      <c r="AX16" s="11" t="str">
        <f t="shared" si="6"/>
        <v>D座</v>
      </c>
      <c r="AY16" s="1533">
        <f>ROUND($AY$6*AZ16/$AZ$5,2)</f>
        <v>2111.12</v>
      </c>
      <c r="AZ16" s="16">
        <f>BA16+BL16</f>
        <v>8960.2000000000007</v>
      </c>
      <c r="BA16" s="16">
        <f>SUM(BB16:BK16)</f>
        <v>8061.6</v>
      </c>
      <c r="BB16" s="16">
        <f>IF($D16="是",I16-J16,0)</f>
        <v>8061.6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898.6</v>
      </c>
      <c r="BM16" s="16">
        <f>IF($D16="是",AD16-AE16,0)</f>
        <v>0</v>
      </c>
      <c r="BN16" s="16">
        <f>IF($D16="是",AF16-AG16,0)</f>
        <v>0</v>
      </c>
      <c r="BO16" s="16">
        <f>IF($D16="是",AH16-AI16,0)</f>
        <v>0</v>
      </c>
      <c r="BP16" s="16">
        <f>IF($D16="是",AJ16-AK16,0)</f>
        <v>0</v>
      </c>
      <c r="BQ16" s="16">
        <f>IF($D16="是",AL16-AM16,0)</f>
        <v>0</v>
      </c>
      <c r="BR16" s="16">
        <f>IF($D16="是",AN16-AO16,0)</f>
        <v>898.6</v>
      </c>
      <c r="BS16" s="16">
        <f>IF($D16="是",AP16-AQ16,0)</f>
        <v>0</v>
      </c>
      <c r="BT16" s="22">
        <f>IF($D16="是",AR16-AS16,0)</f>
        <v>0</v>
      </c>
    </row>
    <row r="17" spans="1:72" s="1764" customFormat="1" ht="12.75">
      <c r="A17" s="1182"/>
      <c r="B17" s="1182"/>
      <c r="C17" s="3060" t="s">
        <v>3080</v>
      </c>
      <c r="D17" s="1810" t="s">
        <v>3081</v>
      </c>
      <c r="E17" s="16">
        <f>IF($C$3="是",ROUND($A$3*G17/$B$3,2),ROUND($A$3*(G17-AT17)/$B$3,2))</f>
        <v>5467.94</v>
      </c>
      <c r="F17" s="32"/>
      <c r="G17" s="33">
        <f>H17+AC17+AT17</f>
        <v>23207.52</v>
      </c>
      <c r="H17" s="20">
        <f>SUMIF(I$12:AB$12,"总值",I17:AB17)</f>
        <v>13953.14</v>
      </c>
      <c r="I17" s="1811"/>
      <c r="J17" s="1811"/>
      <c r="K17" s="1811">
        <v>13953.14</v>
      </c>
      <c r="L17" s="1811"/>
      <c r="M17" s="1811"/>
      <c r="N17" s="1811"/>
      <c r="O17" s="1811"/>
      <c r="P17" s="1811"/>
      <c r="Q17" s="1811"/>
      <c r="R17" s="1811"/>
      <c r="S17" s="1811"/>
      <c r="T17" s="1811"/>
      <c r="U17" s="1811"/>
      <c r="V17" s="1811"/>
      <c r="W17" s="1811"/>
      <c r="X17" s="1811"/>
      <c r="Y17" s="1811"/>
      <c r="Z17" s="1811"/>
      <c r="AA17" s="1811"/>
      <c r="AB17" s="1811"/>
      <c r="AC17" s="16">
        <f>SUMIF(AD$12:AS$12,"总值",AD17:AS17)</f>
        <v>2252.5000000000009</v>
      </c>
      <c r="AD17" s="1812"/>
      <c r="AE17" s="1812"/>
      <c r="AF17" s="1812"/>
      <c r="AG17" s="1812"/>
      <c r="AH17" s="1812"/>
      <c r="AI17" s="1812"/>
      <c r="AJ17" s="1812"/>
      <c r="AK17" s="1812"/>
      <c r="AL17" s="1812"/>
      <c r="AM17" s="1812"/>
      <c r="AN17" s="1812">
        <f>23207.52-K17-AT17</f>
        <v>2252.5000000000009</v>
      </c>
      <c r="AO17" s="1812"/>
      <c r="AP17" s="1812"/>
      <c r="AQ17" s="1812"/>
      <c r="AR17" s="1812"/>
      <c r="AS17" s="1812"/>
      <c r="AT17" s="1813">
        <v>7001.88</v>
      </c>
      <c r="AU17" s="1814"/>
      <c r="AV17" s="11">
        <f t="shared" si="6"/>
        <v>0</v>
      </c>
      <c r="AW17" s="11">
        <f t="shared" si="6"/>
        <v>0</v>
      </c>
      <c r="AX17" s="11" t="str">
        <f t="shared" si="6"/>
        <v>地下车库</v>
      </c>
      <c r="AY17" s="1533">
        <f>ROUND($AY$6*AZ17/$AZ$5,2)</f>
        <v>3818.22</v>
      </c>
      <c r="AZ17" s="16">
        <f>BA17+BL17</f>
        <v>16205.64</v>
      </c>
      <c r="BA17" s="16">
        <f>SUM(BB17:BK17)</f>
        <v>13953.14</v>
      </c>
      <c r="BB17" s="16">
        <f>IF($D17="是",I17-J17,0)</f>
        <v>0</v>
      </c>
      <c r="BC17" s="16">
        <f>IF($D17="是",K17-L17,0)</f>
        <v>13953.14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2252.5000000000009</v>
      </c>
      <c r="BM17" s="16">
        <f>IF($D17="是",AD17-AE17,0)</f>
        <v>0</v>
      </c>
      <c r="BN17" s="16">
        <f>IF($D17="是",AF17-AG17,0)</f>
        <v>0</v>
      </c>
      <c r="BO17" s="16">
        <f>IF($D17="是",AH17-AI17,0)</f>
        <v>0</v>
      </c>
      <c r="BP17" s="16">
        <f>IF($D17="是",AJ17-AK17,0)</f>
        <v>0</v>
      </c>
      <c r="BQ17" s="16">
        <f>IF($D17="是",AL17-AM17,0)</f>
        <v>0</v>
      </c>
      <c r="BR17" s="16">
        <f>IF($D17="是",AN17-AO17,0)</f>
        <v>2252.5000000000009</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1" sqref="I3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46" t="s">
        <v>1816</v>
      </c>
      <c r="B2" s="3146"/>
      <c r="C2" s="3146"/>
      <c r="D2" s="904" t="s">
        <v>1792</v>
      </c>
      <c r="E2" s="1824" t="s">
        <v>1793</v>
      </c>
      <c r="F2" s="2883"/>
      <c r="G2" s="2874"/>
      <c r="H2" s="2875"/>
      <c r="I2" s="2548" t="s">
        <v>1817</v>
      </c>
      <c r="J2" s="2883"/>
      <c r="K2" s="2883"/>
      <c r="L2" s="2883"/>
      <c r="M2" s="2883"/>
      <c r="N2" s="2885"/>
      <c r="O2" s="2883"/>
      <c r="P2" s="2883"/>
    </row>
    <row r="3" spans="1:16" ht="15.75" thickBot="1">
      <c r="A3" s="3147" t="s">
        <v>1790</v>
      </c>
      <c r="B3" s="3147"/>
      <c r="C3" s="3147"/>
      <c r="D3" s="46">
        <f>'数据-基础表'!AY6</f>
        <v>17679.96</v>
      </c>
      <c r="E3" s="46">
        <f>'数据-基础表'!AZ5</f>
        <v>75038.94</v>
      </c>
      <c r="F3" s="2883"/>
      <c r="G3" s="1307"/>
      <c r="H3" s="1157" t="s">
        <v>1791</v>
      </c>
      <c r="I3" s="964">
        <f>ROUND('数据-基础表'!B3/'数据-基础表'!A3,2)</f>
        <v>4.24</v>
      </c>
      <c r="J3" s="2883"/>
      <c r="K3" s="2883"/>
      <c r="L3" s="2883"/>
      <c r="M3" s="2883"/>
      <c r="N3" s="2885"/>
      <c r="O3" s="2883"/>
      <c r="P3" s="2883"/>
    </row>
    <row r="4" spans="1:16" ht="15">
      <c r="A4" s="3148"/>
      <c r="B4" s="3149"/>
      <c r="C4" s="3150"/>
      <c r="D4" s="1826" t="s">
        <v>1792</v>
      </c>
      <c r="E4" s="1827" t="s">
        <v>1793</v>
      </c>
      <c r="F4" s="2883"/>
      <c r="G4" s="2876" t="s">
        <v>1818</v>
      </c>
      <c r="H4" s="1157" t="s">
        <v>1798</v>
      </c>
      <c r="I4" s="964">
        <f>ROUND(SUMIF('数据-基础表'!I9:AS9,"地上",'数据-基础表'!I5:AS5)/'数据-基础表'!A3,2)</f>
        <v>3</v>
      </c>
      <c r="J4" s="2883"/>
      <c r="K4" s="2883"/>
      <c r="L4" s="2883"/>
      <c r="M4" s="2883"/>
      <c r="N4" s="2885"/>
      <c r="O4" s="2883"/>
      <c r="P4" s="2883"/>
    </row>
    <row r="5" spans="1:16">
      <c r="A5" s="47" t="s">
        <v>1794</v>
      </c>
      <c r="B5" s="3151" t="s">
        <v>1795</v>
      </c>
      <c r="C5" s="3151"/>
      <c r="D5" s="48">
        <f>ROUND($D$3*E5/$E$3,2)</f>
        <v>0</v>
      </c>
      <c r="E5" s="49">
        <f>SUMIF('数据-基础表'!$11:$11,"住宅",'数据-基础表'!$5:$5)</f>
        <v>0</v>
      </c>
      <c r="F5" s="2883"/>
      <c r="G5" s="1307"/>
      <c r="H5" s="1157" t="s">
        <v>1791</v>
      </c>
      <c r="I5" s="964">
        <f>ROUND(E31/D31,2)</f>
        <v>4.24</v>
      </c>
      <c r="J5" s="2883"/>
      <c r="K5" s="2883"/>
      <c r="L5" s="2883"/>
      <c r="M5" s="2883"/>
      <c r="N5" s="2883"/>
      <c r="O5" s="2883"/>
      <c r="P5" s="2883"/>
    </row>
    <row r="6" spans="1:16" ht="15" thickBot="1">
      <c r="A6" s="1829"/>
      <c r="B6" s="3151" t="s">
        <v>1796</v>
      </c>
      <c r="C6" s="3151"/>
      <c r="D6" s="48">
        <f>ROUND($D$3*E6/$E$3,2)</f>
        <v>17679.96</v>
      </c>
      <c r="E6" s="49">
        <f>E3-E5</f>
        <v>75038.94</v>
      </c>
      <c r="F6" s="2883"/>
      <c r="G6" s="2877" t="s">
        <v>1797</v>
      </c>
      <c r="H6" s="1308" t="s">
        <v>1798</v>
      </c>
      <c r="I6" s="2878">
        <f>ROUND(F31/D31,2)</f>
        <v>3.28</v>
      </c>
      <c r="J6" s="2883"/>
      <c r="K6" s="2883"/>
      <c r="L6" s="2883"/>
      <c r="M6" s="2883"/>
      <c r="N6" s="2883"/>
      <c r="O6" s="2883"/>
      <c r="P6" s="2883"/>
    </row>
    <row r="7" spans="1:16" ht="15.75" thickBot="1">
      <c r="A7" s="3143"/>
      <c r="B7" s="3144"/>
      <c r="C7" s="3145"/>
      <c r="D7" s="1826" t="s">
        <v>1792</v>
      </c>
      <c r="E7" s="1830"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13650.02</v>
      </c>
      <c r="E8" s="51">
        <f>SUMIF('数据-基础表'!BB10:BK10,"地上",'数据-基础表'!BB5:BK5)</f>
        <v>57934.700000000004</v>
      </c>
      <c r="F8" s="2883"/>
      <c r="G8" s="2884"/>
      <c r="H8" s="2884"/>
      <c r="I8" s="2883"/>
      <c r="J8" s="2883"/>
      <c r="K8" s="2883"/>
      <c r="L8" s="2883"/>
      <c r="M8" s="2883"/>
      <c r="N8" s="2883"/>
      <c r="O8" s="2883"/>
      <c r="P8" s="2883"/>
    </row>
    <row r="9" spans="1:16">
      <c r="A9" s="1831"/>
      <c r="B9" s="1832"/>
      <c r="C9" s="48" t="s">
        <v>1804</v>
      </c>
      <c r="D9" s="48">
        <f t="shared" si="0"/>
        <v>0</v>
      </c>
      <c r="E9" s="52">
        <v>0</v>
      </c>
      <c r="F9" s="2883"/>
      <c r="G9" s="2884"/>
      <c r="H9" s="2884"/>
      <c r="I9" s="2883"/>
      <c r="J9" s="2883"/>
      <c r="K9" s="2883"/>
      <c r="L9" s="2883"/>
      <c r="M9" s="2883"/>
      <c r="N9" s="2883"/>
      <c r="O9" s="2883"/>
      <c r="P9" s="2883"/>
    </row>
    <row r="10" spans="1:16">
      <c r="A10" s="1831"/>
      <c r="B10" s="1832"/>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1807</v>
      </c>
      <c r="D13" s="48">
        <f t="shared" si="0"/>
        <v>3287.51</v>
      </c>
      <c r="E13" s="51">
        <f>SUMPRODUCT(('数据-基础表'!BB10:BK10="地下")*('数据-基础表'!BB11:BK11="车库")*('数据-基础表'!BB5:BK5))</f>
        <v>13953.14</v>
      </c>
      <c r="F13" s="2883"/>
      <c r="G13" s="2884"/>
      <c r="H13" s="2884"/>
      <c r="I13" s="2883"/>
      <c r="J13" s="2883"/>
      <c r="K13" s="2883"/>
      <c r="L13" s="2883"/>
      <c r="M13" s="2883"/>
      <c r="N13" s="2883"/>
      <c r="O13" s="2883"/>
      <c r="P13" s="2883"/>
    </row>
    <row r="14" spans="1:16">
      <c r="A14" s="1831"/>
      <c r="B14" s="1832"/>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1808</v>
      </c>
      <c r="D16" s="50">
        <f>SUM(D8:D15)</f>
        <v>16937.53</v>
      </c>
      <c r="E16" s="53">
        <f>SUM(E8:E15)</f>
        <v>71887.839999999997</v>
      </c>
      <c r="F16" s="2883"/>
      <c r="G16" s="2884"/>
      <c r="H16" s="1833" t="s">
        <v>1820</v>
      </c>
      <c r="I16" s="1834"/>
      <c r="J16" s="1301"/>
      <c r="K16" s="3140" t="s">
        <v>1820</v>
      </c>
      <c r="L16" s="3141"/>
      <c r="M16" s="3141"/>
      <c r="N16" s="3141"/>
      <c r="O16" s="3141"/>
      <c r="P16" s="3142"/>
    </row>
    <row r="17" spans="1:19" ht="15">
      <c r="A17" s="1835" t="s">
        <v>1821</v>
      </c>
      <c r="B17" s="1836" t="s">
        <v>1822</v>
      </c>
      <c r="C17" s="1837" t="s">
        <v>1823</v>
      </c>
      <c r="D17" s="1838" t="s">
        <v>1811</v>
      </c>
      <c r="E17" s="1839" t="s">
        <v>1812</v>
      </c>
      <c r="F17" s="1840"/>
      <c r="G17" s="1841"/>
      <c r="H17" s="1842" t="s">
        <v>1824</v>
      </c>
      <c r="I17" s="1843" t="s">
        <v>1809</v>
      </c>
      <c r="J17" s="1301"/>
      <c r="K17" s="3137" t="s">
        <v>1825</v>
      </c>
      <c r="L17" s="3138"/>
      <c r="M17" s="3139"/>
      <c r="N17" s="3137" t="s">
        <v>1826</v>
      </c>
      <c r="O17" s="3138"/>
      <c r="P17" s="313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1" t="s">
        <v>3086</v>
      </c>
      <c r="D19" s="48">
        <f>ROUND($D$3*E19/$E$3,2)</f>
        <v>16937.53</v>
      </c>
      <c r="E19" s="56">
        <f t="shared" ref="E19:E26" si="1">SUM(F19:G19)</f>
        <v>71887.839999999997</v>
      </c>
      <c r="F19" s="3023">
        <f>'数据-基础表'!I5</f>
        <v>57934.700000000004</v>
      </c>
      <c r="G19" s="3024">
        <f>'数据-基础表'!K5</f>
        <v>13953.14</v>
      </c>
      <c r="H19" s="679">
        <f>ROUND($D$3*I19/$E$3,2)</f>
        <v>742.43</v>
      </c>
      <c r="I19" s="51">
        <f t="shared" ref="I19:I26" si="2">IF($I$17="自定义",P19,M19)</f>
        <v>3151.1</v>
      </c>
      <c r="J19" s="1301"/>
      <c r="K19" s="1300">
        <f t="shared" ref="K19:K26" si="3">ROUND(E$28*E19/E$27,2)</f>
        <v>3151.1</v>
      </c>
      <c r="L19" s="1157">
        <f t="shared" ref="L19:L26" si="4">ROUND(IF(COUNTIF(C19,"*住宅*")&gt;0,E$29*E19/E$32,0),2)</f>
        <v>0</v>
      </c>
      <c r="M19" s="1312">
        <f>K19+L19</f>
        <v>3151.1</v>
      </c>
      <c r="N19" s="1854"/>
      <c r="O19" s="1855"/>
      <c r="P19" s="1312">
        <f>N19+O19</f>
        <v>0</v>
      </c>
      <c r="R19" s="1157">
        <f t="shared" ref="R19:S26" si="5">D19+H19</f>
        <v>17679.96</v>
      </c>
      <c r="S19" s="1158">
        <f t="shared" si="5"/>
        <v>75038.94</v>
      </c>
    </row>
    <row r="20" spans="1:19">
      <c r="A20" s="1856"/>
      <c r="B20" s="50" t="s">
        <v>1838</v>
      </c>
      <c r="C20" s="1853"/>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16937.53</v>
      </c>
      <c r="E27" s="1303">
        <f>IF(SUM(E19:E26)='数据-基础表'!BA5,SUM(E19:E26),IF(F27="地上面积有误","面积有误","地下面积有误"))</f>
        <v>71887.839999999997</v>
      </c>
      <c r="F27" s="1302">
        <f>IF(SUM(F19:F26)=E8,SUM(F19:F26),"地上面积有误")</f>
        <v>57934.700000000004</v>
      </c>
      <c r="G27" s="1304">
        <f>SUM(G19:G26)</f>
        <v>13953.14</v>
      </c>
      <c r="H27" s="1305">
        <f>SUM(H19:H26)</f>
        <v>742.43</v>
      </c>
      <c r="I27" s="1306">
        <f>SUM(I19:I26)</f>
        <v>3151.1</v>
      </c>
      <c r="J27" s="1301"/>
      <c r="K27" s="1309">
        <f>SUM(K19:K26)</f>
        <v>3151.1</v>
      </c>
      <c r="L27" s="1310">
        <f>SUM(L19:L26)</f>
        <v>0</v>
      </c>
      <c r="M27" s="1313">
        <f>SUM(M19:M26)</f>
        <v>3151.1</v>
      </c>
      <c r="N27" s="1309">
        <f t="shared" ref="N27:O27" si="10">SUM(N19:N26)</f>
        <v>0</v>
      </c>
      <c r="O27" s="1310">
        <f t="shared" si="10"/>
        <v>0</v>
      </c>
      <c r="P27" s="1311">
        <f>SUM(P19:P26)</f>
        <v>0</v>
      </c>
      <c r="R27" s="1159">
        <f>IF(SUM(R19:R26)=$D$3,SUM(R19:R26),SUM(R19:R26)&amp;"误差"&amp;ROUND(SUM(R19:R26)-$D$3,2))</f>
        <v>17679.96</v>
      </c>
      <c r="S27" s="1157">
        <f>IF(SUM(S19:S26)=$E$3,SUM(S19:S26),SUM(S19:S26)&amp;"误差"&amp;ROUND(SUM(S19:S26)-E3,2))</f>
        <v>75038.94</v>
      </c>
    </row>
    <row r="28" spans="1:19">
      <c r="A28" s="1856"/>
      <c r="B28" s="50" t="s">
        <v>1840</v>
      </c>
      <c r="C28" s="1169" t="s">
        <v>1841</v>
      </c>
      <c r="D28" s="48">
        <f>ROUND($D$3*E28/$E$3,2)</f>
        <v>742.43</v>
      </c>
      <c r="E28" s="56">
        <f>SUM(F28:G28)</f>
        <v>3151.1000000000008</v>
      </c>
      <c r="F28" s="60">
        <f>'数据-基础表'!BQ5+'数据-基础表'!BS5</f>
        <v>0</v>
      </c>
      <c r="G28" s="61">
        <f>'数据-基础表'!BR5+'数据-基础表'!BT5</f>
        <v>3151.1000000000008</v>
      </c>
      <c r="H28" s="2883"/>
      <c r="I28" s="2883"/>
      <c r="J28" s="2883"/>
      <c r="K28" s="2883"/>
      <c r="L28" s="2883"/>
      <c r="M28" s="2883"/>
      <c r="N28" s="2883"/>
      <c r="O28" s="2883"/>
      <c r="P28" s="2883"/>
    </row>
    <row r="29" spans="1:19">
      <c r="A29" s="1856"/>
      <c r="B29" s="50" t="s">
        <v>1840</v>
      </c>
      <c r="C29" s="1860"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1839</v>
      </c>
      <c r="D30" s="1302">
        <f>SUM(D28:D29)</f>
        <v>742.43</v>
      </c>
      <c r="E30" s="1302">
        <f>SUM(E28:E29)</f>
        <v>3151.1000000000008</v>
      </c>
      <c r="F30" s="1302">
        <f>SUM(F28:F29)</f>
        <v>0</v>
      </c>
      <c r="G30" s="1304">
        <f>SUM(G28:G29)</f>
        <v>3151.1000000000008</v>
      </c>
      <c r="H30" s="2883"/>
      <c r="I30" s="2883"/>
      <c r="J30" s="2883"/>
      <c r="K30" s="2883"/>
      <c r="L30" s="2883"/>
      <c r="M30" s="2883"/>
      <c r="N30" s="2883"/>
      <c r="O30" s="2883"/>
      <c r="P30" s="2883"/>
    </row>
    <row r="31" spans="1:19" ht="15.75" thickBot="1">
      <c r="A31" s="1862"/>
      <c r="B31" s="1863"/>
      <c r="C31" s="944" t="s">
        <v>1843</v>
      </c>
      <c r="D31" s="685">
        <f>D27+D30</f>
        <v>17679.96</v>
      </c>
      <c r="E31" s="685">
        <f>E27+E30</f>
        <v>75038.94</v>
      </c>
      <c r="F31" s="686">
        <f>F27+F30</f>
        <v>57934.700000000004</v>
      </c>
      <c r="G31" s="687">
        <f>G27+G30</f>
        <v>17104.240000000002</v>
      </c>
      <c r="H31" s="2883"/>
      <c r="I31" s="2883"/>
      <c r="J31" s="2883"/>
      <c r="K31" s="2883"/>
      <c r="L31" s="2883"/>
      <c r="M31" s="2883"/>
      <c r="N31" s="2883"/>
      <c r="O31" s="2883"/>
      <c r="P31" s="2883"/>
    </row>
    <row r="32" spans="1:19">
      <c r="A32" s="1828"/>
      <c r="B32" s="1828" t="s">
        <v>1844</v>
      </c>
      <c r="C32" s="1828"/>
      <c r="D32" s="1828"/>
      <c r="E32" s="1184">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1846</v>
      </c>
      <c r="B2" s="1176">
        <f>项目基本情况!D3</f>
        <v>44315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2"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办公楼</v>
      </c>
      <c r="B6" s="1899" t="str">
        <f>IF(A6=0,"","经营性")</f>
        <v>经营性</v>
      </c>
      <c r="C6" s="1900" t="s">
        <v>27</v>
      </c>
      <c r="D6" s="967">
        <f>SUMIF(项目基本情况!D$12:I$12,C6,项目基本情况!D$14:I$14)</f>
        <v>50</v>
      </c>
      <c r="E6" s="966">
        <f>IF(B6="","",SUMIF(项目基本情况!D$12:I$12,C6,项目基本情况!D$13:I$13))</f>
        <v>61714</v>
      </c>
      <c r="F6" s="68">
        <f>SUMIF(项目基本情况!D$12:I$12,C6,项目基本情况!D$15:I$15)</f>
        <v>47.66</v>
      </c>
      <c r="G6" s="69">
        <f>IF(ISERROR(ROUND(POWER(1+H6,D6-F6)*(POWER(1+H6,F6)-1)/(POWER(1+H6,D6)-1),3)),0,ROUND(POWER(1+H6,D6-F6)*(POWER(1+H6,F6)-1)/(POWER(1+H6,D6)-1),3))</f>
        <v>0.98799999999999999</v>
      </c>
      <c r="H6" s="741">
        <v>0.05</v>
      </c>
      <c r="I6" s="741">
        <v>5.5E-2</v>
      </c>
      <c r="J6" s="70">
        <v>8.5000000000000006E-2</v>
      </c>
      <c r="K6" s="1161">
        <f>SUMIF('数据-汇总表'!C$19:C$33,A6,'数据-汇总表'!E$19:E$33)</f>
        <v>71887.839999999997</v>
      </c>
      <c r="L6" s="742">
        <v>3400</v>
      </c>
      <c r="M6" s="71">
        <f t="shared" ref="M6:M14" si="0">ROUND(K6*L6/10000,0)</f>
        <v>24442</v>
      </c>
      <c r="N6" s="740">
        <v>0.9</v>
      </c>
      <c r="O6" s="71">
        <f>IF($N$5="成新度","——",ROUND(M6*N6,0))</f>
        <v>21998</v>
      </c>
      <c r="P6" s="72">
        <f>IF($N$5="成新度","——",M6-O6)</f>
        <v>2444</v>
      </c>
      <c r="Q6" s="743">
        <f>ROUND(('数据-汇总表'!F19*15%+'数据-汇总表'!G19*5%)/'数据-汇总表'!E19,2)</f>
        <v>0.13</v>
      </c>
      <c r="R6" s="73">
        <f ca="1">SUMIF('数据-汇总表'!C$19:C$33,A6,'数据-汇总表'!R$19:R$27)</f>
        <v>17679.96</v>
      </c>
      <c r="S6" s="54">
        <f>IF('数据-汇总表'!$I$17="按面积比例",SUMIF('数据-汇总表'!C$19:C$33,A6,'数据-汇总表'!K$19:K$33),SUMIF('数据-汇总表'!C$19:C$33,A6,'数据-汇总表'!N$19:N$33))</f>
        <v>3151.1</v>
      </c>
      <c r="T6" s="1334">
        <f>ROUND($L$14*S6/10000,0)</f>
        <v>0</v>
      </c>
      <c r="U6" s="74">
        <f>ROUND(1.8*'数据-汇总表'!F19/'数据-汇总表'!E19,1)</f>
        <v>1.5</v>
      </c>
      <c r="V6" s="75">
        <v>2.5000000000000001E-2</v>
      </c>
      <c r="W6" s="75">
        <v>0.1</v>
      </c>
      <c r="X6" s="1171"/>
      <c r="Y6" s="76">
        <v>1</v>
      </c>
      <c r="Z6" s="77"/>
      <c r="AA6" s="70"/>
      <c r="AB6" s="70"/>
      <c r="AC6" s="1171"/>
      <c r="AD6" s="78"/>
      <c r="AE6" s="1172">
        <f ca="1">IF(AN6="",0,SUMIF(INDIRECT("'"&amp;AN6&amp;"'"&amp;"!E:E"),$AE$5,INDIRECT("'"&amp;AN6&amp;"'"&amp;"!F:F")))</f>
        <v>47.459999999999994</v>
      </c>
      <c r="AF6" s="1532"/>
      <c r="AG6" s="143">
        <f>IF(AF6="",0,AE6-AF6)</f>
        <v>0</v>
      </c>
      <c r="AH6" s="79"/>
      <c r="AI6" s="81">
        <v>365</v>
      </c>
      <c r="AJ6" s="82"/>
      <c r="AK6" s="83">
        <v>1.2E-2</v>
      </c>
      <c r="AL6" s="84">
        <v>1.5E-3</v>
      </c>
      <c r="AM6" s="85">
        <v>1.2E-2</v>
      </c>
      <c r="AN6" s="1901" t="s">
        <v>3088</v>
      </c>
      <c r="AO6" s="55">
        <f ca="1">SUMIF(INDIRECT("'"&amp;AN6&amp;"'"&amp;"!A:A"),"总价",INDIRECT("'"&amp;AN6&amp;"'"&amp;"!B:B"))</f>
        <v>60399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3151.1000000000008</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0.98799999999999999</v>
      </c>
      <c r="H16" s="95">
        <f>ROUND(SUMPRODUCT(H6:H13,K6:K13)/SUMPRODUCT((H6:H13&gt;0)*(K6:K13)),3)</f>
        <v>0.05</v>
      </c>
      <c r="I16" s="96"/>
      <c r="J16" s="96"/>
      <c r="K16" s="97">
        <f>SUM(K6:K15)</f>
        <v>75038.94</v>
      </c>
      <c r="L16" s="98">
        <f>ROUND(M16*10000/SUM(K6:K14),0)</f>
        <v>3257</v>
      </c>
      <c r="M16" s="98">
        <f>SUM(M6:M14)</f>
        <v>24442</v>
      </c>
      <c r="N16" s="99">
        <f>ROUND(SUMPRODUCT(M6:M14,N6:N14)/M16,3)</f>
        <v>0.9</v>
      </c>
      <c r="O16" s="98">
        <f>SUM(O6:O14)</f>
        <v>21998</v>
      </c>
      <c r="P16" s="98">
        <f>SUM(P6:P14)</f>
        <v>2444</v>
      </c>
      <c r="Q16" s="100">
        <f>ROUND(SUMPRODUCT(Q6:Q13,K6:K13)/SUMPRODUCT((Q6:Q13&gt;0)*(K6:K13)),2)</f>
        <v>0.13</v>
      </c>
      <c r="R16" s="1165">
        <f ca="1">SUM(R6:R13)</f>
        <v>17679.96</v>
      </c>
      <c r="S16" s="101">
        <f>SUM(S6:S13)</f>
        <v>3151.1</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1897</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1898</v>
      </c>
      <c r="B20" s="109">
        <v>2</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1899</v>
      </c>
      <c r="B21" s="109">
        <f>B20*N16</f>
        <v>1.8</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1901</v>
      </c>
      <c r="B23" s="110">
        <f>B19+B21</f>
        <v>1.8</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1902</v>
      </c>
      <c r="B24" s="111">
        <f>B20-B21</f>
        <v>0.19999999999999996</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1903</v>
      </c>
      <c r="B26" s="1912"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1906</v>
      </c>
      <c r="B27" s="112">
        <v>160</v>
      </c>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1501</v>
      </c>
      <c r="C29" s="3030" t="s">
        <v>3036</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1" t="s">
        <v>3038</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1" t="s">
        <v>3039</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1916</v>
      </c>
      <c r="B37" s="120">
        <v>0.02</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1917</v>
      </c>
      <c r="B38" s="118">
        <v>0.02</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3087</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1919</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1921</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1922</v>
      </c>
      <c r="B44" s="124">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1923</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1924</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1925</v>
      </c>
      <c r="B47" s="125">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1926</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1927</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1931</v>
      </c>
      <c r="B53" s="1924" t="s">
        <v>56</v>
      </c>
      <c r="C53" s="2885" t="s">
        <v>1932</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1934</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1938</v>
      </c>
      <c r="B59" s="80">
        <f>C59</f>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2"/>
  </cols>
  <sheetData>
    <row r="1" spans="1:29" s="2680" customFormat="1" ht="18.75" thickBot="1">
      <c r="A1" s="3152" t="s">
        <v>3028</v>
      </c>
      <c r="B1" s="3153"/>
      <c r="C1" s="3153"/>
      <c r="D1" s="3153"/>
      <c r="E1" s="3153"/>
      <c r="F1" s="3153"/>
      <c r="G1" s="315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3023</v>
      </c>
      <c r="D2" s="2684"/>
      <c r="E2" s="2681"/>
      <c r="F2" s="2685"/>
      <c r="G2" s="2683" t="s">
        <v>3024</v>
      </c>
      <c r="H2" s="907"/>
      <c r="I2" s="907"/>
      <c r="J2" s="907"/>
      <c r="K2" s="907"/>
      <c r="L2" s="907"/>
      <c r="M2" s="907"/>
      <c r="N2" s="907"/>
      <c r="O2" s="907"/>
      <c r="P2" s="907"/>
      <c r="Q2" s="907"/>
      <c r="R2" s="907"/>
    </row>
    <row r="3" spans="1:29" ht="48">
      <c r="A3" s="2664" t="s">
        <v>3025</v>
      </c>
      <c r="B3" s="2686" t="s">
        <v>2994</v>
      </c>
      <c r="C3" s="2687" t="s">
        <v>3026</v>
      </c>
      <c r="D3" s="2688"/>
      <c r="E3" s="2665" t="s">
        <v>3025</v>
      </c>
      <c r="F3" s="2689" t="s">
        <v>2995</v>
      </c>
      <c r="G3" s="2690" t="s">
        <v>3027</v>
      </c>
      <c r="H3" s="907"/>
      <c r="I3" s="907"/>
      <c r="J3" s="907"/>
      <c r="K3" s="907"/>
      <c r="L3" s="907"/>
      <c r="M3" s="907"/>
      <c r="N3" s="907"/>
      <c r="O3" s="907"/>
      <c r="P3" s="907"/>
      <c r="Q3" s="907"/>
      <c r="R3" s="907"/>
    </row>
    <row r="4" spans="1:29" ht="36.75">
      <c r="A4" s="2665"/>
      <c r="B4" s="329" t="s">
        <v>2996</v>
      </c>
      <c r="C4" s="2691" t="s">
        <v>2997</v>
      </c>
      <c r="D4" s="2688"/>
      <c r="E4" s="2692"/>
      <c r="F4" s="1557" t="s">
        <v>2998</v>
      </c>
      <c r="G4" s="2693" t="s">
        <v>2999</v>
      </c>
      <c r="H4" s="907"/>
      <c r="I4" s="907"/>
      <c r="J4" s="907"/>
      <c r="K4" s="907"/>
      <c r="L4" s="907"/>
      <c r="M4" s="907"/>
      <c r="N4" s="907"/>
      <c r="O4" s="907"/>
      <c r="P4" s="907"/>
      <c r="Q4" s="907"/>
      <c r="R4" s="907"/>
    </row>
    <row r="5" spans="1:29" ht="36.75">
      <c r="A5" s="2665"/>
      <c r="B5" s="329" t="s">
        <v>3000</v>
      </c>
      <c r="C5" s="2691" t="s">
        <v>3001</v>
      </c>
      <c r="D5" s="2688"/>
      <c r="E5" s="2692"/>
      <c r="F5" s="329" t="s">
        <v>3002</v>
      </c>
      <c r="G5" s="2693" t="s">
        <v>3003</v>
      </c>
      <c r="H5" s="907"/>
      <c r="I5" s="907"/>
      <c r="J5" s="907"/>
      <c r="K5" s="907"/>
      <c r="L5" s="907"/>
      <c r="M5" s="907"/>
      <c r="N5" s="907"/>
      <c r="O5" s="907"/>
      <c r="P5" s="907"/>
      <c r="Q5" s="907"/>
      <c r="R5" s="907"/>
    </row>
    <row r="6" spans="1:29" ht="36">
      <c r="A6" s="2665"/>
      <c r="B6" s="329" t="s">
        <v>3004</v>
      </c>
      <c r="C6" s="2693" t="s">
        <v>2999</v>
      </c>
      <c r="D6" s="2688"/>
      <c r="E6" s="2692"/>
      <c r="F6" s="329" t="s">
        <v>3005</v>
      </c>
      <c r="G6" s="2693" t="s">
        <v>3006</v>
      </c>
      <c r="H6" s="907"/>
      <c r="I6" s="907"/>
      <c r="J6" s="907"/>
      <c r="K6" s="907"/>
      <c r="L6" s="907"/>
      <c r="M6" s="907"/>
      <c r="N6" s="907"/>
      <c r="O6" s="907"/>
      <c r="P6" s="907"/>
      <c r="Q6" s="907"/>
      <c r="R6" s="907"/>
    </row>
    <row r="7" spans="1:29" ht="24.75" thickBot="1">
      <c r="A7" s="2665"/>
      <c r="B7" s="329" t="s">
        <v>3002</v>
      </c>
      <c r="C7" s="2693" t="s">
        <v>3003</v>
      </c>
      <c r="D7" s="2694"/>
      <c r="E7" s="2695"/>
      <c r="F7" s="2696" t="s">
        <v>3007</v>
      </c>
      <c r="G7" s="2697" t="s">
        <v>3008</v>
      </c>
      <c r="H7" s="907"/>
      <c r="I7" s="907"/>
      <c r="J7" s="907"/>
      <c r="K7" s="907"/>
      <c r="L7" s="907"/>
      <c r="M7" s="907"/>
      <c r="N7" s="907"/>
      <c r="O7" s="907"/>
      <c r="P7" s="907"/>
      <c r="Q7" s="907"/>
      <c r="R7" s="907"/>
    </row>
    <row r="8" spans="1:29">
      <c r="A8" s="2665"/>
      <c r="B8" s="329" t="s">
        <v>3005</v>
      </c>
      <c r="C8" s="2693" t="s">
        <v>3006</v>
      </c>
      <c r="D8" s="2694"/>
      <c r="E8" s="2694"/>
      <c r="F8" s="2698"/>
      <c r="G8" s="2698"/>
      <c r="H8" s="907"/>
      <c r="I8" s="907"/>
      <c r="J8" s="907"/>
      <c r="K8" s="907"/>
      <c r="L8" s="907"/>
      <c r="M8" s="907"/>
      <c r="N8" s="907"/>
      <c r="O8" s="907"/>
      <c r="P8" s="907"/>
      <c r="Q8" s="907"/>
      <c r="R8" s="907"/>
    </row>
    <row r="9" spans="1:29" ht="24">
      <c r="A9" s="2665"/>
      <c r="B9" s="329" t="s">
        <v>3009</v>
      </c>
      <c r="C9" s="2691" t="s">
        <v>3010</v>
      </c>
      <c r="D9" s="2688"/>
      <c r="E9" s="2694"/>
      <c r="F9" s="2698"/>
      <c r="G9" s="2698"/>
      <c r="H9" s="907"/>
      <c r="I9" s="907"/>
      <c r="J9" s="907"/>
      <c r="K9" s="907"/>
      <c r="L9" s="907"/>
      <c r="M9" s="907"/>
      <c r="N9" s="907"/>
      <c r="O9" s="907"/>
      <c r="P9" s="907"/>
      <c r="Q9" s="907"/>
      <c r="R9" s="907"/>
    </row>
    <row r="10" spans="1:29" s="2704" customFormat="1" ht="15" thickBot="1">
      <c r="A10" s="2666"/>
      <c r="B10" s="2699" t="s">
        <v>3011</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3029</v>
      </c>
      <c r="B13" s="2707"/>
      <c r="C13" s="2707"/>
      <c r="D13" s="2705"/>
      <c r="E13" s="2707"/>
      <c r="F13" s="2707"/>
      <c r="G13" s="2707"/>
    </row>
    <row r="14" spans="1:29" ht="15" thickBot="1">
      <c r="A14" s="2717"/>
      <c r="B14" s="2717"/>
      <c r="C14" s="2718" t="s">
        <v>3012</v>
      </c>
      <c r="D14" s="2688"/>
      <c r="E14" s="2719"/>
      <c r="F14" s="2719"/>
      <c r="G14" s="2683" t="s">
        <v>3013</v>
      </c>
    </row>
    <row r="15" spans="1:29" ht="51">
      <c r="A15" s="2667" t="s">
        <v>3014</v>
      </c>
      <c r="B15" s="2720" t="s">
        <v>2994</v>
      </c>
      <c r="C15" s="2721" t="str">
        <f>C3</f>
        <v>估价对象周边居住用地比例、居住小区规模和社区发展完善程度，综合评价居住社区成熟度一般</v>
      </c>
      <c r="D15" s="2688"/>
      <c r="E15" s="2668" t="s">
        <v>3015</v>
      </c>
      <c r="F15" s="2720" t="s">
        <v>3016</v>
      </c>
      <c r="G15" s="2722" t="str">
        <f>G3</f>
        <v>估价对象位于XX开发区，园区建设成熟度XX，产业集聚程度XX</v>
      </c>
    </row>
    <row r="16" spans="1:29" ht="38.25">
      <c r="A16" s="2669"/>
      <c r="B16" s="2723" t="s">
        <v>2996</v>
      </c>
      <c r="C16" s="2724" t="str">
        <f>C4</f>
        <v>估价对象位于XX商圈，周边商业氛围成熟，人流量大，商业繁华度好</v>
      </c>
      <c r="D16" s="2688"/>
      <c r="E16" s="2670"/>
      <c r="F16" s="2725" t="s">
        <v>2998</v>
      </c>
      <c r="G16" s="2726" t="str">
        <f>G4</f>
        <v>估价对象周边道路状况、公共交通通达情况、停车便捷程度，综合评价交通便捷度较好</v>
      </c>
    </row>
    <row r="17" spans="1:18" ht="38.25">
      <c r="A17" s="2669"/>
      <c r="B17" s="2723" t="s">
        <v>3000</v>
      </c>
      <c r="C17" s="2724" t="str">
        <f>C5</f>
        <v>估价对象位于XX商圈，周边办公楼项目较多，入驻率高，办公集聚程度较好</v>
      </c>
      <c r="D17" s="2694"/>
      <c r="E17" s="2670"/>
      <c r="F17" s="2725" t="s">
        <v>3017</v>
      </c>
      <c r="G17" s="2727"/>
    </row>
    <row r="18" spans="1:18" ht="38.25">
      <c r="A18" s="2669"/>
      <c r="B18" s="2725" t="s">
        <v>3004</v>
      </c>
      <c r="C18" s="2726" t="str">
        <f>C6</f>
        <v>估价对象周边道路状况、公共交通通达情况、停车便捷程度，综合评价交通便捷度较好</v>
      </c>
      <c r="D18" s="2694"/>
      <c r="E18" s="2670"/>
      <c r="F18" s="2725" t="s">
        <v>3007</v>
      </c>
      <c r="G18" s="2726" t="str">
        <f>G7</f>
        <v>该园区内是否有污染型企业，绿化情况，卫生条件，整体环境状况判断</v>
      </c>
    </row>
    <row r="19" spans="1:18" ht="25.5">
      <c r="A19" s="2669"/>
      <c r="B19" s="2725" t="s">
        <v>3018</v>
      </c>
      <c r="C19" s="2727"/>
      <c r="D19" s="2688"/>
      <c r="E19" s="2670"/>
      <c r="F19" s="329" t="s">
        <v>3002</v>
      </c>
      <c r="G19" s="2726" t="str">
        <f>G5</f>
        <v>估价对象所在区域公共配套设施齐备情况</v>
      </c>
    </row>
    <row r="20" spans="1:18" ht="25.5">
      <c r="A20" s="2669"/>
      <c r="B20" s="2725" t="s">
        <v>3019</v>
      </c>
      <c r="C20" s="2724" t="str">
        <f>C9</f>
        <v>区域自然环境：；人文环境；综合评价环境状况一般</v>
      </c>
      <c r="D20" s="2694"/>
      <c r="E20" s="2670"/>
      <c r="F20" s="329" t="s">
        <v>3005</v>
      </c>
      <c r="G20" s="2726" t="str">
        <f>G6</f>
        <v>估价对象所在区域基础设施水平</v>
      </c>
    </row>
    <row r="21" spans="1:18" ht="25.5">
      <c r="A21" s="2669"/>
      <c r="B21" s="329" t="s">
        <v>3002</v>
      </c>
      <c r="C21" s="2726" t="str">
        <f>C7</f>
        <v>估价对象所在区域公共配套设施齐备情况</v>
      </c>
      <c r="D21" s="2688"/>
      <c r="E21" s="2670"/>
      <c r="F21" s="2725" t="s">
        <v>3020</v>
      </c>
      <c r="G21" s="2728"/>
    </row>
    <row r="22" spans="1:18" ht="13.5" customHeight="1">
      <c r="A22" s="2669"/>
      <c r="B22" s="329" t="s">
        <v>3005</v>
      </c>
      <c r="C22" s="2726" t="str">
        <f>C8</f>
        <v>估价对象所在区域基础设施水平</v>
      </c>
      <c r="D22" s="2688"/>
      <c r="E22" s="2670"/>
      <c r="F22" s="2725" t="s">
        <v>3011</v>
      </c>
      <c r="G22" s="2727"/>
    </row>
    <row r="23" spans="1:18" s="907" customFormat="1" ht="15" thickBot="1">
      <c r="A23" s="2669"/>
      <c r="B23" s="2725" t="s">
        <v>3020</v>
      </c>
      <c r="C23" s="2728"/>
      <c r="D23" s="1927"/>
      <c r="E23" s="2671"/>
      <c r="F23" s="2729" t="s">
        <v>3021</v>
      </c>
      <c r="G23" s="2730"/>
      <c r="H23" s="2714"/>
      <c r="I23" s="2715"/>
      <c r="J23" s="2714"/>
      <c r="K23" s="2714"/>
      <c r="L23" s="2715"/>
      <c r="M23" s="2714"/>
      <c r="N23" s="2714"/>
      <c r="O23" s="2715"/>
      <c r="P23" s="2714"/>
      <c r="Q23" s="2714"/>
      <c r="R23" s="2716"/>
    </row>
    <row r="24" spans="1:18" s="907" customFormat="1" ht="15" thickBot="1">
      <c r="A24" s="2672"/>
      <c r="B24" s="2729" t="s">
        <v>3022</v>
      </c>
      <c r="C24" s="2731">
        <f>C10</f>
        <v>0</v>
      </c>
      <c r="D24" s="1927"/>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75038.94</v>
      </c>
      <c r="C1" s="2912"/>
      <c r="D1" s="2912"/>
      <c r="E1" s="2912"/>
      <c r="F1" s="2912"/>
      <c r="G1" s="2913"/>
      <c r="H1" s="2914"/>
      <c r="I1" s="2914"/>
      <c r="J1" s="2914"/>
      <c r="K1" s="2914"/>
    </row>
    <row r="2" spans="1:11" ht="16.5">
      <c r="A2" s="2735" t="s">
        <v>1319</v>
      </c>
      <c r="B2" s="2735">
        <f>SUM(C14:C23)</f>
        <v>17679.96</v>
      </c>
      <c r="C2" s="2912"/>
      <c r="D2" s="2912"/>
      <c r="E2" s="2912"/>
      <c r="F2" s="2912"/>
      <c r="G2" s="2913"/>
      <c r="H2" s="2914"/>
      <c r="I2" s="2914"/>
      <c r="J2" s="2914"/>
      <c r="K2" s="2914"/>
    </row>
    <row r="3" spans="1:11" ht="16.5">
      <c r="A3" s="2735" t="s">
        <v>1328</v>
      </c>
      <c r="B3" s="2737">
        <f>项目基本情况!D3</f>
        <v>44315</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53096</v>
      </c>
      <c r="C5" s="2735">
        <f ca="1">ROUND(B5*10000/$B$1,0)</f>
        <v>7076</v>
      </c>
      <c r="D5" s="2735">
        <f ca="1">ROUND(B5*10000/$B$2,0)</f>
        <v>30032</v>
      </c>
      <c r="E5" s="2912"/>
      <c r="F5" s="2913"/>
      <c r="G5" s="2913"/>
      <c r="H5" s="2914"/>
      <c r="I5" s="2914"/>
      <c r="J5" s="2914"/>
      <c r="K5" s="2914"/>
    </row>
    <row r="6" spans="1:11" ht="16.5">
      <c r="A6" s="2735" t="s">
        <v>1322</v>
      </c>
      <c r="B6" s="2735">
        <f ca="1">SUM(G14:G23)</f>
        <v>53096</v>
      </c>
      <c r="C6" s="2735">
        <f ca="1">ROUND(B6*10000/$B$1,0)</f>
        <v>7076</v>
      </c>
      <c r="D6" s="2735">
        <f ca="1">ROUND(B6*10000/$B$2,0)</f>
        <v>30032</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75038.94</v>
      </c>
      <c r="C14" s="2741">
        <f>结果表!C118</f>
        <v>17679.96</v>
      </c>
      <c r="D14" s="2741">
        <f ca="1">结果表!H118</f>
        <v>53096</v>
      </c>
      <c r="E14" s="2741">
        <f ca="1">ROUND(D14*10000/B14,0)</f>
        <v>7076</v>
      </c>
      <c r="F14" s="2741">
        <f ca="1">ROUND(D14*10000/C14,0)</f>
        <v>30032</v>
      </c>
      <c r="G14" s="2741">
        <f ca="1">结果表!D122</f>
        <v>53096</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500"/>
      <c r="H15" s="1500"/>
      <c r="I15" s="2742"/>
      <c r="J15" s="2913"/>
      <c r="K15" s="2914"/>
    </row>
    <row r="16" spans="1:11" ht="16.5">
      <c r="A16" s="2740" t="s">
        <v>1314</v>
      </c>
      <c r="B16" s="2742"/>
      <c r="C16" s="2742"/>
      <c r="D16" s="2742"/>
      <c r="E16" s="2741" t="e">
        <f t="shared" si="0"/>
        <v>#DIV/0!</v>
      </c>
      <c r="F16" s="2741" t="e">
        <f t="shared" si="1"/>
        <v>#DIV/0!</v>
      </c>
      <c r="G16" s="1500"/>
      <c r="H16" s="1500"/>
      <c r="I16" s="2742"/>
      <c r="J16" s="2914"/>
      <c r="K16" s="2914"/>
    </row>
    <row r="17" spans="1:11" ht="16.5">
      <c r="A17" s="2740" t="s">
        <v>1313</v>
      </c>
      <c r="B17" s="2742"/>
      <c r="C17" s="2742"/>
      <c r="D17" s="2742"/>
      <c r="E17" s="2741" t="e">
        <f t="shared" si="0"/>
        <v>#DIV/0!</v>
      </c>
      <c r="F17" s="2741" t="e">
        <f t="shared" si="1"/>
        <v>#DIV/0!</v>
      </c>
      <c r="G17" s="1500"/>
      <c r="H17" s="1500"/>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3067</v>
      </c>
      <c r="H1" s="1936" t="str">
        <f>IF(G1="现房","——","估价对象范围")</f>
        <v>估价对象范围</v>
      </c>
      <c r="I1" s="1937" t="s">
        <v>3089</v>
      </c>
    </row>
    <row r="2" spans="1:12" ht="21.75" customHeight="1" thickBot="1">
      <c r="A2" s="3224" t="str">
        <f>项目基本情况!S2</f>
        <v>北京市通州区于家务回族乡通州国际种业科技园区A03地块研发中心项目出让国有建设用地使用权及在建建筑物房地产</v>
      </c>
      <c r="B2" s="3225"/>
      <c r="C2" s="3225"/>
      <c r="D2" s="3225"/>
      <c r="E2" s="3225"/>
      <c r="F2" s="3225"/>
      <c r="G2" s="3225"/>
      <c r="H2" s="3225"/>
      <c r="I2" s="3226"/>
    </row>
    <row r="3" spans="1:12" ht="12.75">
      <c r="A3" s="3228" t="s">
        <v>1950</v>
      </c>
      <c r="B3" s="3229"/>
      <c r="C3" s="3229"/>
      <c r="D3" s="3229"/>
      <c r="E3" s="3229"/>
      <c r="F3" s="3229"/>
      <c r="G3" s="3229"/>
      <c r="H3" s="3229"/>
      <c r="I3" s="3229"/>
    </row>
    <row r="4" spans="1:12" ht="14.25">
      <c r="A4" s="1940" t="s">
        <v>1951</v>
      </c>
      <c r="B4" s="1941" t="s">
        <v>1952</v>
      </c>
      <c r="C4" s="1942" t="s">
        <v>3090</v>
      </c>
      <c r="D4" s="1942" t="s">
        <v>3091</v>
      </c>
      <c r="E4" s="3233" t="s">
        <v>1953</v>
      </c>
      <c r="F4" s="3234"/>
      <c r="G4" s="3234"/>
      <c r="H4" s="3234"/>
      <c r="I4" s="32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69" t="s">
        <v>1954</v>
      </c>
      <c r="B5" s="3227">
        <v>25</v>
      </c>
      <c r="C5" s="3230"/>
      <c r="D5" s="3218"/>
      <c r="E5" s="136" t="s">
        <v>1955</v>
      </c>
      <c r="F5" s="1943"/>
      <c r="G5" s="1943"/>
      <c r="H5" s="1943"/>
      <c r="I5" s="1557"/>
    </row>
    <row r="6" spans="1:12" ht="12.75">
      <c r="A6" s="3169"/>
      <c r="B6" s="3227"/>
      <c r="C6" s="3232"/>
      <c r="D6" s="3218"/>
      <c r="E6" s="136" t="s">
        <v>1956</v>
      </c>
      <c r="F6" s="1943"/>
      <c r="G6" s="1943"/>
      <c r="H6" s="1943"/>
      <c r="I6" s="1557"/>
    </row>
    <row r="7" spans="1:12" ht="12.75">
      <c r="A7" s="3169"/>
      <c r="B7" s="3227"/>
      <c r="C7" s="3231"/>
      <c r="D7" s="3218"/>
      <c r="E7" s="136" t="s">
        <v>1957</v>
      </c>
      <c r="F7" s="1943"/>
      <c r="G7" s="1943"/>
      <c r="H7" s="1943"/>
      <c r="I7" s="1557"/>
    </row>
    <row r="8" spans="1:12" ht="12.75">
      <c r="A8" s="3169" t="s">
        <v>1958</v>
      </c>
      <c r="B8" s="3227">
        <v>15</v>
      </c>
      <c r="C8" s="3230"/>
      <c r="D8" s="3218"/>
      <c r="E8" s="136" t="s">
        <v>1959</v>
      </c>
      <c r="F8" s="1943"/>
      <c r="G8" s="1943"/>
      <c r="H8" s="1943"/>
      <c r="I8" s="1557"/>
    </row>
    <row r="9" spans="1:12" ht="12.75">
      <c r="A9" s="3169"/>
      <c r="B9" s="3227"/>
      <c r="C9" s="3231"/>
      <c r="D9" s="3218"/>
      <c r="E9" s="136" t="s">
        <v>1960</v>
      </c>
      <c r="F9" s="1943"/>
      <c r="G9" s="1943"/>
      <c r="H9" s="1943"/>
      <c r="I9" s="1557"/>
    </row>
    <row r="10" spans="1:12" ht="12.75">
      <c r="A10" s="3169" t="s">
        <v>1961</v>
      </c>
      <c r="B10" s="3227">
        <v>15</v>
      </c>
      <c r="C10" s="3230"/>
      <c r="D10" s="3218"/>
      <c r="E10" s="136" t="s">
        <v>1962</v>
      </c>
      <c r="F10" s="1943"/>
      <c r="G10" s="1943"/>
      <c r="H10" s="1943"/>
      <c r="I10" s="1557"/>
    </row>
    <row r="11" spans="1:12" ht="12.75">
      <c r="A11" s="3169"/>
      <c r="B11" s="3227"/>
      <c r="C11" s="3231"/>
      <c r="D11" s="3218"/>
      <c r="E11" s="136" t="s">
        <v>1963</v>
      </c>
      <c r="F11" s="1943"/>
      <c r="G11" s="1943"/>
      <c r="H11" s="1943"/>
      <c r="I11" s="1557"/>
    </row>
    <row r="12" spans="1:12" ht="12.75">
      <c r="A12" s="3169" t="s">
        <v>1964</v>
      </c>
      <c r="B12" s="3227">
        <v>15</v>
      </c>
      <c r="C12" s="3230"/>
      <c r="D12" s="3218"/>
      <c r="E12" s="136" t="s">
        <v>1965</v>
      </c>
      <c r="F12" s="1943"/>
      <c r="G12" s="1943"/>
      <c r="H12" s="1943"/>
      <c r="I12" s="1557"/>
    </row>
    <row r="13" spans="1:12" ht="12.75">
      <c r="A13" s="3169"/>
      <c r="B13" s="3227"/>
      <c r="C13" s="3231"/>
      <c r="D13" s="3218"/>
      <c r="E13" s="136" t="s">
        <v>1966</v>
      </c>
      <c r="F13" s="1943"/>
      <c r="G13" s="1943"/>
      <c r="H13" s="1943"/>
      <c r="I13" s="1557"/>
    </row>
    <row r="14" spans="1:12" ht="12.75">
      <c r="A14" s="3169" t="s">
        <v>1967</v>
      </c>
      <c r="B14" s="3227">
        <v>30</v>
      </c>
      <c r="C14" s="3230">
        <v>5</v>
      </c>
      <c r="D14" s="3218">
        <v>5</v>
      </c>
      <c r="E14" s="136" t="s">
        <v>1968</v>
      </c>
      <c r="F14" s="1943"/>
      <c r="G14" s="1943"/>
      <c r="H14" s="1943"/>
      <c r="I14" s="1557"/>
    </row>
    <row r="15" spans="1:12" ht="12.75">
      <c r="A15" s="3169"/>
      <c r="B15" s="3227"/>
      <c r="C15" s="3232"/>
      <c r="D15" s="3218"/>
      <c r="E15" s="136" t="s">
        <v>1969</v>
      </c>
      <c r="F15" s="1943"/>
      <c r="G15" s="1943"/>
      <c r="H15" s="1943"/>
      <c r="I15" s="1557"/>
    </row>
    <row r="16" spans="1:12" ht="12.75">
      <c r="A16" s="3169"/>
      <c r="B16" s="3227"/>
      <c r="C16" s="3231"/>
      <c r="D16" s="3218"/>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49" t="s">
        <v>2869</v>
      </c>
      <c r="F18" s="3250"/>
      <c r="G18" s="3250"/>
      <c r="H18" s="3250"/>
      <c r="I18" s="3250"/>
      <c r="K18" s="308" t="s">
        <v>1975</v>
      </c>
      <c r="L18" s="308">
        <f>IF(C1="",'数据-汇总表'!E3,SUMIF(项目类型,C1,'数据-汇总表'!E17:E26)+SUMIF(项目类型,C1,'数据-汇总表'!I17:I26))</f>
        <v>75038.94</v>
      </c>
      <c r="M18" s="308">
        <f>IF(C1="",'数据-汇总表'!E3,SUMIF(项目类型,C1,'数据-汇总表'!E17:E26))</f>
        <v>75038.94</v>
      </c>
    </row>
    <row r="19" spans="1:36" ht="15">
      <c r="A19" s="1947" t="s">
        <v>1976</v>
      </c>
      <c r="B19" s="1948" t="s">
        <v>1977</v>
      </c>
      <c r="C19" s="139">
        <f ca="1">SUMIF(INDIRECT("'"&amp;C4&amp;"'"&amp;"!A:A"),结果表!B19,INDIRECT("'"&amp;C4&amp;"'"&amp;"!B:B"))</f>
        <v>54933</v>
      </c>
      <c r="D19" s="140">
        <f ca="1">SUMIF(INDIRECT("'"&amp;D4&amp;"'"&amp;"!A:A"),结果表!B19,INDIRECT("'"&amp;D4&amp;"'"&amp;"!B:B"))</f>
        <v>51259</v>
      </c>
      <c r="E19" s="1947" t="s">
        <v>1978</v>
      </c>
      <c r="F19" s="1948" t="s">
        <v>1977</v>
      </c>
      <c r="G19" s="141">
        <f ca="1">ROUND(C19*$C$18+D19*$D$18,0)</f>
        <v>53096</v>
      </c>
      <c r="H19" s="1949" t="s">
        <v>1979</v>
      </c>
      <c r="I19" s="134"/>
      <c r="K19" s="308" t="s">
        <v>1980</v>
      </c>
      <c r="L19" s="308">
        <f>IF(C1="",'数据-汇总表'!D3,SUMIF(项目类型,C1,'数据-汇总表'!D17:D26)+SUMIF(项目类型,C1,'数据-汇总表'!H17:H27))</f>
        <v>17679.96</v>
      </c>
      <c r="M19" s="308">
        <f>IF(C1="",'数据-汇总表'!D3,SUMIF(项目类型,C1,'数据-汇总表'!D17:D26))</f>
        <v>17679.96</v>
      </c>
    </row>
    <row r="20" spans="1:36" ht="15">
      <c r="A20" s="1950"/>
      <c r="B20" s="1157" t="s">
        <v>1981</v>
      </c>
      <c r="C20" s="142">
        <f ca="1">SUMIF(INDIRECT("'"&amp;C4&amp;"'"&amp;"!A:A"),结果表!B20,INDIRECT("'"&amp;C4&amp;"'"&amp;"!B:B"))</f>
        <v>7321</v>
      </c>
      <c r="D20" s="143">
        <f ca="1">SUMIF(INDIRECT("'"&amp;D4&amp;"'"&amp;"!A:A"),结果表!B20,INDIRECT("'"&amp;D4&amp;"'"&amp;"!B:B"))</f>
        <v>6831</v>
      </c>
      <c r="E20" s="1950"/>
      <c r="F20" s="1157" t="s">
        <v>1981</v>
      </c>
      <c r="G20" s="144">
        <f ca="1">ROUND(C20*$C$18+D20*$D$18,0)</f>
        <v>7076</v>
      </c>
      <c r="H20" s="917" t="s">
        <v>1982</v>
      </c>
      <c r="I20" s="134"/>
    </row>
    <row r="21" spans="1:36" ht="15" customHeight="1" thickBot="1">
      <c r="A21" s="937"/>
      <c r="B21" s="1951" t="s">
        <v>1983</v>
      </c>
      <c r="C21" s="728">
        <f ca="1">ROUND(C19*10000/L19,0)</f>
        <v>31071</v>
      </c>
      <c r="D21" s="729">
        <f ca="1">ROUND(D19*10000/L19,0)</f>
        <v>28993</v>
      </c>
      <c r="E21" s="937"/>
      <c r="F21" s="1951" t="s">
        <v>1983</v>
      </c>
      <c r="G21" s="145">
        <f ca="1">ROUND(G19*10000/L19,0)</f>
        <v>30032</v>
      </c>
      <c r="H21" s="1952" t="s">
        <v>1982</v>
      </c>
      <c r="I21" s="134"/>
    </row>
    <row r="22" spans="1:36" ht="15" thickBot="1">
      <c r="A22" s="1874" t="s">
        <v>1984</v>
      </c>
      <c r="B22" s="1953"/>
      <c r="C22" s="1954"/>
      <c r="D22" s="730">
        <f ca="1">IF(C19&lt;D19,D19/C19-1,C19/D19-1)</f>
        <v>7.1675218010495811E-2</v>
      </c>
      <c r="E22" s="134"/>
      <c r="F22" s="134"/>
      <c r="G22" s="134"/>
      <c r="H22" s="134"/>
      <c r="I22" s="134"/>
    </row>
    <row r="23" spans="1:36" ht="13.5" thickBot="1">
      <c r="A23" s="1933"/>
      <c r="B23" s="1933"/>
      <c r="C23" s="1933"/>
      <c r="D23" s="1933"/>
      <c r="E23" s="134"/>
      <c r="F23" s="134"/>
      <c r="G23" s="134"/>
      <c r="H23" s="134"/>
      <c r="I23" s="134"/>
    </row>
    <row r="24" spans="1:36" ht="14.25">
      <c r="A24" s="3242" t="s">
        <v>1985</v>
      </c>
      <c r="B24" s="1948" t="s">
        <v>1977</v>
      </c>
      <c r="C24" s="141">
        <f>IF(B30=0,0,D30)</f>
        <v>0</v>
      </c>
      <c r="D24" s="1955"/>
      <c r="E24" s="134"/>
      <c r="F24" s="134"/>
      <c r="G24" s="134"/>
      <c r="H24" s="134"/>
      <c r="I24" s="134"/>
    </row>
    <row r="25" spans="1:36" ht="14.25">
      <c r="A25" s="324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53096</v>
      </c>
      <c r="D32" s="1961" t="s">
        <v>3111</v>
      </c>
      <c r="E32" s="134"/>
      <c r="F32" s="134"/>
      <c r="G32" s="134"/>
      <c r="H32" s="134"/>
      <c r="I32" s="134"/>
    </row>
    <row r="33" spans="1:15" ht="15">
      <c r="A33" s="894" t="s">
        <v>1992</v>
      </c>
      <c r="B33" s="1962"/>
      <c r="C33" s="1963" t="s">
        <v>3112</v>
      </c>
      <c r="D33" s="1964" t="s">
        <v>3090</v>
      </c>
      <c r="E33" s="1965" t="s">
        <v>1993</v>
      </c>
      <c r="F33" s="1966" t="str">
        <f>IF(D32="楼面单价","取值（单价）","取值（总价）")</f>
        <v>取值（总价）</v>
      </c>
      <c r="G33" s="134"/>
      <c r="H33" s="134"/>
      <c r="I33" s="134"/>
    </row>
    <row r="34" spans="1:15" ht="15">
      <c r="A34" s="1967"/>
      <c r="B34" s="1968" t="s">
        <v>1994</v>
      </c>
      <c r="C34" s="153">
        <f ca="1">IF(C33="自定义",F34,C32-C35)</f>
        <v>22460</v>
      </c>
      <c r="D34" s="970">
        <f ca="1">IF(C33="自定义",ROUND(C34/C32,3),IF(C33="收益比率",SUMIF(INDIRECT("'"&amp;D33&amp;"'"&amp;"!b:b"),"土地收益比率",INDIRECT("'"&amp;D33&amp;"'"&amp;"!c:c")),SUMIF(INDIRECT("'"&amp;D33&amp;"'"&amp;"!b:b"),"土地成本比率",INDIRECT("'"&amp;D33&amp;"'"&amp;"!c:c"))))</f>
        <v>0.42300000000000004</v>
      </c>
      <c r="E34" s="1969" t="s">
        <v>1995</v>
      </c>
      <c r="F34" s="1498"/>
      <c r="G34" s="134"/>
      <c r="H34" s="134"/>
      <c r="I34" s="134"/>
    </row>
    <row r="35" spans="1:15" ht="15.75" thickBot="1">
      <c r="A35" s="1970"/>
      <c r="B35" s="1971" t="s">
        <v>1996</v>
      </c>
      <c r="C35" s="1332">
        <f ca="1">IF(C33="自定义",F35,ROUND(C32*D35,0))</f>
        <v>30636</v>
      </c>
      <c r="D35" s="1333">
        <f ca="1">IF(C33="自定义",ROUND(C35/C32,3),IF(C33="收益比率",SUMIF(INDIRECT("'"&amp;D33&amp;"'"&amp;"!b:b"),"建筑物收益比率",INDIRECT("'"&amp;D33&amp;"'"&amp;"!c:c")),SUMIF(INDIRECT("'"&amp;D33&amp;"'"&amp;"!b:b"),"建筑物成本比率",INDIRECT("'"&amp;D33&amp;"'"&amp;"!c:c"))))</f>
        <v>0.57699999999999996</v>
      </c>
      <c r="E35" s="1972" t="s">
        <v>1997</v>
      </c>
      <c r="F35" s="159"/>
      <c r="G35" s="134"/>
      <c r="H35" s="134"/>
      <c r="I35" s="134"/>
    </row>
    <row r="36" spans="1:15" ht="15.75" thickBot="1">
      <c r="A36" s="3219" t="s">
        <v>1998</v>
      </c>
      <c r="B36" s="1973" t="s">
        <v>1999</v>
      </c>
      <c r="C36" s="150"/>
      <c r="D36" s="1974"/>
      <c r="E36" s="1975"/>
      <c r="F36" s="1976"/>
      <c r="G36" s="134"/>
      <c r="H36" s="134"/>
      <c r="I36" s="134"/>
    </row>
    <row r="37" spans="1:15" ht="15.75" thickBot="1">
      <c r="A37" s="3220"/>
      <c r="B37" s="1860" t="s">
        <v>2000</v>
      </c>
      <c r="C37" s="152"/>
      <c r="D37" s="1301"/>
      <c r="E37" s="1301"/>
      <c r="F37" s="1976"/>
      <c r="G37" s="134"/>
      <c r="H37" s="134"/>
      <c r="I37" s="134"/>
    </row>
    <row r="38" spans="1:15" ht="15.75" thickBot="1">
      <c r="A38" s="322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9" t="s">
        <v>2012</v>
      </c>
      <c r="B45" s="3240"/>
      <c r="C45" s="3241"/>
      <c r="D45" s="160">
        <f ca="1">ROUND(H101*F45,0)</f>
        <v>53096</v>
      </c>
      <c r="E45" s="161" t="s">
        <v>2013</v>
      </c>
      <c r="F45" s="162">
        <v>1</v>
      </c>
      <c r="G45" s="163" t="s">
        <v>2014</v>
      </c>
      <c r="H45" s="134"/>
      <c r="I45" s="134"/>
      <c r="J45" s="3156" t="s">
        <v>2015</v>
      </c>
      <c r="K45" s="3156"/>
      <c r="L45" s="3156"/>
      <c r="M45" s="3156"/>
      <c r="N45" s="3156"/>
      <c r="O45" s="3156"/>
    </row>
    <row r="46" spans="1:15" ht="14.25" customHeight="1">
      <c r="A46" s="3236" t="s">
        <v>2016</v>
      </c>
      <c r="B46" s="3237"/>
      <c r="C46" s="3237"/>
      <c r="D46" s="3237"/>
      <c r="E46" s="3237"/>
      <c r="F46" s="3237"/>
      <c r="G46" s="3238"/>
      <c r="H46" s="1992"/>
      <c r="I46" s="164"/>
      <c r="J46" s="2746">
        <v>1</v>
      </c>
      <c r="K46" s="3157" t="s">
        <v>2017</v>
      </c>
      <c r="L46" s="3157"/>
      <c r="M46" s="3158"/>
      <c r="N46" s="3158"/>
      <c r="O46" s="3158"/>
    </row>
    <row r="47" spans="1:15" ht="12" customHeight="1">
      <c r="A47" s="165" t="s">
        <v>2018</v>
      </c>
      <c r="B47" s="166"/>
      <c r="C47" s="167"/>
      <c r="D47" s="1247" t="s">
        <v>2019</v>
      </c>
      <c r="E47" s="308" t="s">
        <v>2020</v>
      </c>
      <c r="F47" s="168" t="s">
        <v>2021</v>
      </c>
      <c r="G47" s="2769" t="s">
        <v>2022</v>
      </c>
      <c r="H47" s="2770"/>
      <c r="I47" s="164"/>
      <c r="J47" s="2746">
        <v>2</v>
      </c>
      <c r="K47" s="3157" t="s">
        <v>2023</v>
      </c>
      <c r="L47" s="3157"/>
      <c r="M47" s="3159">
        <f>'数据-取费表'!B2</f>
        <v>44315</v>
      </c>
      <c r="N47" s="3159"/>
      <c r="O47" s="3159"/>
    </row>
    <row r="48" spans="1:15" ht="25.5">
      <c r="A48" s="3222" t="s">
        <v>2024</v>
      </c>
      <c r="B48" s="3223"/>
      <c r="C48" s="3223"/>
      <c r="D48" s="2547" t="b">
        <f>IF(H48="情况1",0,IF(H48="情况2",D52,IF(H48="情况3",D53,IF(H48="情况4",D54))))</f>
        <v>0</v>
      </c>
      <c r="E48" s="2557" t="str">
        <f>IF(H48="情况4","(销售额-原购置价)×税（费）率","销售额×税（费）率")</f>
        <v>销售额×税（费）率</v>
      </c>
      <c r="F48" s="2771">
        <f>IF(H48="情况1","免征",'数据-取费表'!B41)</f>
        <v>5.6000000000000001E-2</v>
      </c>
      <c r="G48" s="2772" t="s">
        <v>2025</v>
      </c>
      <c r="H48" s="2773"/>
      <c r="I48" s="1992"/>
      <c r="J48" s="2746">
        <v>3</v>
      </c>
      <c r="K48" s="3157" t="s">
        <v>2026</v>
      </c>
      <c r="L48" s="3157"/>
      <c r="M48" s="3160">
        <f ca="1">H101</f>
        <v>53096</v>
      </c>
      <c r="N48" s="3160"/>
      <c r="O48" s="3160"/>
    </row>
    <row r="49" spans="1:35" ht="25.5" customHeight="1">
      <c r="A49" s="2556" t="s">
        <v>2027</v>
      </c>
      <c r="B49" s="3205" t="s">
        <v>2028</v>
      </c>
      <c r="C49" s="3205"/>
      <c r="D49" s="1775">
        <v>0</v>
      </c>
      <c r="E49" s="330" t="s">
        <v>2029</v>
      </c>
      <c r="F49" s="2647" t="s">
        <v>34</v>
      </c>
      <c r="G49" s="3188"/>
      <c r="H49" s="2528" t="s">
        <v>2872</v>
      </c>
      <c r="I49" s="2529"/>
      <c r="J49" s="2746">
        <v>4</v>
      </c>
      <c r="K49" s="3157" t="str">
        <f>IF(项目基本情况!E8="房地产抵押价值","房地产抵押价值","抵押担保权已注销时的房地产抵押价值")</f>
        <v>房地产抵押价值</v>
      </c>
      <c r="L49" s="3157"/>
      <c r="M49" s="3160">
        <f ca="1">IF(项目基本情况!E8="房地产抵押价值",H107,H109)</f>
        <v>53096</v>
      </c>
      <c r="N49" s="3160"/>
      <c r="O49" s="3160"/>
    </row>
    <row r="50" spans="1:35" ht="25.5" customHeight="1">
      <c r="A50" s="2774"/>
      <c r="B50" s="3205" t="s">
        <v>2030</v>
      </c>
      <c r="C50" s="3205"/>
      <c r="D50" s="2775"/>
      <c r="E50" s="338"/>
      <c r="F50" s="2647"/>
      <c r="G50" s="3189"/>
      <c r="H50" s="2530" t="s">
        <v>2873</v>
      </c>
      <c r="I50" s="2529"/>
      <c r="J50" s="3156" t="s">
        <v>2031</v>
      </c>
      <c r="K50" s="3156"/>
      <c r="L50" s="3156"/>
      <c r="M50" s="3156"/>
      <c r="N50" s="3156"/>
      <c r="O50" s="3156"/>
    </row>
    <row r="51" spans="1:35" ht="20.45" customHeight="1">
      <c r="A51" s="2776"/>
      <c r="B51" s="3205" t="s">
        <v>2032</v>
      </c>
      <c r="C51" s="3205"/>
      <c r="D51" s="1247"/>
      <c r="E51" s="333"/>
      <c r="F51" s="2647"/>
      <c r="G51" s="3190"/>
      <c r="H51" s="2530" t="s">
        <v>2874</v>
      </c>
      <c r="I51" s="2529"/>
      <c r="J51" s="2747" t="s">
        <v>2033</v>
      </c>
      <c r="K51" s="3157" t="s">
        <v>2034</v>
      </c>
      <c r="L51" s="3157"/>
      <c r="M51" s="2747" t="s">
        <v>2035</v>
      </c>
      <c r="N51" s="2747" t="s">
        <v>2036</v>
      </c>
      <c r="O51" s="2747" t="s">
        <v>2037</v>
      </c>
    </row>
    <row r="52" spans="1:35" ht="24" customHeight="1">
      <c r="A52" s="2558" t="s">
        <v>2038</v>
      </c>
      <c r="B52" s="3205" t="s">
        <v>2039</v>
      </c>
      <c r="C52" s="3205"/>
      <c r="D52" s="1247">
        <f ca="1">ROUND(D45*'数据-取费表'!B41/(1+'数据-取费表'!C42),0)</f>
        <v>2832</v>
      </c>
      <c r="E52" s="2557" t="s">
        <v>2040</v>
      </c>
      <c r="F52" s="2777">
        <f>'数据-取费表'!B41</f>
        <v>5.6000000000000001E-2</v>
      </c>
      <c r="G52" s="2778"/>
      <c r="H52" s="2767"/>
      <c r="I52" s="1993"/>
      <c r="J52" s="2746">
        <v>1</v>
      </c>
      <c r="K52" s="3182" t="s">
        <v>2041</v>
      </c>
      <c r="L52" s="3182"/>
      <c r="M52" s="2748" t="b">
        <f>D48</f>
        <v>0</v>
      </c>
      <c r="N52" s="2746" t="str">
        <f>E48</f>
        <v>销售额×税（费）率</v>
      </c>
      <c r="O52" s="2749">
        <f>F48</f>
        <v>5.6000000000000001E-2</v>
      </c>
    </row>
    <row r="53" spans="1:35" ht="12" customHeight="1">
      <c r="A53" s="2558" t="s">
        <v>2042</v>
      </c>
      <c r="B53" s="3206" t="s">
        <v>3033</v>
      </c>
      <c r="C53" s="3207"/>
      <c r="D53" s="1247">
        <f ca="1">ROUND(D45*'数据-取费表'!B41/(1+'数据-取费表'!C42),0)</f>
        <v>2832</v>
      </c>
      <c r="E53" s="2557" t="s">
        <v>2040</v>
      </c>
      <c r="F53" s="2777">
        <f>'数据-取费表'!B41</f>
        <v>5.6000000000000001E-2</v>
      </c>
      <c r="G53" s="2778"/>
      <c r="H53" s="2767"/>
      <c r="I53" s="1993"/>
      <c r="J53" s="2746">
        <v>2</v>
      </c>
      <c r="K53" s="3182" t="s">
        <v>2043</v>
      </c>
      <c r="L53" s="3182"/>
      <c r="M53" s="2748">
        <f t="shared" ref="M53:O54" ca="1" si="0">D55</f>
        <v>27</v>
      </c>
      <c r="N53" s="2746" t="str">
        <f t="shared" si="0"/>
        <v>销售额×税（费）率</v>
      </c>
      <c r="O53" s="2749" t="str">
        <f t="shared" si="0"/>
        <v>免征</v>
      </c>
    </row>
    <row r="54" spans="1:35" ht="12" customHeight="1">
      <c r="A54" s="2558" t="s">
        <v>2044</v>
      </c>
      <c r="B54" s="3206" t="s">
        <v>3034</v>
      </c>
      <c r="C54" s="3207"/>
      <c r="D54" s="1247">
        <f ca="1">C68</f>
        <v>2832</v>
      </c>
      <c r="E54" s="333" t="s">
        <v>2045</v>
      </c>
      <c r="F54" s="2777">
        <f>'数据-取费表'!B41</f>
        <v>5.6000000000000001E-2</v>
      </c>
      <c r="G54" s="2778"/>
      <c r="H54" s="2779"/>
      <c r="I54" s="1993"/>
      <c r="J54" s="2746">
        <v>3</v>
      </c>
      <c r="K54" s="3182" t="s">
        <v>2046</v>
      </c>
      <c r="L54" s="3182"/>
      <c r="M54" s="2748">
        <f t="shared" ca="1" si="0"/>
        <v>30053</v>
      </c>
      <c r="N54" s="2746" t="str">
        <f t="shared" si="0"/>
        <v>增值额×税（费）率</v>
      </c>
      <c r="O54" s="2750" t="str">
        <f t="shared" si="0"/>
        <v>免征</v>
      </c>
    </row>
    <row r="55" spans="1:35" ht="24" customHeight="1">
      <c r="A55" s="3245" t="s">
        <v>2047</v>
      </c>
      <c r="B55" s="3223"/>
      <c r="C55" s="3223"/>
      <c r="D55" s="2547">
        <f ca="1">IF(H55="个人住宅",0,ROUND(D45*I55,0))</f>
        <v>27</v>
      </c>
      <c r="E55" s="2557" t="s">
        <v>2048</v>
      </c>
      <c r="F55" s="2777" t="str">
        <f>IF(H55="正常",I55,"免征")</f>
        <v>免征</v>
      </c>
      <c r="G55" s="2778"/>
      <c r="H55" s="2773"/>
      <c r="I55" s="170">
        <f>'数据-取费表'!B49</f>
        <v>5.0000000000000001E-4</v>
      </c>
      <c r="J55" s="2746">
        <f>IF(H59="非个人房产","",4)</f>
        <v>4</v>
      </c>
      <c r="K55" s="3182" t="str">
        <f>IF(H59="非个人房产","——","个人所得税")</f>
        <v>个人所得税</v>
      </c>
      <c r="L55" s="3182"/>
      <c r="M55" s="2751">
        <f ca="1">D59</f>
        <v>506</v>
      </c>
      <c r="N55" s="2228" t="str">
        <f>E59</f>
        <v>差额计税</v>
      </c>
      <c r="O55" s="2752">
        <f>F59</f>
        <v>0.01</v>
      </c>
    </row>
    <row r="56" spans="1:35" ht="24.75">
      <c r="A56" s="3245" t="s">
        <v>2049</v>
      </c>
      <c r="B56" s="3223"/>
      <c r="C56" s="3223"/>
      <c r="D56" s="2547">
        <f ca="1">IF(H56="个人住宅",D57,D58)</f>
        <v>30053</v>
      </c>
      <c r="E56" s="2557" t="s">
        <v>2050</v>
      </c>
      <c r="F56" s="2777" t="str">
        <f>IF(H56="正常",F58,"免征")</f>
        <v>免征</v>
      </c>
      <c r="G56" s="2780" t="s">
        <v>2051</v>
      </c>
      <c r="H56" s="2781"/>
      <c r="I56" s="1994"/>
      <c r="J56" s="2746" t="str">
        <f>IF(项目基本情况!K6="上海银行",IF(J55="",4,J55+1),"")</f>
        <v/>
      </c>
      <c r="K56" s="3163" t="str">
        <f>IF(项目基本情况!K6="上海银行","其他处置费用","")</f>
        <v/>
      </c>
      <c r="L56" s="3164"/>
      <c r="M56" s="2748" t="str">
        <f>IF(项目基本情况!K6="上海银行",M69,"")</f>
        <v/>
      </c>
      <c r="N56" s="3163" t="str">
        <f>IF(项目基本情况!K6="上海银行","包含处置中涉及的律师、诉讼、拍卖、评估等费用","")</f>
        <v/>
      </c>
      <c r="O56" s="3166"/>
    </row>
    <row r="57" spans="1:35" ht="12.75">
      <c r="A57" s="2558" t="s">
        <v>2027</v>
      </c>
      <c r="B57" s="3206" t="s">
        <v>2052</v>
      </c>
      <c r="C57" s="3207"/>
      <c r="D57" s="1775">
        <v>0</v>
      </c>
      <c r="E57" s="330" t="s">
        <v>2029</v>
      </c>
      <c r="F57" s="308"/>
      <c r="G57" s="2778"/>
      <c r="H57" s="2782"/>
      <c r="I57" s="1994"/>
      <c r="J57" s="3182">
        <f>IF(AND(J55="",J56=""),4,IF(项目基本情况!K6="上海银行",结果表!J56+1,结果表!J55+1))</f>
        <v>5</v>
      </c>
      <c r="K57" s="3182" t="s">
        <v>2053</v>
      </c>
      <c r="L57" s="2753" t="s">
        <v>2054</v>
      </c>
      <c r="M57" s="2754"/>
      <c r="N57" s="2755">
        <f ca="1">SUMIF(M52:M56,"&lt;9e307")</f>
        <v>30586</v>
      </c>
      <c r="O57" s="2756"/>
      <c r="P57" s="2916">
        <f ca="1">N57/M49</f>
        <v>0.57605092662347446</v>
      </c>
    </row>
    <row r="58" spans="1:35" ht="24.75">
      <c r="A58" s="2558" t="s">
        <v>2038</v>
      </c>
      <c r="B58" s="3206" t="s">
        <v>2055</v>
      </c>
      <c r="C58" s="3205"/>
      <c r="D58" s="2547">
        <f ca="1">IF(H58="转让取得",C81,C97)</f>
        <v>30053</v>
      </c>
      <c r="E58" s="2557" t="s">
        <v>2050</v>
      </c>
      <c r="F58" s="308" t="s">
        <v>34</v>
      </c>
      <c r="G58" s="2778"/>
      <c r="H58" s="2781"/>
      <c r="I58" s="1994"/>
      <c r="J58" s="3182"/>
      <c r="K58" s="3182"/>
      <c r="L58" s="2753" t="s">
        <v>2056</v>
      </c>
      <c r="M58" s="2757"/>
      <c r="N58" s="2758" t="str">
        <f ca="1">NUMBERSTRING(INT(N57*10000),2)&amp;"元整"</f>
        <v>叁亿零伍佰捌拾陆万元整</v>
      </c>
      <c r="O58" s="2759"/>
    </row>
    <row r="59" spans="1:35" ht="24.75" thickBot="1">
      <c r="A59" s="3186" t="s">
        <v>2057</v>
      </c>
      <c r="B59" s="3187"/>
      <c r="C59" s="3187"/>
      <c r="D59" s="2783">
        <f ca="1">IF(H59="非个人房产","——",IF(H59="个人住宅（满五唯一有凭证）",0,IF(H59="个人其他（无凭证）",ROUND(D45*F59,0),ROUND(C67*F59,0))))</f>
        <v>506</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2"/>
      <c r="I59" s="2531" t="s">
        <v>2875</v>
      </c>
      <c r="J59" s="3184">
        <f>J57+1</f>
        <v>6</v>
      </c>
      <c r="K59" s="3182" t="s">
        <v>2058</v>
      </c>
      <c r="L59" s="2746" t="s">
        <v>2054</v>
      </c>
      <c r="M59" s="2760"/>
      <c r="N59" s="2761">
        <f ca="1">M49-N57</f>
        <v>22510</v>
      </c>
      <c r="O59" s="2762"/>
    </row>
    <row r="60" spans="1:35" ht="12" customHeight="1">
      <c r="A60" s="1995"/>
      <c r="B60" s="1933"/>
      <c r="C60" s="1933"/>
      <c r="D60" s="1933"/>
      <c r="E60" s="1763"/>
      <c r="F60" s="1994"/>
      <c r="G60" s="1994"/>
      <c r="H60" s="1996"/>
      <c r="I60" s="134"/>
      <c r="J60" s="3185"/>
      <c r="K60" s="3182"/>
      <c r="L60" s="2753" t="s">
        <v>2056</v>
      </c>
      <c r="M60" s="2757"/>
      <c r="N60" s="2758" t="str">
        <f ca="1">NUMBERSTRING(INT(N59*10000),2)&amp;"元整"</f>
        <v>贰亿贰仟伍佰壹拾万元整</v>
      </c>
      <c r="O60" s="2759"/>
    </row>
    <row r="61" spans="1:35" ht="13.5" thickBot="1">
      <c r="A61" s="3244" t="s">
        <v>2059</v>
      </c>
      <c r="B61" s="3244"/>
      <c r="C61" s="3244"/>
      <c r="D61" s="3244"/>
      <c r="E61" s="3244"/>
      <c r="F61" s="1994"/>
      <c r="G61" s="1994"/>
      <c r="H61" s="1996"/>
      <c r="I61" s="134"/>
      <c r="J61" s="2746">
        <f>J59+1</f>
        <v>7</v>
      </c>
      <c r="K61" s="3182" t="s">
        <v>2060</v>
      </c>
      <c r="L61" s="3182"/>
      <c r="M61" s="2763"/>
      <c r="N61" s="2764">
        <f ca="1">ROUND(N59*10000/'数据-汇总表'!E3,0)</f>
        <v>3000</v>
      </c>
      <c r="O61" s="2765"/>
    </row>
    <row r="62" spans="1:35" ht="12.75">
      <c r="A62" s="3201" t="s">
        <v>2061</v>
      </c>
      <c r="B62" s="3202"/>
      <c r="C62" s="2209"/>
      <c r="D62" s="2209" t="s">
        <v>2062</v>
      </c>
      <c r="E62" s="171" t="s">
        <v>2063</v>
      </c>
      <c r="F62" s="1994"/>
      <c r="G62" s="1994"/>
      <c r="H62" s="1996"/>
      <c r="I62" s="134"/>
    </row>
    <row r="63" spans="1:35" ht="12.75">
      <c r="A63" s="178" t="s">
        <v>775</v>
      </c>
      <c r="B63" s="172" t="s">
        <v>2064</v>
      </c>
      <c r="C63" s="2787">
        <f ca="1">ROUND((C64+C65)/(1+'数据-取费表'!C42),0)</f>
        <v>50568</v>
      </c>
      <c r="D63" s="172"/>
      <c r="E63" s="173"/>
      <c r="F63" s="1994"/>
      <c r="G63" s="1994"/>
      <c r="H63" s="1996"/>
      <c r="I63" s="134"/>
      <c r="J63" s="3165" t="s">
        <v>2065</v>
      </c>
      <c r="K63" s="1501" t="s">
        <v>2066</v>
      </c>
      <c r="L63" s="1501">
        <f ca="1">IF(M49&gt;10000,M49*0.5%,IF(AND(M49&gt;1000,M49&lt;=10000),M49*1%,IF(AND(M49&gt;100,M49&lt;=1000),M49*3%,IF(AND(M49&gt;10,M49&lt;=100),M49*5%,M49*8%))))</f>
        <v>265.48</v>
      </c>
      <c r="M63" s="308">
        <f ca="1">ROUND(L63,1)</f>
        <v>265.5</v>
      </c>
      <c r="N63" s="2766"/>
      <c r="Z63" s="1938"/>
      <c r="AI63" s="1939"/>
    </row>
    <row r="64" spans="1:35" ht="14.25" customHeight="1">
      <c r="A64" s="174" t="s">
        <v>770</v>
      </c>
      <c r="B64" s="175" t="s">
        <v>2067</v>
      </c>
      <c r="C64" s="2788">
        <f ca="1">D45</f>
        <v>53096</v>
      </c>
      <c r="D64" s="175" t="s">
        <v>32</v>
      </c>
      <c r="E64" s="177"/>
      <c r="F64" s="1994"/>
      <c r="G64" s="1994"/>
      <c r="H64" s="1996"/>
      <c r="I64" s="134"/>
      <c r="J64" s="3165"/>
      <c r="K64" s="1501" t="s">
        <v>2068</v>
      </c>
      <c r="L64" s="1501">
        <f ca="1">IF(M49&gt;2000,M49*0.5%,IF(AND(M49&gt;1000,M49&lt;=2000),M49*0.6%,IF(AND(M49&gt;500,M49&lt;=1000),M49*0.7%,IF(AND(M49&gt;200,M49&lt;=500),M49*0.8%,IF(AND(M49&gt;100,M49&lt;=200),M49*0.9%,IF(AND(M49&gt;50,M49&lt;=100),M49*1%,IF(AND(M49&gt;20,M49&lt;=50),M49*1.5%,IF(AND(M49&gt;10,M49&lt;=20),M49*2%,IF(AND(M49&gt;1,M49&lt;=10),M49*2.5%)))))))))</f>
        <v>265.48</v>
      </c>
      <c r="M64" s="308">
        <f t="shared" ref="M64:M65" ca="1" si="1">ROUND(L64,1)</f>
        <v>265.5</v>
      </c>
      <c r="N64" s="2767" t="s">
        <v>2069</v>
      </c>
      <c r="Z64" s="1938"/>
      <c r="AI64" s="1939"/>
    </row>
    <row r="65" spans="1:35" ht="14.25" customHeight="1">
      <c r="A65" s="174" t="s">
        <v>771</v>
      </c>
      <c r="B65" s="175" t="s">
        <v>2070</v>
      </c>
      <c r="C65" s="2789"/>
      <c r="D65" s="175"/>
      <c r="E65" s="177"/>
      <c r="F65" s="1994"/>
      <c r="G65" s="1994"/>
      <c r="H65" s="1996"/>
      <c r="I65" s="134"/>
      <c r="J65" s="3165"/>
      <c r="K65" s="1501" t="s">
        <v>2071</v>
      </c>
      <c r="L65" s="1501">
        <f ca="1">IF(M49&gt;1000,M49*0.1%,IF(AND(M49&gt;500,M49&lt;=1000),M49*0.5%,IF(AND(M49&gt;50,M49&lt;=500),M49*1%,IF(AND(M49&gt;1,M49&lt;=50),M49*1.5%))))</f>
        <v>53.096000000000004</v>
      </c>
      <c r="M65" s="308">
        <f t="shared" ca="1" si="1"/>
        <v>53.1</v>
      </c>
      <c r="N65" s="2767" t="s">
        <v>2069</v>
      </c>
      <c r="Z65" s="1938"/>
      <c r="AI65" s="1939"/>
    </row>
    <row r="66" spans="1:35" ht="14.25" customHeight="1">
      <c r="A66" s="178" t="s">
        <v>772</v>
      </c>
      <c r="B66" s="179" t="s">
        <v>2072</v>
      </c>
      <c r="C66" s="2790"/>
      <c r="D66" s="179" t="s">
        <v>32</v>
      </c>
      <c r="E66" s="1509" t="s">
        <v>1337</v>
      </c>
      <c r="F66" s="1994"/>
      <c r="G66" s="1994"/>
      <c r="H66" s="1996"/>
      <c r="I66" s="134"/>
      <c r="J66" s="3165"/>
      <c r="K66" s="1501" t="s">
        <v>2073</v>
      </c>
      <c r="L66" s="1501">
        <f ca="1">M49*0.5%</f>
        <v>265.48</v>
      </c>
      <c r="M66" s="308">
        <f ca="1">IF(L66&gt;0.5,0.5,ROUND(L66,0))</f>
        <v>0.5</v>
      </c>
      <c r="N66" s="2767" t="s">
        <v>2074</v>
      </c>
      <c r="Z66" s="1938"/>
      <c r="AI66" s="1939"/>
    </row>
    <row r="67" spans="1:35" ht="14.25" customHeight="1">
      <c r="A67" s="178" t="s">
        <v>773</v>
      </c>
      <c r="B67" s="179" t="s">
        <v>2075</v>
      </c>
      <c r="C67" s="2791">
        <f ca="1">C63-C66</f>
        <v>50568</v>
      </c>
      <c r="D67" s="175" t="s">
        <v>32</v>
      </c>
      <c r="E67" s="177"/>
      <c r="F67" s="1994"/>
      <c r="G67" s="1994"/>
      <c r="H67" s="1996"/>
      <c r="I67" s="134"/>
      <c r="J67" s="3165"/>
      <c r="K67" s="1501" t="s">
        <v>2076</v>
      </c>
      <c r="L67" s="1501">
        <f ca="1">IF(M49&gt;=10000,(8.25+(M49-10000)*0.01%),IF(AND(M49&gt;=8000,M49&lt;10000),(7.85+(M49-8000)*0.02%),IF(AND(M49&gt;=5000,M49&lt;8000),(6.65+(M49-5000)*0.04%),IF(AND(M49&gt;=2000,M49&lt;5000),(4.25+(PM49-2000)*0.08%),IF(AND(M49&gt;=1000,M49&lt;2000),(2.75+(M49-1000)*0.15%),IF(AND(M49&gt;=100,M49&lt;1000),(0.5+(M49-100)*0.25%),IF(AND(M49&gt;0,M49&lt;100),M49*0.5%)))))))</f>
        <v>12.5596</v>
      </c>
      <c r="M67" s="308">
        <f ca="1">ROUND(L67*0.9,1)</f>
        <v>11.3</v>
      </c>
      <c r="N67" s="2766"/>
      <c r="Z67" s="1938"/>
      <c r="AI67" s="1939"/>
    </row>
    <row r="68" spans="1:35" ht="14.25" customHeight="1" thickBot="1">
      <c r="A68" s="181" t="s">
        <v>774</v>
      </c>
      <c r="B68" s="182" t="s">
        <v>2077</v>
      </c>
      <c r="C68" s="2792">
        <f ca="1">IF(C67&lt;=0,0,ROUND(C67*D68,0))</f>
        <v>2832</v>
      </c>
      <c r="D68" s="2793">
        <f>'数据-取费表'!B41</f>
        <v>5.6000000000000001E-2</v>
      </c>
      <c r="E68" s="184"/>
      <c r="F68" s="1994"/>
      <c r="G68" s="1994"/>
      <c r="H68" s="1996"/>
      <c r="I68" s="134"/>
      <c r="J68" s="3165"/>
      <c r="K68" s="1501" t="s">
        <v>2078</v>
      </c>
      <c r="L68" s="1501">
        <f ca="1">IF(M49&gt;10000,M49*0.5%,IF(AND(M49&gt;5000,M49&lt;=10000),M49*1%,IF(AND(M49&gt;1000,M49&lt;=5000),M49*2%,IF(AND(M49&gt;200,M49&lt;=1000),M49*3%,M49*5%))))</f>
        <v>265.48</v>
      </c>
      <c r="M68" s="308">
        <f ca="1">ROUND(L68,1)</f>
        <v>265.5</v>
      </c>
      <c r="N68" s="2766"/>
      <c r="Z68" s="1938"/>
      <c r="AI68" s="1939"/>
    </row>
    <row r="69" spans="1:35" s="1958" customFormat="1" ht="16.5" customHeight="1">
      <c r="A69" s="1997"/>
      <c r="B69" s="1998"/>
      <c r="C69" s="1999"/>
      <c r="D69" s="2000"/>
      <c r="E69" s="2001"/>
      <c r="F69" s="1763"/>
      <c r="G69" s="1763"/>
      <c r="H69" s="1762"/>
      <c r="I69" s="1933"/>
      <c r="J69" s="3165"/>
      <c r="K69" s="1501" t="s">
        <v>2079</v>
      </c>
      <c r="L69" s="1501"/>
      <c r="M69" s="308">
        <f ca="1">ROUND(SUM(M63:M68),0)</f>
        <v>861</v>
      </c>
      <c r="N69" s="2768">
        <f ca="1">M69/M49</f>
        <v>1.6215910803073677E-2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9" t="s">
        <v>2080</v>
      </c>
      <c r="B70" s="3210"/>
      <c r="C70" s="3210"/>
      <c r="D70" s="3210"/>
      <c r="E70" s="3210"/>
      <c r="F70" s="3210"/>
      <c r="G70" s="3210"/>
      <c r="H70" s="3210"/>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1" t="s">
        <v>2061</v>
      </c>
      <c r="B71" s="3202"/>
      <c r="C71" s="2209"/>
      <c r="D71" s="2209" t="s">
        <v>2062</v>
      </c>
      <c r="E71" s="185" t="s">
        <v>2063</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50568</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303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206" t="s">
        <v>2088</v>
      </c>
      <c r="F76" s="3205"/>
      <c r="G76" s="3205"/>
      <c r="H76" s="320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303</v>
      </c>
      <c r="D78" s="2800">
        <f>'数据-取费表'!B43</f>
        <v>6.000000000000001E-3</v>
      </c>
      <c r="E78" s="3198" t="s">
        <v>2092</v>
      </c>
      <c r="F78" s="3199"/>
      <c r="G78" s="3199"/>
      <c r="H78" s="320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50265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165.8910891089109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30053</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9" t="s">
        <v>2096</v>
      </c>
      <c r="B83" s="3210"/>
      <c r="C83" s="3210"/>
      <c r="D83" s="3210"/>
      <c r="E83" s="3210"/>
      <c r="F83" s="3210"/>
      <c r="G83" s="3210"/>
      <c r="H83" s="321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1" t="s">
        <v>2061</v>
      </c>
      <c r="B84" s="320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50568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303</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5"/>
      <c r="D88" s="2800"/>
      <c r="E88" s="199" t="s">
        <v>2099</v>
      </c>
      <c r="F88" s="2550"/>
      <c r="G88" s="200" t="s">
        <v>2100</v>
      </c>
      <c r="H88" s="2010"/>
      <c r="I88" s="2007"/>
      <c r="J88" s="2744"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0</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167" t="s">
        <v>2867</v>
      </c>
      <c r="H90" s="3168"/>
      <c r="I90" s="2007"/>
      <c r="J90" s="2744"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0</v>
      </c>
      <c r="D91" s="2800"/>
      <c r="E91" s="3198" t="s">
        <v>2105</v>
      </c>
      <c r="F91" s="3199"/>
      <c r="G91" s="319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0</v>
      </c>
      <c r="D92" s="2806"/>
      <c r="E92" s="3198" t="s">
        <v>2108</v>
      </c>
      <c r="F92" s="3199"/>
      <c r="G92" s="3199"/>
      <c r="H92" s="3200"/>
      <c r="I92" s="2007"/>
      <c r="J92" s="2745"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303</v>
      </c>
      <c r="D93" s="2800">
        <f>'数据-取费表'!B43</f>
        <v>6.000000000000001E-3</v>
      </c>
      <c r="E93" s="3198" t="s">
        <v>2092</v>
      </c>
      <c r="F93" s="3199"/>
      <c r="G93" s="3199"/>
      <c r="H93" s="320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0</v>
      </c>
      <c r="D94" s="2800">
        <v>0.2</v>
      </c>
      <c r="E94" s="3246" t="s">
        <v>2112</v>
      </c>
      <c r="F94" s="3247"/>
      <c r="G94" s="3247"/>
      <c r="H94" s="324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50265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165.8910891089109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30053</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8" t="s">
        <v>2114</v>
      </c>
      <c r="B100" s="3149"/>
      <c r="C100" s="3149"/>
      <c r="D100" s="3183"/>
      <c r="E100" s="3149" t="s">
        <v>2115</v>
      </c>
      <c r="F100" s="3149"/>
      <c r="G100" s="3149"/>
      <c r="H100" s="3183"/>
      <c r="I100" s="134"/>
    </row>
    <row r="101" spans="1:35" ht="18.75" customHeight="1">
      <c r="A101" s="3191" t="s">
        <v>2116</v>
      </c>
      <c r="B101" s="3192"/>
      <c r="C101" s="2808" t="str">
        <f>C4</f>
        <v>成本法</v>
      </c>
      <c r="D101" s="2809" t="str">
        <f>D4</f>
        <v>假设开发法</v>
      </c>
      <c r="E101" s="3161" t="s">
        <v>2117</v>
      </c>
      <c r="F101" s="3162"/>
      <c r="G101" s="2013" t="s">
        <v>2118</v>
      </c>
      <c r="H101" s="2818">
        <f ca="1">H118</f>
        <v>53096</v>
      </c>
      <c r="I101" s="134"/>
    </row>
    <row r="102" spans="1:35" ht="18.75" customHeight="1">
      <c r="A102" s="3193" t="s">
        <v>2119</v>
      </c>
      <c r="B102" s="2807" t="s">
        <v>2118</v>
      </c>
      <c r="C102" s="2808">
        <f ca="1">C19</f>
        <v>54933</v>
      </c>
      <c r="D102" s="2809">
        <f ca="1">D19</f>
        <v>51259</v>
      </c>
      <c r="E102" s="3161"/>
      <c r="F102" s="3162"/>
      <c r="G102" s="2013" t="s">
        <v>2120</v>
      </c>
      <c r="H102" s="2778">
        <f ca="1">I118</f>
        <v>7076</v>
      </c>
      <c r="I102" s="134"/>
    </row>
    <row r="103" spans="1:35" ht="42.75" customHeight="1">
      <c r="A103" s="3193"/>
      <c r="B103" s="2807" t="s">
        <v>2120</v>
      </c>
      <c r="C103" s="2810">
        <f ca="1">C20</f>
        <v>7321</v>
      </c>
      <c r="D103" s="2811">
        <f ca="1">D20</f>
        <v>6831</v>
      </c>
      <c r="E103" s="3154" t="s">
        <v>2121</v>
      </c>
      <c r="F103" s="3155"/>
      <c r="G103" s="2014" t="s">
        <v>2122</v>
      </c>
      <c r="H103" s="2818">
        <f>IF(D36="正常操作",H104+H105+H106,H105+H106)</f>
        <v>0</v>
      </c>
      <c r="I103" s="134"/>
    </row>
    <row r="104" spans="1:35" ht="18.75" customHeight="1">
      <c r="A104" s="3193" t="s">
        <v>2123</v>
      </c>
      <c r="B104" s="2812" t="s">
        <v>2118</v>
      </c>
      <c r="C104" s="2813">
        <f ca="1">H118</f>
        <v>53096</v>
      </c>
      <c r="D104" s="2814"/>
      <c r="E104" s="1860" t="s">
        <v>2124</v>
      </c>
      <c r="F104" s="1851"/>
      <c r="G104" s="2014" t="s">
        <v>2122</v>
      </c>
      <c r="H104" s="2819">
        <f>IF(D36="同一抵押权人同一抵押物续贷",C36&amp;"（续贷，未扣减，详见特别提示）",C36)</f>
        <v>0</v>
      </c>
      <c r="I104" s="134"/>
    </row>
    <row r="105" spans="1:35" ht="18.75" customHeight="1" thickBot="1">
      <c r="A105" s="3203"/>
      <c r="B105" s="2815" t="s">
        <v>2120</v>
      </c>
      <c r="C105" s="2816">
        <f ca="1">I118</f>
        <v>7076</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194" t="str">
        <f>IF(项目基本情况!E8="已注销","——","3.房地产抵押价值")</f>
        <v>3.房地产抵押价值</v>
      </c>
      <c r="F107" s="3162"/>
      <c r="G107" s="2013" t="s">
        <v>2118</v>
      </c>
      <c r="H107" s="2818">
        <f ca="1">IF(E107="——","——",H101-H103)</f>
        <v>53096</v>
      </c>
      <c r="I107" s="134"/>
    </row>
    <row r="108" spans="1:35" ht="18.75" customHeight="1">
      <c r="A108" s="134"/>
      <c r="B108" s="134"/>
      <c r="C108" s="134"/>
      <c r="D108" s="134"/>
      <c r="E108" s="3194"/>
      <c r="F108" s="3162"/>
      <c r="G108" s="2013" t="s">
        <v>2120</v>
      </c>
      <c r="H108" s="2778">
        <f ca="1">ROUND(H107*10000/'数据-汇总表'!E3,0)</f>
        <v>7076</v>
      </c>
      <c r="I108" s="134"/>
    </row>
    <row r="109" spans="1:35" ht="18.75" customHeight="1">
      <c r="A109" s="134"/>
      <c r="B109" s="134"/>
      <c r="C109" s="134"/>
      <c r="D109" s="134"/>
      <c r="E109" s="3194" t="str">
        <f>IF(项目基本情况!E8="已注销及未注销","4.抵押担保权已注销时的房地产抵押价值",IF(项目基本情况!E8="已注销","3.抵押担保权已注销时的房地产抵押价值","——"))</f>
        <v>——</v>
      </c>
      <c r="F109" s="3162"/>
      <c r="G109" s="2013" t="s">
        <v>2118</v>
      </c>
      <c r="H109" s="2821" t="str">
        <f>IF(E109="——","——",H101-H105-H106)</f>
        <v>——</v>
      </c>
      <c r="I109" s="134"/>
    </row>
    <row r="110" spans="1:35" ht="18.75" customHeight="1">
      <c r="A110" s="134"/>
      <c r="B110" s="134"/>
      <c r="C110" s="134"/>
      <c r="D110" s="134"/>
      <c r="E110" s="3194"/>
      <c r="F110" s="3162"/>
      <c r="G110" s="2013" t="s">
        <v>2120</v>
      </c>
      <c r="H110" s="2778" t="str">
        <f>IF(H109="——","——",ROUND(H109*10000/'数据-汇总表'!E3,0))</f>
        <v>——</v>
      </c>
      <c r="I110" s="134"/>
    </row>
    <row r="111" spans="1:35" ht="18.75" customHeight="1">
      <c r="A111" s="134"/>
      <c r="B111" s="134"/>
      <c r="C111" s="134"/>
      <c r="D111" s="134"/>
      <c r="E111" s="3195" t="str">
        <f>IF(项目基本情况!E9="抵押净值",IF(OR(项目基本情况!E8="已注销",项目基本情况!E8="房地产抵押价值"),"4.抵押净值","5.抵押净值"),"——")</f>
        <v>——</v>
      </c>
      <c r="F111" s="3181"/>
      <c r="G111" s="2013" t="s">
        <v>2118</v>
      </c>
      <c r="H111" s="2818" t="str">
        <f>IF(E111="——","——",N59)</f>
        <v>——</v>
      </c>
      <c r="I111" s="134"/>
    </row>
    <row r="112" spans="1:35" ht="18.75" customHeight="1" thickBot="1">
      <c r="A112" s="134"/>
      <c r="B112" s="134"/>
      <c r="C112" s="134"/>
      <c r="D112" s="134"/>
      <c r="E112" s="3196"/>
      <c r="F112" s="3197"/>
      <c r="G112" s="2016" t="s">
        <v>2120</v>
      </c>
      <c r="H112" s="2822" t="str">
        <f>IF(E111="——","——",N61)</f>
        <v>——</v>
      </c>
      <c r="I112" s="134"/>
    </row>
    <row r="113" spans="1:27" ht="18.75" customHeight="1">
      <c r="A113" s="134"/>
      <c r="B113" s="134"/>
      <c r="C113" s="134"/>
      <c r="D113" s="134"/>
      <c r="E113" s="3204" t="s">
        <v>2126</v>
      </c>
      <c r="F113" s="3204"/>
      <c r="G113" s="3204"/>
      <c r="H113" s="3204"/>
      <c r="I113" s="134"/>
    </row>
    <row r="114" spans="1:27" ht="3.75" customHeight="1">
      <c r="A114" s="1933"/>
      <c r="B114" s="1933"/>
      <c r="C114" s="1933"/>
      <c r="D114" s="1933"/>
      <c r="E114" s="1995"/>
      <c r="F114" s="1995"/>
      <c r="G114" s="1995"/>
      <c r="H114" s="1995"/>
      <c r="I114" s="1933"/>
    </row>
    <row r="115" spans="1:27" ht="18.75" customHeight="1">
      <c r="A115" s="3215" t="s">
        <v>2128</v>
      </c>
      <c r="B115" s="3216"/>
      <c r="C115" s="3216"/>
      <c r="D115" s="3216"/>
      <c r="E115" s="3216"/>
      <c r="F115" s="3216"/>
      <c r="G115" s="3216"/>
      <c r="H115" s="3216"/>
      <c r="I115" s="3217"/>
    </row>
    <row r="116" spans="1:27" ht="27" customHeight="1">
      <c r="A116" s="3169" t="s">
        <v>2129</v>
      </c>
      <c r="B116" s="3173" t="s">
        <v>2130</v>
      </c>
      <c r="C116" s="3173" t="s">
        <v>2131</v>
      </c>
      <c r="D116" s="3179" t="s">
        <v>2132</v>
      </c>
      <c r="E116" s="3180"/>
      <c r="F116" s="3211" t="s">
        <v>2133</v>
      </c>
      <c r="G116" s="3211"/>
      <c r="H116" s="3169" t="s">
        <v>2134</v>
      </c>
      <c r="I116" s="3169"/>
    </row>
    <row r="117" spans="1:27" ht="18.75" customHeight="1">
      <c r="A117" s="3169"/>
      <c r="B117" s="3174"/>
      <c r="C117" s="3174"/>
      <c r="D117" s="2552" t="s">
        <v>2135</v>
      </c>
      <c r="E117" s="2552" t="s">
        <v>2136</v>
      </c>
      <c r="F117" s="2552" t="s">
        <v>2135</v>
      </c>
      <c r="G117" s="2552" t="s">
        <v>2137</v>
      </c>
      <c r="H117" s="2552" t="s">
        <v>2135</v>
      </c>
      <c r="I117" s="2552" t="s">
        <v>2137</v>
      </c>
    </row>
    <row r="118" spans="1:27" ht="24.75" customHeight="1">
      <c r="A118" s="2823" t="str">
        <f>项目基本情况!S2</f>
        <v>北京市通州区于家务回族乡通州国际种业科技园区A03地块研发中心项目出让国有建设用地使用权及在建建筑物房地产</v>
      </c>
      <c r="B118" s="2552">
        <f>M18</f>
        <v>75038.94</v>
      </c>
      <c r="C118" s="2552">
        <f>M19</f>
        <v>17679.96</v>
      </c>
      <c r="D118" s="2552">
        <f ca="1">ROUND(IF(D32="总价",C34,E118*B118/10000),0)</f>
        <v>22460</v>
      </c>
      <c r="E118" s="2552">
        <f ca="1">ROUND(IF(C33="自定义",IF(D32="楼面单价",C34,D118*10000/B118),I118-G118),0)</f>
        <v>2993</v>
      </c>
      <c r="F118" s="2552">
        <f ca="1">ROUND(IF(D32="总价",C35,G118*B118/10000),0)</f>
        <v>30636</v>
      </c>
      <c r="G118" s="2552">
        <f ca="1">ROUND(IF(D32="楼面单价",C35,F118*10000/B118),0)</f>
        <v>4083</v>
      </c>
      <c r="H118" s="2552">
        <f ca="1">ROUND(IF(D32="总价",C32,I118*B118/10000),0)</f>
        <v>53096</v>
      </c>
      <c r="I118" s="2552">
        <f ca="1">ROUND(IF(D32="楼面单价",C32,H118*10000/B118),0)</f>
        <v>7076</v>
      </c>
    </row>
    <row r="119" spans="1:27" ht="18.75" customHeight="1">
      <c r="A119" s="3169" t="s">
        <v>2138</v>
      </c>
      <c r="B119" s="3169"/>
      <c r="C119" s="3169"/>
      <c r="D119" s="3175" t="str">
        <f ca="1">NUMBERSTRING(INT(D118*10000),2)&amp;"元整"</f>
        <v>贰亿贰仟肆佰陆拾万元整</v>
      </c>
      <c r="E119" s="3176"/>
      <c r="F119" s="3175" t="str">
        <f ca="1">NUMBERSTRING(INT(F118*10000),2)&amp;"元整"</f>
        <v>叁亿零陆佰叁拾陆万元整</v>
      </c>
      <c r="G119" s="3176"/>
      <c r="H119" s="3175" t="str">
        <f ca="1">NUMBERSTRING(INT(H118*10000),2)&amp;"元整"</f>
        <v>伍亿叁仟零玖拾陆万元整</v>
      </c>
      <c r="I119" s="3176"/>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2" t="s">
        <v>2138</v>
      </c>
      <c r="B121" s="3213"/>
      <c r="C121" s="3214"/>
      <c r="D121" s="3175" t="str">
        <f>IF(D120=0,"零元整",NUMBERSTRING(INT(D120*10000),2)&amp;"元整")</f>
        <v>零元整</v>
      </c>
      <c r="E121" s="3177"/>
      <c r="F121" s="3177"/>
      <c r="G121" s="3177"/>
      <c r="H121" s="3177"/>
      <c r="I121" s="3176"/>
      <c r="AA121" s="734"/>
    </row>
    <row r="122" spans="1:27" ht="18.75" customHeight="1">
      <c r="A122" s="3181" t="str">
        <f>IF(项目基本情况!B9="房地产市场价值","",MID(E107,3,LEN(E107)-2))</f>
        <v>房地产抵押价值</v>
      </c>
      <c r="B122" s="3181"/>
      <c r="C122" s="3181"/>
      <c r="D122" s="3170">
        <f ca="1">H107</f>
        <v>53096</v>
      </c>
      <c r="E122" s="3171"/>
      <c r="F122" s="3171"/>
      <c r="G122" s="3171"/>
      <c r="H122" s="3171"/>
      <c r="I122" s="3172"/>
      <c r="AA122" s="734"/>
    </row>
    <row r="123" spans="1:27" ht="18.75" customHeight="1">
      <c r="A123" s="3169" t="s">
        <v>2138</v>
      </c>
      <c r="B123" s="3169"/>
      <c r="C123" s="3169"/>
      <c r="D123" s="3175" t="str">
        <f ca="1">NUMBERSTRING(INT(D122*10000),2)&amp;"元整"</f>
        <v>伍亿叁仟零玖拾陆万元整</v>
      </c>
      <c r="E123" s="3177"/>
      <c r="F123" s="3177"/>
      <c r="G123" s="3177"/>
      <c r="H123" s="3177"/>
      <c r="I123" s="3176"/>
      <c r="AA123" s="734"/>
    </row>
    <row r="124" spans="1:27" ht="18.75" customHeight="1">
      <c r="A124" s="3181" t="str">
        <f>IF(项目基本情况!B9="房地产市场价值","",MID(E109,3,LEN(E109)-2))</f>
        <v/>
      </c>
      <c r="B124" s="3181"/>
      <c r="C124" s="3181"/>
      <c r="D124" s="3170" t="str">
        <f>H109</f>
        <v>——</v>
      </c>
      <c r="E124" s="3171"/>
      <c r="F124" s="3171"/>
      <c r="G124" s="3171"/>
      <c r="H124" s="3171"/>
      <c r="I124" s="3172"/>
      <c r="AA124" s="734"/>
    </row>
    <row r="125" spans="1:27" ht="18.75" customHeight="1">
      <c r="A125" s="3169" t="s">
        <v>2138</v>
      </c>
      <c r="B125" s="3169"/>
      <c r="C125" s="3169"/>
      <c r="D125" s="3175" t="e">
        <f>NUMBERSTRING(INT(D124*10000),2)&amp;"元整"</f>
        <v>#VALUE!</v>
      </c>
      <c r="E125" s="3177"/>
      <c r="F125" s="3177"/>
      <c r="G125" s="3177"/>
      <c r="H125" s="3177"/>
      <c r="I125" s="3176"/>
      <c r="AA125" s="734"/>
    </row>
    <row r="126" spans="1:27" ht="18.75" customHeight="1">
      <c r="A126" s="3181" t="str">
        <f>IF(项目基本情况!B9="房地产市场价值","",MID(E111,3,LEN(E111)-2))</f>
        <v/>
      </c>
      <c r="B126" s="3181"/>
      <c r="C126" s="3181"/>
      <c r="D126" s="3170" t="str">
        <f>H111</f>
        <v>——</v>
      </c>
      <c r="E126" s="3171"/>
      <c r="F126" s="3171"/>
      <c r="G126" s="3171"/>
      <c r="H126" s="3171"/>
      <c r="I126" s="3172"/>
      <c r="AA126" s="734"/>
    </row>
    <row r="127" spans="1:27" ht="18.75" customHeight="1">
      <c r="A127" s="3169" t="s">
        <v>2138</v>
      </c>
      <c r="B127" s="3169"/>
      <c r="C127" s="3169"/>
      <c r="D127" s="3175" t="e">
        <f>NUMBERSTRING(INT(D126*10000),2)&amp;"元整"</f>
        <v>#VALUE!</v>
      </c>
      <c r="E127" s="3177"/>
      <c r="F127" s="3177"/>
      <c r="G127" s="3177"/>
      <c r="H127" s="3177"/>
      <c r="I127" s="3176"/>
      <c r="AA127" s="734"/>
    </row>
    <row r="128" spans="1:27" ht="21.75" customHeight="1">
      <c r="A128" s="3178" t="s">
        <v>2139</v>
      </c>
      <c r="B128" s="3178"/>
      <c r="C128" s="3178"/>
      <c r="D128" s="3178"/>
      <c r="E128" s="3178"/>
      <c r="F128" s="3178"/>
      <c r="G128" s="3178"/>
      <c r="H128" s="3178"/>
      <c r="I128" s="317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54933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7321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17577</v>
      </c>
      <c r="D5" s="217" t="s">
        <v>2155</v>
      </c>
      <c r="E5" s="218" t="s">
        <v>2156</v>
      </c>
      <c r="F5" s="218" t="s">
        <v>2157</v>
      </c>
      <c r="G5" s="219"/>
    </row>
    <row r="6" spans="1:9" s="220" customFormat="1" ht="13.5" customHeight="1">
      <c r="A6" s="886" t="s">
        <v>2158</v>
      </c>
      <c r="B6" s="221" t="s">
        <v>2159</v>
      </c>
      <c r="C6" s="222">
        <f>基准地价修正!B2</f>
        <v>15600</v>
      </c>
      <c r="D6" s="223"/>
      <c r="E6" s="224"/>
      <c r="F6" s="224"/>
      <c r="G6" s="225"/>
    </row>
    <row r="7" spans="1:9" s="220" customFormat="1" ht="13.5" customHeight="1">
      <c r="A7" s="886" t="s">
        <v>2160</v>
      </c>
      <c r="B7" s="221" t="s">
        <v>2161</v>
      </c>
      <c r="C7" s="226">
        <f>ROUND(C6*F7,0)</f>
        <v>476</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1501</v>
      </c>
      <c r="D8" s="228"/>
      <c r="E8" s="226"/>
      <c r="F8" s="227"/>
      <c r="G8" s="2042" t="s">
        <v>3108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3109</v>
      </c>
      <c r="H9" s="1299"/>
      <c r="I9" s="2044" t="s">
        <v>2165</v>
      </c>
    </row>
    <row r="10" spans="1:9" s="220" customFormat="1" ht="13.5" customHeight="1">
      <c r="A10" s="887" t="s">
        <v>801</v>
      </c>
      <c r="B10" s="230" t="s">
        <v>2166</v>
      </c>
      <c r="C10" s="231">
        <f ca="1">ROUND(D10*E10/10000,0)</f>
        <v>1501</v>
      </c>
      <c r="D10" s="954">
        <f ca="1">IF(B1="",'数据-汇总表'!E6,IF(INDIRECT("'数据-取费表'!c"&amp;$G$1)="住宅",INDIRECT("'数据-取费表'!s"&amp;$G$1),INDIRECT("'数据-取费表'!k"&amp;$G$1)+INDIRECT("'数据-取费表'!s"&amp;$G$1)))</f>
        <v>75038.94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75038.94</v>
      </c>
      <c r="E19" s="217">
        <f>'数据-取费表'!B31</f>
        <v>200</v>
      </c>
      <c r="F19" s="237"/>
      <c r="G19" s="2042" t="s">
        <v>3110</v>
      </c>
    </row>
    <row r="20" spans="1:7" s="220" customFormat="1" ht="13.5" customHeight="1">
      <c r="A20" s="261" t="s">
        <v>2179</v>
      </c>
      <c r="B20" s="216" t="s">
        <v>2180</v>
      </c>
      <c r="C20" s="238">
        <f ca="1">ROUND((C5+C19)*F20,0)</f>
        <v>352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1414</v>
      </c>
      <c r="D22" s="241">
        <f ca="1">C26</f>
        <v>8.0000000000000004E-4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1400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14</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2098</v>
      </c>
      <c r="D27" s="241">
        <f ca="1">C29</f>
        <v>2.3E-3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2098</v>
      </c>
      <c r="D28" s="241"/>
      <c r="E28" s="242"/>
      <c r="F28" s="252"/>
      <c r="G28" s="253"/>
    </row>
    <row r="29" spans="1:7" s="220" customFormat="1" ht="13.5" customHeight="1">
      <c r="A29" s="888" t="s">
        <v>792</v>
      </c>
      <c r="B29" s="254" t="s">
        <v>2203</v>
      </c>
      <c r="C29" s="244">
        <f ca="1">ROUND(C21*F27*'数据-取费表'!B21/'数据-取费表'!B20,4)</f>
        <v>2.3E-3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23215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24559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21998</v>
      </c>
      <c r="D34" s="223"/>
      <c r="E34" s="226"/>
      <c r="F34" s="263">
        <f ca="1">IF('数据-取费表'!B24=0,1,IF(B1="",'数据-取费表'!N16,INDIRECT("'数据-取费表'!n"&amp;$G$1)))</f>
        <v>0.9</v>
      </c>
      <c r="G34" s="225" t="s">
        <v>2212</v>
      </c>
    </row>
    <row r="35" spans="1:7" ht="13.5" customHeight="1">
      <c r="A35" s="888" t="s">
        <v>796</v>
      </c>
      <c r="B35" s="221" t="s">
        <v>2213</v>
      </c>
      <c r="C35" s="226">
        <f ca="1">ROUND(C34*F35,0)</f>
        <v>880</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1351</v>
      </c>
      <c r="D37" s="223">
        <f ca="1">D19</f>
        <v>75038.94</v>
      </c>
      <c r="E37" s="255">
        <f>'数据-取费表'!B35</f>
        <v>200</v>
      </c>
      <c r="F37" s="265"/>
      <c r="G37" s="267" t="s">
        <v>2218</v>
      </c>
    </row>
    <row r="38" spans="1:7" ht="13.5" customHeight="1">
      <c r="A38" s="888" t="s">
        <v>799</v>
      </c>
      <c r="B38" s="221" t="s">
        <v>2219</v>
      </c>
      <c r="C38" s="226">
        <f ca="1">ROUND(C34*F38,0)</f>
        <v>330</v>
      </c>
      <c r="D38" s="226"/>
      <c r="E38" s="226"/>
      <c r="F38" s="265">
        <f>'数据-取费表'!B36</f>
        <v>1.4999999999999999E-2</v>
      </c>
      <c r="G38" s="225" t="s">
        <v>2214</v>
      </c>
    </row>
    <row r="39" spans="1:7" s="220" customFormat="1" ht="13.5" customHeight="1">
      <c r="A39" s="261" t="s">
        <v>2220</v>
      </c>
      <c r="B39" s="216" t="s">
        <v>2221</v>
      </c>
      <c r="C39" s="238">
        <f ca="1">ROUND(C33*F20,0)</f>
        <v>491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978</v>
      </c>
      <c r="D41" s="241">
        <f ca="1">C44</f>
        <v>8.0000000000000004E-4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959</v>
      </c>
      <c r="D42" s="244"/>
      <c r="E42" s="244"/>
      <c r="F42" s="245"/>
      <c r="G42" s="3251" t="s">
        <v>2230</v>
      </c>
    </row>
    <row r="43" spans="1:7" ht="13.5" customHeight="1">
      <c r="A43" s="888" t="s">
        <v>792</v>
      </c>
      <c r="B43" s="221" t="s">
        <v>2231</v>
      </c>
      <c r="C43" s="244">
        <f ca="1">ROUND(IF('数据-取费表'!B22&lt;=1,C39*F22*'数据-取费表'!B21/2,C39*(POWER((1+F22),'数据-取费表'!B21/2)-1)),0)</f>
        <v>19</v>
      </c>
      <c r="D43" s="244"/>
      <c r="E43" s="244"/>
      <c r="F43" s="245"/>
      <c r="G43" s="3252"/>
    </row>
    <row r="44" spans="1:7" ht="13.5" customHeight="1">
      <c r="A44" s="888" t="s">
        <v>793</v>
      </c>
      <c r="B44" s="221" t="s">
        <v>2232</v>
      </c>
      <c r="C44" s="244">
        <f ca="1">ROUND(IF('数据-取费表'!B22&lt;=1,C40*F22*'数据-取费表'!B21/2,C40*(POWER((1+F22),'数据-取费表'!B21/2)-1)),4)</f>
        <v>8.0000000000000004E-4</v>
      </c>
      <c r="D44" s="244"/>
      <c r="E44" s="244"/>
      <c r="F44" s="245"/>
      <c r="G44" s="3253"/>
    </row>
    <row r="45" spans="1:7" s="220" customFormat="1" ht="13.5" customHeight="1">
      <c r="A45" s="261" t="s">
        <v>2233</v>
      </c>
      <c r="B45" s="250" t="s">
        <v>2199</v>
      </c>
      <c r="C45" s="251">
        <f ca="1">C46</f>
        <v>3257</v>
      </c>
      <c r="D45" s="241">
        <f ca="1">C47</f>
        <v>2.5999999999999999E-3</v>
      </c>
      <c r="E45" s="242" t="s">
        <v>2225</v>
      </c>
      <c r="F45" s="2537">
        <f ca="1">F27</f>
        <v>0.13</v>
      </c>
      <c r="G45" s="253" t="s">
        <v>2234</v>
      </c>
    </row>
    <row r="46" spans="1:7" s="220" customFormat="1" ht="13.5" customHeight="1">
      <c r="A46" s="888" t="s">
        <v>791</v>
      </c>
      <c r="B46" s="254" t="s">
        <v>2235</v>
      </c>
      <c r="C46" s="255">
        <f ca="1">ROUND((C33+C39)*F27,0)</f>
        <v>3257</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31718</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31718</v>
      </c>
      <c r="D51" s="238"/>
      <c r="E51" s="238"/>
      <c r="F51" s="270"/>
      <c r="G51" s="240" t="s">
        <v>2246</v>
      </c>
    </row>
    <row r="52" spans="1:7" s="214" customFormat="1" ht="16.5" thickBot="1">
      <c r="A52" s="271" t="s">
        <v>2247</v>
      </c>
      <c r="B52" s="272"/>
      <c r="C52" s="273">
        <f ca="1">C31+C51</f>
        <v>54933</v>
      </c>
      <c r="D52" s="272"/>
      <c r="E52" s="272"/>
      <c r="F52" s="272"/>
      <c r="G52" s="274"/>
    </row>
    <row r="55" spans="1:7" ht="15">
      <c r="B55" s="276" t="s">
        <v>2248</v>
      </c>
      <c r="C55" s="277"/>
    </row>
    <row r="56" spans="1:7">
      <c r="B56" s="279" t="s">
        <v>1478</v>
      </c>
      <c r="C56" s="281">
        <f ca="1">1-C57</f>
        <v>0.42300000000000004</v>
      </c>
    </row>
    <row r="57" spans="1:7">
      <c r="B57" s="279" t="s">
        <v>1479</v>
      </c>
      <c r="C57" s="280">
        <f ca="1">ROUND(C51/C52,3)</f>
        <v>0.57699999999999996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北京市通州区于家务回族乡通州国际种业科技园区A03地块研发中心项目出让国有建设用地使用权及在建建筑物房地产抵押价值预评估</v>
      </c>
      <c r="C37" s="3062"/>
      <c r="D37" s="3062"/>
      <c r="E37" s="3062"/>
      <c r="F37" s="3062"/>
      <c r="G37" s="3062"/>
      <c r="H37" s="3062"/>
      <c r="I37" s="3062"/>
    </row>
    <row r="38" spans="1:9">
      <c r="A38" s="953"/>
      <c r="B38" s="953"/>
    </row>
    <row r="39" spans="1:9">
      <c r="A39" s="951" t="s">
        <v>818</v>
      </c>
      <c r="B39" s="951" t="s">
        <v>820</v>
      </c>
    </row>
    <row r="40" spans="1:9">
      <c r="A40" s="951"/>
      <c r="B40" s="1659" t="str">
        <f>项目基本情况!B5</f>
        <v>北京通州国际种业科技有限公司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39418</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5253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15007788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15007788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15007788</v>
      </c>
      <c r="D10" s="954">
        <f ca="1">IF(B1="",'数据-汇总表'!E6,IF(INDIRECT("'数据-取费表'!c"&amp;$G$1)="住宅",INDIRECT("'数据-取费表'!s"&amp;$G$1),INDIRECT("'数据-取费表'!k"&amp;$G$1)+INDIRECT("'数据-取费表'!s"&amp;$G$1)))</f>
        <v>75038.94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15007788</v>
      </c>
      <c r="D19" s="958">
        <f ca="1">D9+D10</f>
        <v>75038.94</v>
      </c>
      <c r="E19" s="217">
        <f>'数据-取费表'!B31</f>
        <v>200</v>
      </c>
      <c r="F19" s="237"/>
      <c r="G19" s="2042"/>
    </row>
    <row r="20" spans="1:7" s="220" customFormat="1" ht="13.5" customHeight="1">
      <c r="A20" s="261" t="s">
        <v>2260</v>
      </c>
      <c r="B20" s="216" t="s">
        <v>2261</v>
      </c>
      <c r="C20" s="238">
        <f ca="1">ROUND((C5+C19)*F20,0)</f>
        <v>600312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2694266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1334076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1334076</v>
      </c>
      <c r="D24" s="244"/>
      <c r="E24" s="244"/>
      <c r="F24" s="245"/>
      <c r="G24" s="246" t="s">
        <v>2272</v>
      </c>
    </row>
    <row r="25" spans="1:7" s="220" customFormat="1" ht="24">
      <c r="A25" s="888" t="s">
        <v>2162</v>
      </c>
      <c r="B25" s="221" t="s">
        <v>2273</v>
      </c>
      <c r="C25" s="1290">
        <f ca="1">ROUND(IF('数据-取费表'!B22&lt;=1,C20*F22*'数据-取费表'!B22/2,C20*(POWER((1+F22),'数据-取费表'!B22/2)-1)),0)</f>
        <v>26114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3980065</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3980065</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40392352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272869470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244418656</v>
      </c>
      <c r="D34" s="223"/>
      <c r="E34" s="226"/>
      <c r="F34" s="263"/>
      <c r="G34" s="225"/>
    </row>
    <row r="35" spans="1:7" ht="13.5" customHeight="1">
      <c r="A35" s="888" t="s">
        <v>796</v>
      </c>
      <c r="B35" s="221" t="s">
        <v>2213</v>
      </c>
      <c r="C35" s="226">
        <f ca="1">ROUND(C34*F35,0)</f>
        <v>9776746</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15007788</v>
      </c>
      <c r="D37" s="223">
        <f ca="1">D19</f>
        <v>75038.94</v>
      </c>
      <c r="E37" s="255">
        <f>'数据-取费表'!B35</f>
        <v>200</v>
      </c>
      <c r="F37" s="265"/>
      <c r="G37" s="267"/>
    </row>
    <row r="38" spans="1:7" ht="13.5" customHeight="1">
      <c r="A38" s="888" t="s">
        <v>799</v>
      </c>
      <c r="B38" s="221" t="s">
        <v>2219</v>
      </c>
      <c r="C38" s="226">
        <f ca="1">ROUND(C34*F38,0)</f>
        <v>3666280</v>
      </c>
      <c r="D38" s="226"/>
      <c r="E38" s="226"/>
      <c r="F38" s="265">
        <f>'数据-取费表'!B36</f>
        <v>1.4999999999999999E-2</v>
      </c>
      <c r="G38" s="225" t="s">
        <v>2214</v>
      </c>
    </row>
    <row r="39" spans="1:7" s="220" customFormat="1" ht="13.5" customHeight="1">
      <c r="A39" s="261" t="s">
        <v>2220</v>
      </c>
      <c r="B39" s="216" t="s">
        <v>2221</v>
      </c>
      <c r="C39" s="238">
        <f ca="1">ROUND(C33*F20,0)</f>
        <v>5457389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12107218</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11869822</v>
      </c>
      <c r="D42" s="244"/>
      <c r="E42" s="244"/>
      <c r="F42" s="245"/>
      <c r="G42" s="3251" t="s">
        <v>2277</v>
      </c>
    </row>
    <row r="43" spans="1:7" ht="13.5" customHeight="1">
      <c r="A43" s="888" t="s">
        <v>792</v>
      </c>
      <c r="B43" s="221" t="s">
        <v>2231</v>
      </c>
      <c r="C43" s="244">
        <f ca="1">ROUND(IF('数据-取费表'!B22&lt;=1,C39*F22*'数据-取费表'!B20/2,C39*(POWER((1+F22),'数据-取费表'!B20/2)-1)),0)</f>
        <v>237396</v>
      </c>
      <c r="D43" s="244"/>
      <c r="E43" s="244"/>
      <c r="F43" s="245"/>
      <c r="G43" s="3252"/>
    </row>
    <row r="44" spans="1:7" ht="13.5" customHeight="1">
      <c r="A44" s="888" t="s">
        <v>793</v>
      </c>
      <c r="B44" s="221" t="s">
        <v>2232</v>
      </c>
      <c r="C44" s="244">
        <f ca="1">ROUND(IF('数据-取费表'!B22&lt;=1,C40*F22*'数据-取费表'!B20/2,C40*(POWER((1+F22),'数据-取费表'!B20/2)-1)),4)</f>
        <v>8.9999999999999998E-4</v>
      </c>
      <c r="D44" s="244"/>
      <c r="E44" s="244"/>
      <c r="F44" s="245"/>
      <c r="G44" s="3253"/>
    </row>
    <row r="45" spans="1:7" s="220" customFormat="1" ht="13.5" customHeight="1">
      <c r="A45" s="261" t="s">
        <v>2233</v>
      </c>
      <c r="B45" s="250" t="s">
        <v>2199</v>
      </c>
      <c r="C45" s="251">
        <f ca="1">C46</f>
        <v>36182492</v>
      </c>
      <c r="D45" s="241">
        <f ca="1">C47</f>
        <v>2.5999999999999999E-3</v>
      </c>
      <c r="E45" s="242" t="s">
        <v>2225</v>
      </c>
      <c r="F45" s="2537">
        <f ca="1">F27</f>
        <v>0.13</v>
      </c>
      <c r="G45" s="253" t="s">
        <v>2234</v>
      </c>
    </row>
    <row r="46" spans="1:7" s="220" customFormat="1" ht="13.5" customHeight="1">
      <c r="A46" s="888" t="s">
        <v>791</v>
      </c>
      <c r="B46" s="254" t="s">
        <v>2235</v>
      </c>
      <c r="C46" s="255">
        <f ca="1">ROUND((C33+C39)*F27,0)</f>
        <v>36182492</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353787445</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353787445</v>
      </c>
      <c r="D51" s="238"/>
      <c r="E51" s="238"/>
      <c r="F51" s="270"/>
      <c r="G51" s="240" t="s">
        <v>2246</v>
      </c>
    </row>
    <row r="52" spans="1:7" s="214" customFormat="1" ht="16.5" thickBot="1">
      <c r="A52" s="271" t="s">
        <v>2247</v>
      </c>
      <c r="B52" s="272"/>
      <c r="C52" s="273">
        <f ca="1">C31+C51</f>
        <v>394179797</v>
      </c>
      <c r="D52" s="272"/>
      <c r="E52" s="272"/>
      <c r="F52" s="272"/>
      <c r="G52" s="274"/>
    </row>
    <row r="55" spans="1:7" ht="15">
      <c r="B55" s="276" t="s">
        <v>2248</v>
      </c>
      <c r="C55" s="277"/>
    </row>
    <row r="56" spans="1:7">
      <c r="B56" s="279" t="s">
        <v>1478</v>
      </c>
      <c r="C56" s="281">
        <f ca="1">1-C57</f>
        <v>0.10199999999999998</v>
      </c>
    </row>
    <row r="57" spans="1:7">
      <c r="B57" s="279" t="s">
        <v>1479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G65" sqref="G65"/>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71887.839999999997</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15600</v>
      </c>
      <c r="C2" s="2185" t="s">
        <v>2631</v>
      </c>
      <c r="D2" s="2186" t="s">
        <v>2632</v>
      </c>
      <c r="E2" s="2187" t="s">
        <v>27</v>
      </c>
      <c r="F2" s="2186" t="s">
        <v>2633</v>
      </c>
      <c r="G2" s="2188" t="str">
        <f>IF(E2="商业",项目基本情况!B37,IF(E2="办公",项目基本情况!C37,IF(E2="住宅",项目基本情况!D37,项目基本情况!E37)))</f>
        <v>十级</v>
      </c>
      <c r="H2" s="2186" t="s">
        <v>2634</v>
      </c>
      <c r="I2" s="2188" t="str">
        <f>IF(E2="商业",项目基本情况!B38,IF(E2="办公",项目基本情况!C38,IF(E2="住宅",项目基本情况!D38,项目基本情况!E38)))</f>
        <v>Ⅹ-通1</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5749</v>
      </c>
      <c r="U2" s="1375"/>
      <c r="V2" s="1374">
        <f>ROUND(T2*U2/10000,0)</f>
        <v>0</v>
      </c>
      <c r="W2" s="1378"/>
      <c r="X2" s="1378"/>
      <c r="Y2" s="1378"/>
      <c r="Z2" s="1378"/>
      <c r="AA2" s="1378"/>
      <c r="AB2" s="1378"/>
      <c r="AC2" s="1379"/>
      <c r="AD2" s="1380"/>
      <c r="AE2" s="1380"/>
      <c r="AF2" s="1380"/>
      <c r="AG2" s="1380"/>
      <c r="AH2" s="1380"/>
      <c r="AI2" s="1380"/>
      <c r="AJ2" s="1381"/>
    </row>
    <row r="3" spans="1:36" ht="15.75">
      <c r="A3" s="209" t="s">
        <v>2636</v>
      </c>
      <c r="B3" s="210">
        <f>ROUND(B2*10000/D1,0)</f>
        <v>2170</v>
      </c>
      <c r="C3" s="2185" t="s">
        <v>2637</v>
      </c>
      <c r="D3" s="2186" t="s">
        <v>2638</v>
      </c>
      <c r="E3" s="2191" t="s">
        <v>3097</v>
      </c>
      <c r="F3" s="2192" t="s">
        <v>3098</v>
      </c>
      <c r="G3" s="855">
        <f>IF(F3="宗地容积率",'数据-汇总表'!I4,IF(F3="估价对象容积率",'数据-汇总表'!I6,'数据-汇总表'!I7))</f>
        <v>3</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3789</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73"/>
      <c r="B4" s="3274"/>
      <c r="C4" s="3274"/>
      <c r="D4" s="3275"/>
      <c r="E4" s="3275"/>
      <c r="F4" s="3275"/>
      <c r="G4" s="3275"/>
      <c r="H4" s="3275"/>
      <c r="I4" s="3275"/>
      <c r="J4" s="3276"/>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2982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2620</v>
      </c>
      <c r="D5" s="1523">
        <f>ROUND(C6+C16,0)</f>
        <v>2620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2228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2620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1675</v>
      </c>
      <c r="U6" s="1375"/>
      <c r="V6" s="1374">
        <f t="shared" si="1"/>
        <v>0</v>
      </c>
      <c r="W6" s="1378"/>
      <c r="X6" s="1378"/>
      <c r="Y6" s="1378"/>
      <c r="Z6" s="1378"/>
      <c r="AA6" s="1378"/>
      <c r="AB6" s="1378"/>
      <c r="AC6" s="2199"/>
      <c r="AD6" s="2200"/>
      <c r="AE6" s="2200"/>
      <c r="AF6" s="2200"/>
      <c r="AG6" s="2200"/>
      <c r="AH6" s="2200"/>
      <c r="AI6" s="2200"/>
      <c r="AJ6" s="2201"/>
    </row>
    <row r="7" spans="1:36" ht="24">
      <c r="A7" s="3254" t="str">
        <f>IF(E2="商业",IF(C8="不临58条商业街","",2),"")</f>
        <v/>
      </c>
      <c r="B7" s="2209" t="s">
        <v>2649</v>
      </c>
      <c r="C7" s="858" t="e">
        <f>IF(C8="不临58条商业街",1,ROUND(1+(1.6*E8+1.2*E9+0.8*E10+0.4*E11)*C9,4))</f>
        <v>#DIV/0!</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1339</v>
      </c>
      <c r="U7" s="1375"/>
      <c r="V7" s="1374">
        <f t="shared" si="1"/>
        <v>0</v>
      </c>
      <c r="W7" s="1542" t="s">
        <v>2652</v>
      </c>
      <c r="X7" s="1376" t="str">
        <f>G2</f>
        <v>十级</v>
      </c>
      <c r="Y7" s="1376" t="s">
        <v>2653</v>
      </c>
      <c r="Z7" s="1377">
        <f>G3</f>
        <v>3</v>
      </c>
      <c r="AA7" s="1378"/>
      <c r="AB7" s="1378"/>
      <c r="AC7" s="1379"/>
      <c r="AD7" s="1380"/>
      <c r="AE7" s="1380"/>
      <c r="AF7" s="1380"/>
      <c r="AG7" s="1380"/>
      <c r="AH7" s="1380"/>
      <c r="AI7" s="1380"/>
      <c r="AJ7" s="1381"/>
    </row>
    <row r="8" spans="1:36" ht="15">
      <c r="A8" s="3277"/>
      <c r="B8" s="175" t="s">
        <v>2654</v>
      </c>
      <c r="C8" s="2214"/>
      <c r="D8" s="859" t="s">
        <v>139</v>
      </c>
      <c r="E8" s="860" t="e">
        <f>ROUND(C11/E7,4)</f>
        <v>#DIV/0!</v>
      </c>
      <c r="F8" s="2215" t="s">
        <v>2655</v>
      </c>
      <c r="G8" s="2216"/>
      <c r="H8" s="2216"/>
      <c r="I8" s="2216"/>
      <c r="J8" s="2217"/>
      <c r="K8" s="1280"/>
      <c r="L8" s="2190"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70" t="s">
        <v>2657</v>
      </c>
      <c r="X8" s="3271"/>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277"/>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72"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7"/>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2620</v>
      </c>
      <c r="N10" s="997">
        <f>SUMPRODUCT((因素修正幅度!B290:B316=I2)*(因素修正幅度!C3:F3=E2)*(因素修正幅度!C290:F316))</f>
        <v>0.15</v>
      </c>
      <c r="O10" s="1280"/>
      <c r="P10" s="1280"/>
      <c r="Q10" s="1280"/>
      <c r="R10" s="1374">
        <v>9</v>
      </c>
      <c r="S10" s="1375"/>
      <c r="T10" s="1374">
        <f t="shared" si="0"/>
        <v>0</v>
      </c>
      <c r="U10" s="1375"/>
      <c r="V10" s="1374">
        <f t="shared" si="1"/>
        <v>0</v>
      </c>
      <c r="W10" s="32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7"/>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72" t="s">
        <v>2681</v>
      </c>
      <c r="X11" s="1386" t="s">
        <v>2682</v>
      </c>
      <c r="Y11" s="1387">
        <f>$G$3</f>
        <v>3</v>
      </c>
      <c r="Z11" s="1387">
        <f t="shared" ref="Z11:AJ11" si="3">$G$3</f>
        <v>3</v>
      </c>
      <c r="AA11" s="1387">
        <f t="shared" si="3"/>
        <v>3</v>
      </c>
      <c r="AB11" s="1387">
        <f t="shared" si="3"/>
        <v>3</v>
      </c>
      <c r="AC11" s="1387">
        <f t="shared" si="3"/>
        <v>3</v>
      </c>
      <c r="AD11" s="1387">
        <f t="shared" si="3"/>
        <v>3</v>
      </c>
      <c r="AE11" s="1387">
        <f t="shared" si="3"/>
        <v>3</v>
      </c>
      <c r="AF11" s="1387">
        <f t="shared" si="3"/>
        <v>3</v>
      </c>
      <c r="AG11" s="1387">
        <f t="shared" si="3"/>
        <v>3</v>
      </c>
      <c r="AH11" s="1387">
        <f t="shared" si="3"/>
        <v>3</v>
      </c>
      <c r="AI11" s="1387">
        <f t="shared" si="3"/>
        <v>3</v>
      </c>
      <c r="AJ11" s="1387">
        <f t="shared" si="3"/>
        <v>3</v>
      </c>
    </row>
    <row r="12" spans="1:36" ht="25.5" thickBot="1">
      <c r="A12" s="3254"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72"/>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8"/>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272"/>
      <c r="X13" s="1388"/>
      <c r="Y13" s="1385">
        <f>(-0.163*(Y12^2)-0.59*Y12+7617)*(10^(-4))/Y11</f>
        <v>0.25390000000000001</v>
      </c>
      <c r="Z13" s="1385">
        <f t="shared" ref="Z13:AJ13" si="5">(-0.163*(Z12^2)-0.59*Z12+7617)*(10^(-4))/Z11</f>
        <v>0.25390000000000001</v>
      </c>
      <c r="AA13" s="1385">
        <f t="shared" si="5"/>
        <v>0.25390000000000001</v>
      </c>
      <c r="AB13" s="1385">
        <f t="shared" si="5"/>
        <v>0.25390000000000001</v>
      </c>
      <c r="AC13" s="1385">
        <f t="shared" si="5"/>
        <v>0.25390000000000001</v>
      </c>
      <c r="AD13" s="1385">
        <f t="shared" si="5"/>
        <v>0.25390000000000001</v>
      </c>
      <c r="AE13" s="1385">
        <f t="shared" si="5"/>
        <v>0.25390000000000001</v>
      </c>
      <c r="AF13" s="1385">
        <f t="shared" si="5"/>
        <v>0.25390000000000001</v>
      </c>
      <c r="AG13" s="1385">
        <f t="shared" si="5"/>
        <v>0.25390000000000001</v>
      </c>
      <c r="AH13" s="1385">
        <f t="shared" si="5"/>
        <v>0.25390000000000001</v>
      </c>
      <c r="AI13" s="1385">
        <f t="shared" si="5"/>
        <v>0.25390000000000001</v>
      </c>
      <c r="AJ13" s="1385">
        <f t="shared" si="5"/>
        <v>0.25390000000000001</v>
      </c>
    </row>
    <row r="14" spans="1:36" ht="15">
      <c r="A14" s="3278"/>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279"/>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254" t="s">
        <v>2700</v>
      </c>
      <c r="B16" s="2209" t="s">
        <v>2701</v>
      </c>
      <c r="C16" s="2371">
        <f>ROUND(IF(F17="与级别开发程度一致",0,(G17-E17)/C17),0)</f>
        <v>0</v>
      </c>
      <c r="D16" s="3267" t="s">
        <v>2705</v>
      </c>
      <c r="E16" s="3268"/>
      <c r="F16" s="3267" t="s">
        <v>2702</v>
      </c>
      <c r="G16" s="3268"/>
      <c r="H16" s="2241" t="s">
        <v>3068</v>
      </c>
      <c r="I16" s="2241" t="s">
        <v>3069</v>
      </c>
      <c r="J16" s="2375" t="s">
        <v>3099</v>
      </c>
      <c r="K16" s="2241" t="s">
        <v>3070</v>
      </c>
      <c r="L16" s="2241" t="s">
        <v>3071</v>
      </c>
      <c r="M16" s="2241" t="s">
        <v>70</v>
      </c>
      <c r="N16" s="2241" t="s">
        <v>70</v>
      </c>
      <c r="O16" s="2242" t="s">
        <v>3100</v>
      </c>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255"/>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3101</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0</v>
      </c>
      <c r="N17" s="2383">
        <f>SUMPRODUCT((七通一平=N16)*(修正!B1:M1=G2)*(修正!B6:M14))</f>
        <v>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2708</v>
      </c>
      <c r="C19" s="863">
        <f>ROUND(IF(H19="按公示增长率计算",SUMPRODUCT((地价!A3:A34=YEAR(G19)&amp;"-"&amp;ROUNDUP(MONTH(G19)/3,0))*(地价!X2:AB2=E2)*(地价!X3:AB34)),IF(H19="地价指数",M20/M19,(1+I19)^O19)),4)</f>
        <v>1.3491</v>
      </c>
      <c r="D19" s="2251" t="s">
        <v>2709</v>
      </c>
      <c r="E19" s="864">
        <v>41640</v>
      </c>
      <c r="F19" s="2251" t="s">
        <v>2710</v>
      </c>
      <c r="G19" s="865">
        <f>'数据-取费表'!B2</f>
        <v>44315</v>
      </c>
      <c r="H19" s="2252" t="s">
        <v>3102</v>
      </c>
      <c r="I19" s="866" t="str">
        <f>IF(H19="季度增幅（自定义）",SUMIF(N21:N24,E2,O21:O24),"")</f>
        <v/>
      </c>
      <c r="J19" s="2249"/>
      <c r="K19" s="1287"/>
      <c r="L19" s="2253" t="s">
        <v>2711</v>
      </c>
      <c r="M19" s="1496">
        <f>ROUND(SUMIF(地价!B2:F2,E2,地价!B34:F34),0)</f>
        <v>258</v>
      </c>
      <c r="N19" s="2254" t="s">
        <v>2712</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2713</v>
      </c>
      <c r="C20" s="868">
        <f>ROUND(POWER(1+G20,J20-I20)*(POWER(1+G20,I20)-1)/(POWER(1+G20,J20)-1),4)</f>
        <v>0.98919999999999997</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47.66</v>
      </c>
      <c r="J20" s="875">
        <f>IF(E2="住宅",70,IF(E2="商业",40,50))</f>
        <v>50</v>
      </c>
      <c r="K20" s="1287"/>
      <c r="L20" s="2259" t="s">
        <v>2716</v>
      </c>
      <c r="M20" s="1497">
        <f>ROUND(SUMPRODUCT((地价!A4:A34=YEAR(G19)&amp;"-"&amp;ROUNDUP(MONTH(G19)/3,0))*(地价!B2:F2=E2)*(地价!B4:F34)),0)</f>
        <v>348</v>
      </c>
      <c r="N20" s="2260" t="s">
        <v>2717</v>
      </c>
      <c r="O20" s="2261" t="s">
        <v>2718</v>
      </c>
      <c r="P20" s="2262" t="s">
        <v>2719</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3103</v>
      </c>
      <c r="C21" s="876">
        <f>IF(B21="容积率修正",IF(G3&lt;=10,D22,J22),C23)</f>
        <v>0.86970000000000003</v>
      </c>
      <c r="D21" s="2265"/>
      <c r="E21" s="2265"/>
      <c r="F21" s="2265"/>
      <c r="G21" s="2265"/>
      <c r="H21" s="2265"/>
      <c r="I21" s="2265"/>
      <c r="J21" s="2266"/>
      <c r="K21" s="1287"/>
      <c r="L21" s="3016"/>
      <c r="M21" s="3016"/>
      <c r="N21" s="2267" t="s">
        <v>2720</v>
      </c>
      <c r="O21" s="1335"/>
      <c r="P21" s="1336">
        <f>SUMPRODUCT((地价!A3:A34=YEAR(G19)&amp;"-"&amp;ROUNDUP(MONTH(G19)/3,0))*(地价!AD2:AH2=N21)*(地价!AD3:AH34))</f>
        <v>1.09E-2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2721</v>
      </c>
      <c r="B22" s="2268" t="s">
        <v>2722</v>
      </c>
      <c r="C22" s="1536" t="s">
        <v>2723</v>
      </c>
      <c r="D22" s="1536">
        <f>IF(E22=G22,F22,IF(G3&lt;=10,ROUND(F22+(H22-F22)*(G3-E22)/(G22-E22),4),"——"))</f>
        <v>0.86970000000000003</v>
      </c>
      <c r="E22" s="855">
        <f>ROUNDDOWN(G3,1)</f>
        <v>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536" t="s">
        <v>155</v>
      </c>
      <c r="J22" s="877" t="str">
        <f>IF(G3&gt;10,D113,"——")</f>
        <v>——</v>
      </c>
      <c r="K22" s="1287"/>
      <c r="L22" s="3016"/>
      <c r="M22" s="3016"/>
      <c r="N22" s="2267" t="s">
        <v>2724</v>
      </c>
      <c r="O22" s="1335"/>
      <c r="P22" s="1336">
        <f>SUMPRODUCT((地价!A3:A34=YEAR(G19)&amp;"-"&amp;ROUNDUP(MONTH(G19)/3,0))*(地价!AD2:AH2=N22)*(地价!AD3:AH34))</f>
        <v>1.09E-2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0.94069999999999998</v>
      </c>
      <c r="D24" s="2248"/>
      <c r="E24" s="2275"/>
      <c r="F24" s="2275"/>
      <c r="G24" s="2275"/>
      <c r="H24" s="2275"/>
      <c r="I24" s="2275"/>
      <c r="J24" s="2276"/>
      <c r="K24" s="1287"/>
      <c r="L24" s="3016"/>
      <c r="M24" s="3016"/>
      <c r="N24" s="2277" t="s">
        <v>2729</v>
      </c>
      <c r="O24" s="1337"/>
      <c r="P24" s="1338">
        <f>SUMPRODUCT((地价!A3:A34=YEAR(G19)&amp;"-"&amp;ROUNDUP(MONTH(G19)/3,0))*(地价!AD2:AH2=N24)*(地价!AD3:AH34))</f>
        <v>1.2500000000000001E-2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2730</v>
      </c>
      <c r="C25" s="869"/>
      <c r="D25" s="2212"/>
      <c r="E25" s="2212"/>
      <c r="F25" s="2279"/>
      <c r="G25" s="2212"/>
      <c r="H25" s="2212"/>
      <c r="I25" s="2212"/>
      <c r="J25" s="2213"/>
      <c r="K25" s="1280"/>
      <c r="L25" s="2183"/>
      <c r="M25" s="2183"/>
      <c r="N25" s="3011" t="s">
        <v>2731</v>
      </c>
      <c r="O25" s="3012"/>
      <c r="P25" s="3013">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f>IF(B21="容积率修正",E29+SUM(E33:E39),SUM(V2:V16)+SUM(E33:E39))</f>
        <v>15600</v>
      </c>
      <c r="D26" s="2281"/>
      <c r="E26" s="2237"/>
      <c r="F26" s="2282"/>
      <c r="G26" s="2237"/>
      <c r="H26" s="2237"/>
      <c r="I26" s="2237"/>
      <c r="J26" s="2283"/>
      <c r="K26" s="1280"/>
      <c r="L26" s="3014" t="s">
        <v>2632</v>
      </c>
      <c r="M26" s="2210" t="s">
        <v>2696</v>
      </c>
      <c r="N26" s="2210" t="s">
        <v>2697</v>
      </c>
      <c r="O26" s="2210" t="s">
        <v>2698</v>
      </c>
      <c r="P26" s="3015"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172</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2574</v>
      </c>
      <c r="D29" s="2296">
        <f>'数据-汇总表'!F19</f>
        <v>57934.700000000004</v>
      </c>
      <c r="E29" s="879">
        <f>ROUND(C29*D29/10000,0)</f>
        <v>14912</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644</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64"/>
      <c r="B33" s="2312" t="s">
        <v>2746</v>
      </c>
      <c r="C33" s="180">
        <f>ROUND(D5*C19*C20*C24*F33,0)</f>
        <v>1973</v>
      </c>
      <c r="D33" s="2296"/>
      <c r="E33" s="176">
        <f>ROUND(C33*D33/10000,0)</f>
        <v>0</v>
      </c>
      <c r="F33" s="176">
        <f>SUMIF(修正!A45:A56,G2,修正!B45:B56)</f>
        <v>0.6</v>
      </c>
      <c r="G33" s="176">
        <f t="shared" ref="G33" si="6">ROUND(IF(E2="工业",C33*$M$39,C33*$M$38),0)</f>
        <v>493</v>
      </c>
      <c r="H33" s="176">
        <f>D33</f>
        <v>0</v>
      </c>
      <c r="I33" s="176">
        <f>ROUND(G33*H33/10000,0)</f>
        <v>0</v>
      </c>
      <c r="J33" s="3269"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65"/>
      <c r="B34" s="2229" t="s">
        <v>2747</v>
      </c>
      <c r="C34" s="180">
        <f>ROUND(D5*C19*C20*C24*F34,0)</f>
        <v>987</v>
      </c>
      <c r="D34" s="2296"/>
      <c r="E34" s="176">
        <f t="shared" ref="E34:E39" si="7">ROUND(C34*D34/10000,0)</f>
        <v>0</v>
      </c>
      <c r="F34" s="176">
        <f>SUMIF(修正!A45:A56,G2,修正!C45:C56)</f>
        <v>0.3</v>
      </c>
      <c r="G34" s="176">
        <f>ROUND(IF(E2="工业",C34*$M$39,C34*$M$38),0)</f>
        <v>247</v>
      </c>
      <c r="H34" s="176">
        <f t="shared" ref="H34:H39" si="8">D34</f>
        <v>0</v>
      </c>
      <c r="I34" s="176">
        <f t="shared" ref="I34:I39" si="9">ROUND(G34*H34/10000,0)</f>
        <v>0</v>
      </c>
      <c r="J34" s="32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65"/>
      <c r="B35" s="2229" t="s">
        <v>2748</v>
      </c>
      <c r="C35" s="180">
        <f>ROUND(D5*C19*C20*C24*F35,0)</f>
        <v>658</v>
      </c>
      <c r="D35" s="2296"/>
      <c r="E35" s="176">
        <f t="shared" si="7"/>
        <v>0</v>
      </c>
      <c r="F35" s="176">
        <f>SUMIF(修正!A45:A56,G2,修正!D45:D56)</f>
        <v>0.2</v>
      </c>
      <c r="G35" s="176">
        <f>ROUND(IF(E2="工业",C35*$M$39,C35*$M$38),0)</f>
        <v>165</v>
      </c>
      <c r="H35" s="176">
        <f t="shared" si="8"/>
        <v>0</v>
      </c>
      <c r="I35" s="176">
        <f t="shared" si="9"/>
        <v>0</v>
      </c>
      <c r="J35" s="32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66"/>
      <c r="B36" s="2229" t="s">
        <v>2749</v>
      </c>
      <c r="C36" s="180">
        <f>ROUND(D5*C19*C20*C24*F36,0)</f>
        <v>658</v>
      </c>
      <c r="D36" s="2296"/>
      <c r="E36" s="176">
        <f t="shared" si="7"/>
        <v>0</v>
      </c>
      <c r="F36" s="176">
        <f>SUMIF(修正!A45:A56,G2,修正!E45:E56)</f>
        <v>0.2</v>
      </c>
      <c r="G36" s="176">
        <f>ROUND(IF(E2="工业",C36*$M$39,C36*$M$38),0)</f>
        <v>165</v>
      </c>
      <c r="H36" s="176">
        <f t="shared" si="8"/>
        <v>0</v>
      </c>
      <c r="I36" s="176">
        <f t="shared" si="9"/>
        <v>0</v>
      </c>
      <c r="J36" s="326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658</v>
      </c>
      <c r="D37" s="2296"/>
      <c r="E37" s="176">
        <f t="shared" si="7"/>
        <v>0</v>
      </c>
      <c r="F37" s="180">
        <f>SUMIF(修正!A45:A56,G2,修正!F45:F56)</f>
        <v>0.2</v>
      </c>
      <c r="G37" s="176">
        <f>ROUND(IF(E2="工业",C37*$M$39,C37*$M$38),0)</f>
        <v>165</v>
      </c>
      <c r="H37" s="176">
        <f t="shared" si="8"/>
        <v>0</v>
      </c>
      <c r="I37" s="176">
        <f t="shared" si="9"/>
        <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658</v>
      </c>
      <c r="D38" s="2296"/>
      <c r="E38" s="176">
        <f t="shared" si="7"/>
        <v>0</v>
      </c>
      <c r="F38" s="180">
        <f>SUMIF(修正!A45:A56,G2,修正!G45:G56)</f>
        <v>0.2</v>
      </c>
      <c r="G38" s="176">
        <f>ROUND(IF(E2="工业",C38*$M$39,C38*$M$38),0)</f>
        <v>165</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493</v>
      </c>
      <c r="D39" s="2302">
        <f>'数据-汇总表'!G19</f>
        <v>13953.14</v>
      </c>
      <c r="E39" s="193">
        <f t="shared" si="7"/>
        <v>688</v>
      </c>
      <c r="F39" s="871">
        <f>SUMIF(修正!A45:A56,G2,修正!H45:H56)</f>
        <v>0.15</v>
      </c>
      <c r="G39" s="193">
        <f>ROUND(IF(E2="工业",C39*$M$39,C39*$M$38),0)</f>
        <v>123</v>
      </c>
      <c r="H39" s="193">
        <f t="shared" si="8"/>
        <v>13953.14</v>
      </c>
      <c r="I39" s="193">
        <f t="shared" si="9"/>
        <v>172</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0.98919999999999997</v>
      </c>
      <c r="D41" s="176" t="s">
        <v>2706</v>
      </c>
      <c r="E41" s="2369">
        <f>G20</f>
        <v>5.1999999999999998E-2</v>
      </c>
      <c r="F41" s="176" t="s">
        <v>2715</v>
      </c>
      <c r="G41" s="189">
        <f>项目基本情况!G15</f>
        <v>47.66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0.94069999999999998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3104</v>
      </c>
      <c r="D59" s="1196">
        <f t="shared" ref="D59:D67" si="15">SUMIF($J$58:$N$58,C59,J59:N59)</f>
        <v>-3.5999999999999997E-2</v>
      </c>
      <c r="E59" s="760">
        <f>ROUND(SUM(D59:D67),4)</f>
        <v>-5.9299999999999999E-2</v>
      </c>
      <c r="F59" s="2000">
        <f>IF(E2="办公",SUMIF(L1:L12,G2,N1:N12),"——")</f>
        <v>0.15</v>
      </c>
      <c r="G59" s="1194">
        <f>H59</f>
        <v>1.7999999999999999E-2</v>
      </c>
      <c r="H59" s="1198">
        <f t="shared" ref="H59:H67" si="16">IFERROR(ROUNDDOWN($F$59*I59/2,4),"——")</f>
        <v>1.7999999999999999E-2</v>
      </c>
      <c r="I59" s="759">
        <v>0.24</v>
      </c>
      <c r="J59" s="1195">
        <f t="shared" ref="J59:J67" si="17">K59+$G59</f>
        <v>3.5999999999999997E-2</v>
      </c>
      <c r="K59" s="1195">
        <f t="shared" ref="K59:K67" si="18">$L59+$G59</f>
        <v>1.7999999999999999E-2</v>
      </c>
      <c r="L59" s="1195">
        <v>0</v>
      </c>
      <c r="M59" s="1195">
        <f t="shared" ref="M59:N67" si="19">L59-$G59</f>
        <v>-1.7999999999999999E-2</v>
      </c>
      <c r="N59" s="1195">
        <f t="shared" si="19"/>
        <v>-3.5999999999999997E-2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3105</v>
      </c>
      <c r="D60" s="1196">
        <f t="shared" si="15"/>
        <v>-2.2499999999999999E-2</v>
      </c>
      <c r="E60" s="761"/>
      <c r="F60" s="2000"/>
      <c r="G60" s="1194">
        <f t="shared" ref="G60:G67" si="20">H60</f>
        <v>2.2499999999999999E-2</v>
      </c>
      <c r="H60" s="1198">
        <f t="shared" si="16"/>
        <v>2.2499999999999999E-2</v>
      </c>
      <c r="I60" s="759">
        <v>0.3</v>
      </c>
      <c r="J60" s="1195">
        <f t="shared" si="17"/>
        <v>4.4999999999999998E-2</v>
      </c>
      <c r="K60" s="1195">
        <f t="shared" si="18"/>
        <v>2.2499999999999999E-2</v>
      </c>
      <c r="L60" s="1195">
        <v>0</v>
      </c>
      <c r="M60" s="1195">
        <f t="shared" si="19"/>
        <v>-2.2499999999999999E-2</v>
      </c>
      <c r="N60" s="1195">
        <f t="shared" si="19"/>
        <v>-4.4999999999999998E-2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3106</v>
      </c>
      <c r="D61" s="1196">
        <f t="shared" si="15"/>
        <v>0</v>
      </c>
      <c r="E61" s="761"/>
      <c r="F61" s="2000"/>
      <c r="G61" s="1194">
        <f t="shared" si="20"/>
        <v>6.0000000000000001E-3</v>
      </c>
      <c r="H61" s="1198">
        <f t="shared" si="16"/>
        <v>6.0000000000000001E-3</v>
      </c>
      <c r="I61" s="759">
        <v>0.08</v>
      </c>
      <c r="J61" s="1195">
        <f t="shared" si="17"/>
        <v>1.2E-2</v>
      </c>
      <c r="K61" s="1195">
        <f t="shared" si="18"/>
        <v>6.0000000000000001E-3</v>
      </c>
      <c r="L61" s="1195">
        <v>0</v>
      </c>
      <c r="M61" s="1195">
        <f t="shared" si="19"/>
        <v>-6.0000000000000001E-3</v>
      </c>
      <c r="N61" s="1195">
        <f t="shared" si="19"/>
        <v>-1.2E-2</v>
      </c>
      <c r="AA61" s="1281"/>
      <c r="AB61" s="1281"/>
      <c r="AC61" s="1281"/>
      <c r="AD61" s="1281"/>
      <c r="AE61" s="1281"/>
      <c r="AF61" s="1281"/>
      <c r="AG61" s="1281"/>
      <c r="AH61" s="1281"/>
      <c r="AI61" s="1281"/>
      <c r="AJ61" s="1281"/>
      <c r="AK61" s="1281"/>
    </row>
    <row r="62" spans="1:37" s="1280" customFormat="1" ht="36.75">
      <c r="A62" s="2329" t="s">
        <v>2768</v>
      </c>
      <c r="B62" s="2334" t="s">
        <v>2769</v>
      </c>
      <c r="C62" s="2234" t="s">
        <v>3106</v>
      </c>
      <c r="D62" s="1196">
        <f t="shared" si="15"/>
        <v>0</v>
      </c>
      <c r="E62" s="761"/>
      <c r="F62" s="2000"/>
      <c r="G62" s="1194">
        <f t="shared" si="20"/>
        <v>3.0000000000000001E-3</v>
      </c>
      <c r="H62" s="1198">
        <f t="shared" si="16"/>
        <v>3.0000000000000001E-3</v>
      </c>
      <c r="I62" s="759">
        <v>0.04</v>
      </c>
      <c r="J62" s="1195">
        <f t="shared" si="17"/>
        <v>6.0000000000000001E-3</v>
      </c>
      <c r="K62" s="1195">
        <f t="shared" si="18"/>
        <v>3.0000000000000001E-3</v>
      </c>
      <c r="L62" s="1195">
        <v>0</v>
      </c>
      <c r="M62" s="1195">
        <f t="shared" si="19"/>
        <v>-3.0000000000000001E-3</v>
      </c>
      <c r="N62" s="1195">
        <f t="shared" si="19"/>
        <v>-6.0000000000000001E-3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3106</v>
      </c>
      <c r="D63" s="1196">
        <f t="shared" si="15"/>
        <v>0</v>
      </c>
      <c r="E63" s="761"/>
      <c r="F63" s="2000"/>
      <c r="G63" s="1194">
        <f t="shared" si="20"/>
        <v>3.7000000000000002E-3</v>
      </c>
      <c r="H63" s="1198">
        <f t="shared" si="16"/>
        <v>3.7000000000000002E-3</v>
      </c>
      <c r="I63" s="759">
        <v>0.05</v>
      </c>
      <c r="J63" s="1195">
        <f t="shared" si="17"/>
        <v>7.4000000000000003E-3</v>
      </c>
      <c r="K63" s="1195">
        <f t="shared" si="18"/>
        <v>3.7000000000000002E-3</v>
      </c>
      <c r="L63" s="1195">
        <v>0</v>
      </c>
      <c r="M63" s="1195">
        <f t="shared" si="19"/>
        <v>-3.7000000000000002E-3</v>
      </c>
      <c r="N63" s="1195">
        <f t="shared" si="19"/>
        <v>-7.4000000000000003E-3</v>
      </c>
      <c r="AA63" s="1281"/>
      <c r="AB63" s="1281"/>
      <c r="AC63" s="1281"/>
      <c r="AD63" s="1281"/>
      <c r="AE63" s="1281"/>
      <c r="AF63" s="1281"/>
      <c r="AG63" s="1281"/>
      <c r="AH63" s="1281"/>
      <c r="AI63" s="1281"/>
      <c r="AJ63" s="1281"/>
      <c r="AK63" s="1281"/>
    </row>
    <row r="64" spans="1:37" s="1280" customFormat="1" ht="24">
      <c r="A64" s="2329" t="s">
        <v>2771</v>
      </c>
      <c r="B64" s="2335" t="s">
        <v>2772</v>
      </c>
      <c r="C64" s="2234" t="s">
        <v>3107</v>
      </c>
      <c r="D64" s="1196">
        <f t="shared" si="15"/>
        <v>3.7000000000000002E-3</v>
      </c>
      <c r="E64" s="761"/>
      <c r="F64" s="2000"/>
      <c r="G64" s="1194">
        <f t="shared" si="20"/>
        <v>3.7000000000000002E-3</v>
      </c>
      <c r="H64" s="1198">
        <f t="shared" si="16"/>
        <v>3.7000000000000002E-3</v>
      </c>
      <c r="I64" s="759">
        <v>0.05</v>
      </c>
      <c r="J64" s="1195">
        <f t="shared" si="17"/>
        <v>7.4000000000000003E-3</v>
      </c>
      <c r="K64" s="1195">
        <f t="shared" si="18"/>
        <v>3.7000000000000002E-3</v>
      </c>
      <c r="L64" s="1195">
        <v>0</v>
      </c>
      <c r="M64" s="1195">
        <f t="shared" si="19"/>
        <v>-3.7000000000000002E-3</v>
      </c>
      <c r="N64" s="1195">
        <f t="shared" si="19"/>
        <v>-7.4000000000000003E-3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3105</v>
      </c>
      <c r="D65" s="1196">
        <f t="shared" si="15"/>
        <v>-4.4999999999999997E-3</v>
      </c>
      <c r="E65" s="761"/>
      <c r="F65" s="2000"/>
      <c r="G65" s="1194">
        <f t="shared" si="20"/>
        <v>4.4999999999999997E-3</v>
      </c>
      <c r="H65" s="1198">
        <f t="shared" si="16"/>
        <v>4.4999999999999997E-3</v>
      </c>
      <c r="I65" s="759">
        <v>0.06</v>
      </c>
      <c r="J65" s="1195">
        <f t="shared" si="17"/>
        <v>8.9999999999999993E-3</v>
      </c>
      <c r="K65" s="1195">
        <f t="shared" si="18"/>
        <v>4.4999999999999997E-3</v>
      </c>
      <c r="L65" s="1195">
        <v>0</v>
      </c>
      <c r="M65" s="1195">
        <f t="shared" si="19"/>
        <v>-4.4999999999999997E-3</v>
      </c>
      <c r="N65" s="1195">
        <f t="shared" si="19"/>
        <v>-8.9999999999999993E-3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3106</v>
      </c>
      <c r="D66" s="1196">
        <f t="shared" si="15"/>
        <v>0</v>
      </c>
      <c r="E66" s="761"/>
      <c r="F66" s="2000"/>
      <c r="G66" s="1194">
        <f t="shared" si="20"/>
        <v>8.9999999999999993E-3</v>
      </c>
      <c r="H66" s="1198">
        <f t="shared" si="16"/>
        <v>8.9999999999999993E-3</v>
      </c>
      <c r="I66" s="759">
        <v>0.12</v>
      </c>
      <c r="J66" s="1195">
        <f t="shared" si="17"/>
        <v>1.7999999999999999E-2</v>
      </c>
      <c r="K66" s="1195">
        <f t="shared" si="18"/>
        <v>8.9999999999999993E-3</v>
      </c>
      <c r="L66" s="1195">
        <v>0</v>
      </c>
      <c r="M66" s="1195">
        <f t="shared" si="19"/>
        <v>-8.9999999999999993E-3</v>
      </c>
      <c r="N66" s="1195">
        <f t="shared" si="19"/>
        <v>-1.7999999999999999E-2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3106</v>
      </c>
      <c r="D67" s="1196">
        <f t="shared" si="15"/>
        <v>0</v>
      </c>
      <c r="E67" s="764"/>
      <c r="F67" s="2000"/>
      <c r="G67" s="1194">
        <f t="shared" si="20"/>
        <v>4.4999999999999997E-3</v>
      </c>
      <c r="H67" s="1198">
        <f t="shared" si="16"/>
        <v>4.4999999999999997E-3</v>
      </c>
      <c r="I67" s="763">
        <v>0.06</v>
      </c>
      <c r="J67" s="1195">
        <f t="shared" si="17"/>
        <v>8.9999999999999993E-3</v>
      </c>
      <c r="K67" s="1195">
        <f t="shared" si="18"/>
        <v>4.4999999999999997E-3</v>
      </c>
      <c r="L67" s="1195">
        <v>0</v>
      </c>
      <c r="M67" s="1195">
        <f t="shared" si="19"/>
        <v>-4.4999999999999997E-3</v>
      </c>
      <c r="N67" s="1195">
        <f t="shared" si="19"/>
        <v>-8.9999999999999993E-3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2415</v>
      </c>
      <c r="K80" s="560" t="s">
        <v>2416</v>
      </c>
      <c r="L80" s="560" t="s">
        <v>2417</v>
      </c>
      <c r="M80" s="560" t="s">
        <v>2418</v>
      </c>
      <c r="N80" s="560" t="s">
        <v>2419</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56" t="s">
        <v>2787</v>
      </c>
      <c r="B90" s="3256"/>
      <c r="C90" s="3256"/>
      <c r="D90" s="3256"/>
      <c r="E90" s="3256"/>
      <c r="F90" s="3256"/>
      <c r="G90" s="3256"/>
      <c r="H90" s="3256"/>
      <c r="I90" s="3256"/>
      <c r="J90" s="3256"/>
      <c r="K90" s="2343"/>
      <c r="L90" s="2343"/>
      <c r="M90" s="2343"/>
      <c r="N90" s="2343"/>
    </row>
    <row r="91" spans="1:37">
      <c r="A91" s="3258" t="s">
        <v>2788</v>
      </c>
      <c r="B91" s="3258" t="s">
        <v>2789</v>
      </c>
      <c r="C91" s="2297" t="s">
        <v>2790</v>
      </c>
      <c r="D91" s="2298"/>
      <c r="E91" s="2298"/>
      <c r="F91" s="2298"/>
      <c r="G91" s="2298"/>
      <c r="H91" s="2298"/>
      <c r="I91" s="2298"/>
      <c r="J91" s="2344"/>
      <c r="K91" s="2345"/>
      <c r="L91" s="2345"/>
      <c r="M91" s="2345"/>
      <c r="N91" s="2345"/>
    </row>
    <row r="92" spans="1:37">
      <c r="A92" s="3258"/>
      <c r="B92" s="3258"/>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259"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6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6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6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6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6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60"/>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6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59" t="s">
        <v>2792</v>
      </c>
      <c r="B101" s="2350" t="s">
        <v>2793</v>
      </c>
      <c r="C101" s="2351">
        <f>$G$3</f>
        <v>3</v>
      </c>
      <c r="D101" s="2351">
        <f t="shared" ref="D101:N101" si="32">$G$3</f>
        <v>3</v>
      </c>
      <c r="E101" s="2351">
        <f t="shared" si="32"/>
        <v>3</v>
      </c>
      <c r="F101" s="2351">
        <f t="shared" si="32"/>
        <v>3</v>
      </c>
      <c r="G101" s="2351">
        <f t="shared" si="32"/>
        <v>3</v>
      </c>
      <c r="H101" s="2351">
        <f t="shared" si="32"/>
        <v>3</v>
      </c>
      <c r="I101" s="2351">
        <f t="shared" si="32"/>
        <v>3</v>
      </c>
      <c r="J101" s="2351">
        <f t="shared" si="32"/>
        <v>3</v>
      </c>
      <c r="K101" s="2351">
        <f t="shared" si="32"/>
        <v>3</v>
      </c>
      <c r="L101" s="2351">
        <f t="shared" si="32"/>
        <v>3</v>
      </c>
      <c r="M101" s="2351">
        <f t="shared" si="32"/>
        <v>3</v>
      </c>
      <c r="N101" s="2351">
        <f t="shared" si="32"/>
        <v>3</v>
      </c>
    </row>
    <row r="102" spans="1:14">
      <c r="A102" s="3260"/>
      <c r="B102" s="2346">
        <v>1</v>
      </c>
      <c r="C102" s="2347">
        <f>1.9362/C101</f>
        <v>0.64539999999999997</v>
      </c>
      <c r="D102" s="2347">
        <f>1.9362/D101</f>
        <v>0.64539999999999997</v>
      </c>
      <c r="E102" s="2347">
        <f>1.8629/E101</f>
        <v>0.62096666666666667</v>
      </c>
      <c r="F102" s="2347">
        <f>1.8629/F101</f>
        <v>0.62096666666666667</v>
      </c>
      <c r="G102" s="2347">
        <f>1.8629/G101</f>
        <v>0.62096666666666667</v>
      </c>
      <c r="H102" s="2347">
        <f>1.8629/H101</f>
        <v>0.62096666666666667</v>
      </c>
      <c r="I102" s="2347">
        <f>1.8629/I101</f>
        <v>0.62096666666666667</v>
      </c>
      <c r="J102" s="2347">
        <f>1.942/J101</f>
        <v>0.64733333333333332</v>
      </c>
      <c r="K102" s="2347">
        <f>1.942/K101</f>
        <v>0.64733333333333332</v>
      </c>
      <c r="L102" s="2347">
        <f>1.942/L101</f>
        <v>0.64733333333333332</v>
      </c>
      <c r="M102" s="2347">
        <f>1.942/M101</f>
        <v>0.64733333333333332</v>
      </c>
      <c r="N102" s="2347">
        <f>1.942/N101</f>
        <v>0.64733333333333332</v>
      </c>
    </row>
    <row r="103" spans="1:14">
      <c r="A103" s="3260"/>
      <c r="B103" s="2346">
        <v>2</v>
      </c>
      <c r="C103" s="2347">
        <f>1.4198/C101</f>
        <v>0.47326666666666667</v>
      </c>
      <c r="D103" s="2347">
        <f>1.4198/D101</f>
        <v>0.47326666666666667</v>
      </c>
      <c r="E103" s="2347">
        <f>1.3372/E101</f>
        <v>0.44573333333333331</v>
      </c>
      <c r="F103" s="2347">
        <f>1.3372/F101</f>
        <v>0.44573333333333331</v>
      </c>
      <c r="G103" s="2347">
        <f>1.3372/G101</f>
        <v>0.44573333333333331</v>
      </c>
      <c r="H103" s="2347">
        <f>1.3372/H101</f>
        <v>0.44573333333333331</v>
      </c>
      <c r="I103" s="2347">
        <f>1.3372/I101</f>
        <v>0.44573333333333331</v>
      </c>
      <c r="J103" s="2347">
        <f>1.2799/J101</f>
        <v>0.42663333333333336</v>
      </c>
      <c r="K103" s="2347">
        <f>1.2799/K101</f>
        <v>0.42663333333333336</v>
      </c>
      <c r="L103" s="2347">
        <f>1.2799/L101</f>
        <v>0.42663333333333336</v>
      </c>
      <c r="M103" s="2347">
        <f>1.2799/M101</f>
        <v>0.42663333333333336</v>
      </c>
      <c r="N103" s="2347">
        <f>1.2799/N101</f>
        <v>0.42663333333333336</v>
      </c>
    </row>
    <row r="104" spans="1:14">
      <c r="A104" s="3260"/>
      <c r="B104" s="2346">
        <v>3</v>
      </c>
      <c r="C104" s="2347">
        <f>1.1594/C101</f>
        <v>0.38646666666666668</v>
      </c>
      <c r="D104" s="2347">
        <f>1.1594/D101</f>
        <v>0.38646666666666668</v>
      </c>
      <c r="E104" s="2347">
        <f>1.0788/E101</f>
        <v>0.35959999999999998</v>
      </c>
      <c r="F104" s="2347">
        <f>1.0788/F101</f>
        <v>0.35959999999999998</v>
      </c>
      <c r="G104" s="2347">
        <f>1.0788/G101</f>
        <v>0.35959999999999998</v>
      </c>
      <c r="H104" s="2347">
        <f>1.0788/H101</f>
        <v>0.35959999999999998</v>
      </c>
      <c r="I104" s="2347">
        <f>1.0788/I101</f>
        <v>0.35959999999999998</v>
      </c>
      <c r="J104" s="2347">
        <f>1.0072/J101</f>
        <v>0.33573333333333338</v>
      </c>
      <c r="K104" s="2347">
        <f>1.0072/K101</f>
        <v>0.33573333333333338</v>
      </c>
      <c r="L104" s="2347">
        <f>1.0072/L101</f>
        <v>0.33573333333333338</v>
      </c>
      <c r="M104" s="2347">
        <f>1.0072/M101</f>
        <v>0.33573333333333338</v>
      </c>
      <c r="N104" s="2347">
        <f>1.0072/N101</f>
        <v>0.33573333333333338</v>
      </c>
    </row>
    <row r="105" spans="1:14">
      <c r="A105" s="3260"/>
      <c r="B105" s="2346">
        <v>4</v>
      </c>
      <c r="C105" s="2347">
        <f>0.9622/C101</f>
        <v>0.32073333333333337</v>
      </c>
      <c r="D105" s="2347">
        <f>0.9622/D101</f>
        <v>0.32073333333333337</v>
      </c>
      <c r="E105" s="2347">
        <f>0.8656/E101</f>
        <v>0.28853333333333336</v>
      </c>
      <c r="F105" s="2347">
        <f>0.8656/F101</f>
        <v>0.28853333333333336</v>
      </c>
      <c r="G105" s="2347">
        <f>0.8656/G101</f>
        <v>0.28853333333333336</v>
      </c>
      <c r="H105" s="2347">
        <f>0.8656/H101</f>
        <v>0.28853333333333336</v>
      </c>
      <c r="I105" s="2347">
        <f>0.8656/I101</f>
        <v>0.28853333333333336</v>
      </c>
      <c r="J105" s="2347">
        <f>0.7525/J101</f>
        <v>0.2508333333333333</v>
      </c>
      <c r="K105" s="2347">
        <f>0.7525/K101</f>
        <v>0.2508333333333333</v>
      </c>
      <c r="L105" s="2347">
        <f>0.7525/L101</f>
        <v>0.2508333333333333</v>
      </c>
      <c r="M105" s="2347">
        <f>0.7525/M101</f>
        <v>0.2508333333333333</v>
      </c>
      <c r="N105" s="2347">
        <f>0.7525/N101</f>
        <v>0.2508333333333333</v>
      </c>
    </row>
    <row r="106" spans="1:14">
      <c r="A106" s="3260"/>
      <c r="B106" s="2346">
        <v>5</v>
      </c>
      <c r="C106" s="2347">
        <f>0.8417/C101</f>
        <v>0.28056666666666669</v>
      </c>
      <c r="D106" s="2347">
        <f>0.8417/D101</f>
        <v>0.28056666666666669</v>
      </c>
      <c r="E106" s="2347">
        <f>0.7371/E101</f>
        <v>0.2457</v>
      </c>
      <c r="F106" s="2347">
        <f>0.7371/F101</f>
        <v>0.2457</v>
      </c>
      <c r="G106" s="2347">
        <f>0.7371/G101</f>
        <v>0.2457</v>
      </c>
      <c r="H106" s="2347">
        <f>0.7371/H101</f>
        <v>0.2457</v>
      </c>
      <c r="I106" s="2347">
        <f>0.7371/I101</f>
        <v>0.2457</v>
      </c>
      <c r="J106" s="2347">
        <f>0.5659/J101</f>
        <v>0.18863333333333332</v>
      </c>
      <c r="K106" s="2347">
        <f>0.5659/K101</f>
        <v>0.18863333333333332</v>
      </c>
      <c r="L106" s="2347">
        <f>0.5659/L101</f>
        <v>0.18863333333333332</v>
      </c>
      <c r="M106" s="2347">
        <f>0.5659/M101</f>
        <v>0.18863333333333332</v>
      </c>
      <c r="N106" s="2347">
        <f>0.5659/N101</f>
        <v>0.18863333333333332</v>
      </c>
    </row>
    <row r="107" spans="1:14">
      <c r="A107" s="3260"/>
      <c r="B107" s="2346">
        <v>6</v>
      </c>
      <c r="C107" s="2347">
        <f>0.7608/C101</f>
        <v>0.25359999999999999</v>
      </c>
      <c r="D107" s="2347">
        <f>0.7608/D101</f>
        <v>0.25359999999999999</v>
      </c>
      <c r="E107" s="2347">
        <f>0.6482/E101</f>
        <v>0.21606666666666666</v>
      </c>
      <c r="F107" s="2347">
        <f>0.6482/F101</f>
        <v>0.21606666666666666</v>
      </c>
      <c r="G107" s="2347">
        <f>0.6482/G101</f>
        <v>0.21606666666666666</v>
      </c>
      <c r="H107" s="2347">
        <f>0.6482/H101</f>
        <v>0.21606666666666666</v>
      </c>
      <c r="I107" s="2347">
        <f>0.6482/I101</f>
        <v>0.21606666666666666</v>
      </c>
      <c r="J107" s="2347">
        <f>0.4525/J101</f>
        <v>0.15083333333333335</v>
      </c>
      <c r="K107" s="2347">
        <f>0.4525/K101</f>
        <v>0.15083333333333335</v>
      </c>
      <c r="L107" s="2347">
        <f>0.4525/L101</f>
        <v>0.15083333333333335</v>
      </c>
      <c r="M107" s="2347">
        <f>0.4525/M101</f>
        <v>0.15083333333333335</v>
      </c>
      <c r="N107" s="2347">
        <f>0.4525/N101</f>
        <v>0.15083333333333335</v>
      </c>
    </row>
    <row r="108" spans="1:14">
      <c r="A108" s="3260"/>
      <c r="B108" s="3262"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61"/>
      <c r="B109" s="3263"/>
      <c r="C109" s="2349">
        <f>(-0.163*(C108^2)-0.59*C108+7617)*(10^(-4))/C101</f>
        <v>0.25390000000000001</v>
      </c>
      <c r="D109" s="2349">
        <f>(-0.163*(D108^2)-0.59*D108+7617)*(10^(-4))/D101</f>
        <v>0.25390000000000001</v>
      </c>
      <c r="E109" s="2349">
        <f>(-0.161*(E108^2)-7.509*E108+6533)*(10^(-4))/E101</f>
        <v>0.21776666666666666</v>
      </c>
      <c r="F109" s="2349">
        <f>(-0.161*(F108^2)-7.509*F108+6533)*(10^(-4))/F101</f>
        <v>0.21776666666666666</v>
      </c>
      <c r="G109" s="2349">
        <f>(-0.161*(G108^2)-7.509*G108+6533)*(10^(-4))/G101</f>
        <v>0.21776666666666666</v>
      </c>
      <c r="H109" s="2349">
        <f>(-0.161*(H108^2)-7.509*H108+6533)*(10^(-4))/H101</f>
        <v>0.21776666666666666</v>
      </c>
      <c r="I109" s="2349">
        <f>(-0.161*(I108^2)-7.509*I108+6533)*(10^(-4))/I101</f>
        <v>0.21776666666666666</v>
      </c>
      <c r="J109" s="2349">
        <f>(-0.214*(J108^2)-21.991*J108+4665)*(10^(-4))/J101</f>
        <v>0.1555</v>
      </c>
      <c r="K109" s="2349">
        <f>(-0.214*(K108^2)-21.991*K108+4665)*(10^(-4))/K101</f>
        <v>0.1555</v>
      </c>
      <c r="L109" s="2349">
        <f>(-0.214*(L108^2)-21.991*L108+4665)*(10^(-4))/L101</f>
        <v>0.1555</v>
      </c>
      <c r="M109" s="2349">
        <f>(-0.214*(M108^2)-21.991*M108+4665)*(10^(-4))/M101</f>
        <v>0.1555</v>
      </c>
      <c r="N109" s="2349">
        <f>(-0.214*(N108^2)-21.991*N108+4665)*(10^(-4))/N101</f>
        <v>0.1555</v>
      </c>
    </row>
    <row r="110" spans="1:14">
      <c r="A110" s="3257" t="s">
        <v>2795</v>
      </c>
      <c r="B110" s="3257"/>
      <c r="C110" s="3257"/>
      <c r="D110" s="3257"/>
      <c r="E110" s="3257"/>
      <c r="F110" s="3257"/>
      <c r="G110" s="3257"/>
      <c r="H110" s="3257"/>
      <c r="I110" s="3257"/>
      <c r="J110" s="3257"/>
      <c r="K110" s="2352"/>
      <c r="L110" s="2352"/>
      <c r="M110" s="2352"/>
      <c r="N110" s="2352"/>
    </row>
    <row r="112" spans="1:14" ht="13.5" thickBot="1"/>
    <row r="113" spans="1:13" ht="25.5" thickBot="1">
      <c r="A113" s="842" t="s">
        <v>2796</v>
      </c>
      <c r="B113" s="1197">
        <f>G3</f>
        <v>3</v>
      </c>
      <c r="C113" s="843" t="s">
        <v>2797</v>
      </c>
      <c r="D113" s="844">
        <f>SUMPRODUCT((A115:A118=F113)*(B114:M114=H113)*B115:M118)</f>
        <v>0.72740000000000005</v>
      </c>
      <c r="E113" s="2188" t="s">
        <v>2632</v>
      </c>
      <c r="F113" s="2354" t="str">
        <f>E2</f>
        <v>办公</v>
      </c>
      <c r="G113" s="2188" t="s">
        <v>2633</v>
      </c>
      <c r="H113" s="2354" t="str">
        <f>G2</f>
        <v>十级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2697</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2698</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2699</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C9" sqref="C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4"/>
      <c r="F1" s="3034"/>
      <c r="G1" s="2897"/>
      <c r="H1" s="3034"/>
      <c r="I1" s="3034"/>
      <c r="J1" s="3034"/>
      <c r="K1" s="3035">
        <f>MATCH(C1,'数据-取费表'!A6:A16,0)+5</f>
        <v>7</v>
      </c>
    </row>
    <row r="2" spans="1:33" ht="18" customHeight="1">
      <c r="A2" s="207" t="s">
        <v>2148</v>
      </c>
      <c r="B2" s="210">
        <f ca="1">C32</f>
        <v>51259</v>
      </c>
      <c r="C2" s="282" t="s">
        <v>2281</v>
      </c>
      <c r="D2" s="282"/>
      <c r="E2" s="3034"/>
      <c r="F2" s="3034"/>
      <c r="G2" s="3034"/>
      <c r="H2" s="3034"/>
      <c r="I2" s="3034"/>
      <c r="J2" s="3034"/>
      <c r="K2" s="3034"/>
    </row>
    <row r="3" spans="1:33" ht="18" customHeight="1" thickBot="1">
      <c r="A3" s="209" t="s">
        <v>2150</v>
      </c>
      <c r="B3" s="210">
        <f ca="1">ROUND(B2*10000/IF(C1="",'数据-汇总表'!E3,INDIRECT("'数据-取费表'!K"&amp;$K$1)),0)</f>
        <v>6831</v>
      </c>
      <c r="C3" s="282" t="s">
        <v>2282</v>
      </c>
      <c r="D3" s="282"/>
      <c r="E3" s="3034"/>
      <c r="F3" s="3034"/>
      <c r="G3" s="3034"/>
      <c r="H3" s="3034"/>
      <c r="I3" s="3034"/>
      <c r="J3" s="3034"/>
      <c r="K3" s="3034"/>
    </row>
    <row r="4" spans="1:33" s="893" customFormat="1" ht="16.5" customHeight="1">
      <c r="A4" s="890" t="s">
        <v>2283</v>
      </c>
      <c r="B4" s="891"/>
      <c r="C4" s="933">
        <f ca="1">SUM(C8:K8)</f>
        <v>60399</v>
      </c>
      <c r="D4" s="891"/>
      <c r="E4" s="891"/>
      <c r="F4" s="891"/>
      <c r="G4" s="891"/>
      <c r="H4" s="891"/>
      <c r="I4" s="891"/>
      <c r="J4" s="891"/>
      <c r="K4" s="892"/>
    </row>
    <row r="5" spans="1:33" s="897" customFormat="1" ht="15">
      <c r="A5" s="894" t="s">
        <v>2284</v>
      </c>
      <c r="B5" s="895" t="s">
        <v>2285</v>
      </c>
      <c r="C5" s="2046" t="s">
        <v>3085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8402</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71887.839999999997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f ca="1">收益法!B2</f>
        <v>60399</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2444</v>
      </c>
      <c r="D11" s="910"/>
      <c r="E11" s="335"/>
      <c r="F11" s="911">
        <f ca="1">1-IF('数据-取费表'!B24=0,1,IF(C1="",'数据-取费表'!N16,INDIRECT("'数据-取费表'!n"&amp;$K$1)))</f>
        <v>9.9999999999999978E-2</v>
      </c>
      <c r="G11" s="8"/>
      <c r="H11" s="905"/>
      <c r="I11" s="905"/>
      <c r="J11" s="905"/>
      <c r="K11" s="906"/>
    </row>
    <row r="12" spans="1:33" s="912" customFormat="1" ht="13.5" customHeight="1">
      <c r="A12" s="908" t="s">
        <v>1301</v>
      </c>
      <c r="B12" s="909" t="s">
        <v>2299</v>
      </c>
      <c r="C12" s="24">
        <f ca="1">ROUND(C11*F12,0)</f>
        <v>98</v>
      </c>
      <c r="D12" s="910"/>
      <c r="E12" s="335"/>
      <c r="F12" s="913">
        <f>'数据-取费表'!B33</f>
        <v>0.04</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150</v>
      </c>
      <c r="D14" s="955">
        <f ca="1">IF(C1="",'数据-汇总表'!E3,INDIRECT("'数据-取费表'!K"&amp;$K$1)+INDIRECT("'数据-取费表'!S"&amp;$K$1))</f>
        <v>75038.94</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37</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2729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75038.94</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2313</v>
      </c>
      <c r="C20" s="24">
        <f ca="1">ROUND(D20*E20/10000,0)</f>
        <v>1501</v>
      </c>
      <c r="D20" s="955">
        <f ca="1">IF(C1="",'数据-汇总表'!E6,IF(INDIRECT("'数据-取费表'!c"&amp;$K$1)="住宅",INDIRECT("'数据-取费表'!s"&amp;$K$1),INDIRECT("'数据-取费表'!k"&amp;$K$1)+INDIRECT("'数据-取费表'!s"&amp;$K$1)))</f>
        <v>75038.94</v>
      </c>
      <c r="E20" s="24">
        <f>'数据-取费表'!B28</f>
        <v>200</v>
      </c>
      <c r="F20" s="913"/>
      <c r="G20" s="15"/>
      <c r="H20" s="918"/>
      <c r="I20" s="918"/>
      <c r="J20" s="918"/>
      <c r="K20" s="919"/>
    </row>
    <row r="21" spans="1:33" s="912" customFormat="1" ht="13.5" customHeight="1">
      <c r="A21" s="898" t="s">
        <v>802</v>
      </c>
      <c r="B21" s="922" t="s">
        <v>2314</v>
      </c>
      <c r="C21" s="923">
        <f ca="1">C16+C17+C18</f>
        <v>2729</v>
      </c>
      <c r="D21" s="924"/>
      <c r="E21" s="287"/>
      <c r="F21" s="287"/>
      <c r="G21" s="136" t="s">
        <v>2315</v>
      </c>
      <c r="H21" s="916"/>
      <c r="I21" s="916"/>
      <c r="J21" s="916"/>
      <c r="K21" s="917"/>
    </row>
    <row r="22" spans="1:33" s="912" customFormat="1" ht="13.5" customHeight="1">
      <c r="A22" s="898" t="s">
        <v>2287</v>
      </c>
      <c r="B22" s="922" t="s">
        <v>2316</v>
      </c>
      <c r="C22" s="923">
        <f ca="1">ROUND(C21*F22,0)</f>
        <v>55</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121</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12</v>
      </c>
      <c r="D25" s="286">
        <f ca="1">C26</f>
        <v>8.8000000000000005E-3</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8.8000000000000005E-3</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12</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2327</v>
      </c>
      <c r="B28" s="2051" t="s">
        <v>2328</v>
      </c>
      <c r="C28" s="293">
        <f ca="1">C30</f>
        <v>378</v>
      </c>
      <c r="D28" s="286">
        <f ca="1">C29</f>
        <v>1.34E-2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1.34E-2</v>
      </c>
      <c r="D29" s="290"/>
      <c r="E29" s="291"/>
      <c r="F29" s="296"/>
      <c r="G29" s="136" t="s">
        <v>2330</v>
      </c>
      <c r="H29" s="916"/>
      <c r="I29" s="916"/>
      <c r="J29" s="916"/>
      <c r="K29" s="917"/>
    </row>
    <row r="30" spans="1:33" s="297" customFormat="1" ht="13.5" customHeight="1">
      <c r="A30" s="908" t="s">
        <v>804</v>
      </c>
      <c r="B30" s="931" t="s">
        <v>2331</v>
      </c>
      <c r="C30" s="298">
        <f ca="1">ROUND((C21+C22+C23)*F28,0)</f>
        <v>378</v>
      </c>
      <c r="D30" s="290"/>
      <c r="E30" s="291"/>
      <c r="F30" s="296"/>
      <c r="G30" s="136"/>
      <c r="H30" s="916"/>
      <c r="I30" s="916"/>
      <c r="J30" s="916"/>
      <c r="K30" s="917"/>
    </row>
    <row r="31" spans="1:33" s="912" customFormat="1" ht="13.5" customHeight="1" thickBot="1">
      <c r="A31" s="2052" t="s">
        <v>2332</v>
      </c>
      <c r="B31" s="942" t="s">
        <v>2333</v>
      </c>
      <c r="C31" s="943">
        <f ca="1">ROUND(C4*F31/(1+'数据-取费表'!C42),0)</f>
        <v>3221</v>
      </c>
      <c r="D31" s="944"/>
      <c r="E31" s="945"/>
      <c r="F31" s="946">
        <f>'数据-取费表'!B41</f>
        <v>5.6000000000000001E-2</v>
      </c>
      <c r="G31" s="947" t="s">
        <v>2334</v>
      </c>
      <c r="H31" s="948"/>
      <c r="I31" s="948"/>
      <c r="J31" s="948"/>
      <c r="K31" s="949"/>
    </row>
    <row r="32" spans="1:33" s="907" customFormat="1" ht="13.5" customHeight="1" thickBot="1">
      <c r="A32" s="937" t="s">
        <v>2335</v>
      </c>
      <c r="B32" s="938"/>
      <c r="C32" s="939">
        <f ca="1">ROUND((C4-C21-C22-C23-C25-C28-C31)/(1+C24+D25+D28),0)</f>
        <v>51259</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E19" sqref="E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3085</v>
      </c>
      <c r="D1" s="1546" t="s">
        <v>3092</v>
      </c>
      <c r="E1" s="1547" t="s">
        <v>1352</v>
      </c>
      <c r="F1" s="1193">
        <f ca="1">J53</f>
        <v>47.459999999999994</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60399</v>
      </c>
      <c r="C2" s="1571" t="s">
        <v>1481</v>
      </c>
      <c r="D2" s="1571"/>
      <c r="E2" s="1572"/>
      <c r="F2" s="1573"/>
      <c r="G2" s="2932"/>
      <c r="H2" s="2921"/>
      <c r="I2" s="2921"/>
      <c r="J2" s="2921"/>
      <c r="K2" s="2922"/>
      <c r="L2" s="2921"/>
      <c r="M2" s="2921"/>
    </row>
    <row r="3" spans="1:37" ht="18" customHeight="1" thickBot="1">
      <c r="A3" s="1574" t="s">
        <v>1482</v>
      </c>
      <c r="B3" s="1575">
        <f ca="1">IF(ISERROR(B2*10000/F43),0,ROUND(B2*10000/F43,0))</f>
        <v>8402</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3546</v>
      </c>
      <c r="D5" s="1548" t="s">
        <v>1367</v>
      </c>
      <c r="E5" s="1203"/>
      <c r="F5" s="1204"/>
      <c r="G5" s="1568"/>
      <c r="H5" s="305">
        <v>1</v>
      </c>
      <c r="I5" s="306" t="s">
        <v>1366</v>
      </c>
      <c r="J5" s="1202">
        <f ca="1">J6+J10+J12</f>
        <v>0</v>
      </c>
      <c r="K5" s="1548" t="s">
        <v>1367</v>
      </c>
      <c r="L5" s="1203"/>
      <c r="M5" s="1204"/>
    </row>
    <row r="6" spans="1:37" ht="18" customHeight="1">
      <c r="A6" s="1201" t="s">
        <v>1003</v>
      </c>
      <c r="B6" s="3282" t="s">
        <v>1368</v>
      </c>
      <c r="C6" s="1206">
        <f ca="1">ROUND(F6*F8*F7*(1-F9)/10000,0)</f>
        <v>3542</v>
      </c>
      <c r="D6" s="160" t="s">
        <v>2846</v>
      </c>
      <c r="E6" s="308" t="s">
        <v>1370</v>
      </c>
      <c r="F6" s="309">
        <f ca="1">INDIRECT("'数据-取费表'!u"&amp;$G$1)</f>
        <v>1.5</v>
      </c>
      <c r="G6" s="1568"/>
      <c r="H6" s="1201" t="s">
        <v>1003</v>
      </c>
      <c r="I6" s="3282" t="s">
        <v>1368</v>
      </c>
      <c r="J6" s="307">
        <f ca="1">ROUND(M6*M8*M7*(1-M9)/10000,0)</f>
        <v>0</v>
      </c>
      <c r="K6" s="160" t="s">
        <v>2845</v>
      </c>
      <c r="L6" s="308" t="s">
        <v>1370</v>
      </c>
      <c r="M6" s="309">
        <f ca="1">INDIRECT("'数据-取费表'!z"&amp;$G$1)</f>
        <v>0</v>
      </c>
    </row>
    <row r="7" spans="1:37" ht="18" customHeight="1">
      <c r="A7" s="1205"/>
      <c r="B7" s="3283"/>
      <c r="C7" s="1207"/>
      <c r="D7" s="313"/>
      <c r="E7" s="1208" t="s">
        <v>1371</v>
      </c>
      <c r="F7" s="309">
        <f ca="1">IF(INDIRECT("'数据-取费表'!ah"&amp;$G$1)="",INDIRECT("'数据-取费表'!k"&amp;$G$1),INDIRECT("'数据-取费表'!ah"&amp;$G$1))</f>
        <v>71887.839999999997</v>
      </c>
      <c r="G7" s="1568"/>
      <c r="H7" s="310"/>
      <c r="I7" s="3283"/>
      <c r="J7" s="312"/>
      <c r="K7" s="313"/>
      <c r="L7" s="308" t="s">
        <v>1371</v>
      </c>
      <c r="M7" s="309">
        <f ca="1">F7</f>
        <v>71887.839999999997</v>
      </c>
    </row>
    <row r="8" spans="1:37" ht="18" customHeight="1">
      <c r="A8" s="310"/>
      <c r="B8" s="3283"/>
      <c r="C8" s="312"/>
      <c r="D8" s="313"/>
      <c r="E8" s="308" t="s">
        <v>1372</v>
      </c>
      <c r="F8" s="309">
        <f ca="1">INDIRECT("'数据-取费表'!ai"&amp;$G$1)</f>
        <v>365</v>
      </c>
      <c r="G8" s="1568"/>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8"/>
      <c r="H9" s="310"/>
      <c r="I9" s="3284"/>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2854</v>
      </c>
      <c r="E10" s="319" t="s">
        <v>1375</v>
      </c>
      <c r="F10" s="1276" t="s">
        <v>3093</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35380</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24442</v>
      </c>
      <c r="D14" s="1529" t="s">
        <v>1383</v>
      </c>
      <c r="E14" s="1526"/>
      <c r="F14" s="325"/>
      <c r="G14" s="1568"/>
      <c r="H14" s="1113" t="s">
        <v>1003</v>
      </c>
      <c r="I14" s="308" t="s">
        <v>1384</v>
      </c>
      <c r="J14" s="24">
        <f ca="1">C29</f>
        <v>35380</v>
      </c>
      <c r="K14" s="15"/>
      <c r="L14" s="916"/>
      <c r="M14" s="917"/>
    </row>
    <row r="15" spans="1:37" s="1581" customFormat="1" ht="18" customHeight="1" thickBot="1">
      <c r="A15" s="1113" t="s">
        <v>1004</v>
      </c>
      <c r="B15" s="308" t="s">
        <v>1385</v>
      </c>
      <c r="C15" s="24">
        <f ca="1">ROUND(C14*F15,0)</f>
        <v>978</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725</v>
      </c>
      <c r="K16" s="1247" t="s">
        <v>1390</v>
      </c>
      <c r="L16" s="1248"/>
      <c r="M16" s="1204"/>
    </row>
    <row r="17" spans="1:37" s="1581" customFormat="1" ht="18" customHeight="1">
      <c r="A17" s="1113" t="s">
        <v>1355</v>
      </c>
      <c r="B17" s="308" t="s">
        <v>1391</v>
      </c>
      <c r="C17" s="24">
        <f ca="1">ROUND(F17*(F43+INDIRECT("'数据-取费表'!S"&amp;$G$1))/10000,0)</f>
        <v>1501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300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367</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27288</v>
      </c>
      <c r="D19" s="136" t="s">
        <v>1401</v>
      </c>
      <c r="E19" s="1544"/>
      <c r="F19" s="26"/>
      <c r="G19" s="1568"/>
      <c r="H19" s="1113" t="s">
        <v>1004</v>
      </c>
      <c r="I19" s="308" t="s">
        <v>1402</v>
      </c>
      <c r="J19" s="24">
        <f ca="1">IF(K19="按租金收入计税",ROUND(J6*M19/(1+'数据-取费表'!C42),2),ROUND(C29*M19*0.7,2))</f>
        <v>297.19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546</v>
      </c>
      <c r="D20" s="329" t="s">
        <v>1405</v>
      </c>
      <c r="E20" s="308" t="s">
        <v>1387</v>
      </c>
      <c r="F20" s="328">
        <f>'数据-取费表'!B37</f>
        <v>0.02</v>
      </c>
      <c r="G20" s="1580"/>
      <c r="H20" s="1113" t="s">
        <v>1354</v>
      </c>
      <c r="I20" s="160" t="s">
        <v>1406</v>
      </c>
      <c r="J20" s="25">
        <f ca="1">ROUND(M20*M21/10000,2)</f>
        <v>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17679.96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424.6</v>
      </c>
      <c r="K22" s="1528" t="s">
        <v>1415</v>
      </c>
      <c r="L22" s="308" t="s">
        <v>1387</v>
      </c>
      <c r="M22" s="334">
        <f ca="1">INDIRECT("'数据-取费表'!Ak"&amp;$G$1)</f>
        <v>1.2E-2</v>
      </c>
    </row>
    <row r="23" spans="1:37" s="1581" customFormat="1" ht="18" customHeight="1">
      <c r="A23" s="1113" t="s">
        <v>1002</v>
      </c>
      <c r="B23" s="308" t="s">
        <v>1416</v>
      </c>
      <c r="C23" s="24">
        <f ca="1">IF('数据-取费表'!B22&lt;=1,ROUND(C19*F24*F23/2,0)+ROUND(C20*F24*F23/2,0),ROUND(C19*(POWER((1+F24),F23/2)-1),0)+ROUND(C20*(POWER((1+F24),F23/2)-1),0))</f>
        <v>1211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1.2E-2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-725</v>
      </c>
      <c r="K25" s="1255" t="s">
        <v>1429</v>
      </c>
      <c r="L25" s="1256"/>
      <c r="M25" s="1257"/>
    </row>
    <row r="26" spans="1:37">
      <c r="A26" s="1113" t="s">
        <v>1002</v>
      </c>
      <c r="B26" s="308" t="s">
        <v>1430</v>
      </c>
      <c r="C26" s="24">
        <f ca="1">ROUND((C19+C20)*F26,0)</f>
        <v>3618</v>
      </c>
      <c r="D26" s="329" t="s">
        <v>1431</v>
      </c>
      <c r="E26" s="319" t="s">
        <v>1432</v>
      </c>
      <c r="F26" s="318">
        <f ca="1">INDIRECT("'数据-取费表'!q"&amp;$G$1)</f>
        <v>0.13</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2.5999999999999999E-3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35380</v>
      </c>
      <c r="D29" s="1252"/>
      <c r="E29" s="1250"/>
      <c r="F29" s="1253"/>
      <c r="G29" s="1580"/>
      <c r="H29" s="340" t="s">
        <v>1001</v>
      </c>
      <c r="I29" s="341" t="s">
        <v>1444</v>
      </c>
      <c r="J29" s="342">
        <f ca="1">ROUND(J26/(1+F40)^F41,0)</f>
        <v>0</v>
      </c>
      <c r="K29" s="343" t="s">
        <v>1445</v>
      </c>
      <c r="L29" s="344"/>
      <c r="M29" s="345">
        <f ca="1">INDIRECT("'数据-取费表'!k"&amp;$G$1)</f>
        <v>71887.839999999997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1116</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596</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8"/>
      <c r="L31" s="2924"/>
      <c r="M31" s="2925"/>
    </row>
    <row r="32" spans="1:37" ht="18" customHeight="1">
      <c r="A32" s="1113" t="s">
        <v>1002</v>
      </c>
      <c r="B32" s="308" t="s">
        <v>1398</v>
      </c>
      <c r="C32" s="24">
        <f ca="1">IF(项目基本情况!B11="自然人","——",ROUND(C6*F32/(1+'数据-取费表'!C42),2))</f>
        <v>188.91</v>
      </c>
      <c r="D32" s="1528" t="s">
        <v>1399</v>
      </c>
      <c r="E32" s="308" t="s">
        <v>1387</v>
      </c>
      <c r="F32" s="337">
        <f>'数据-取费表'!B41</f>
        <v>5.6000000000000001E-2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404.8</v>
      </c>
      <c r="D33" s="1554" t="s">
        <v>3094</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2.65</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17679.96</v>
      </c>
      <c r="G35" s="1568"/>
      <c r="H35" s="2923"/>
      <c r="I35" s="1582"/>
      <c r="J35" s="1583"/>
      <c r="K35" s="2927"/>
      <c r="L35" s="2926"/>
      <c r="M35" s="2926"/>
    </row>
    <row r="36" spans="1:18" ht="18" customHeight="1">
      <c r="A36" s="1262" t="s">
        <v>1007</v>
      </c>
      <c r="B36" s="308" t="s">
        <v>1414</v>
      </c>
      <c r="C36" s="24">
        <f ca="1">ROUND(C29*F36,1)</f>
        <v>424.6</v>
      </c>
      <c r="D36" s="1528" t="s">
        <v>1447</v>
      </c>
      <c r="E36" s="308" t="s">
        <v>1387</v>
      </c>
      <c r="F36" s="334">
        <f ca="1">INDIRECT("'数据-取费表'!Ak"&amp;$G$1)</f>
        <v>1.2E-2</v>
      </c>
      <c r="G36" s="1568"/>
      <c r="H36" s="2926"/>
      <c r="I36" s="1582"/>
      <c r="J36" s="1583"/>
      <c r="K36" s="2767"/>
      <c r="L36" s="2926"/>
      <c r="M36" s="2926"/>
    </row>
    <row r="37" spans="1:18" ht="18" customHeight="1">
      <c r="A37" s="1113" t="s">
        <v>1043</v>
      </c>
      <c r="B37" s="308" t="s">
        <v>1418</v>
      </c>
      <c r="C37" s="24">
        <f ca="1">ROUND(C13*F37,1)</f>
        <v>53.1</v>
      </c>
      <c r="D37" s="1528" t="s">
        <v>1419</v>
      </c>
      <c r="E37" s="308" t="s">
        <v>1420</v>
      </c>
      <c r="F37" s="336">
        <f ca="1">INDIRECT("'数据-取费表'!Al"&amp;$G$1)</f>
        <v>1.5E-3</v>
      </c>
      <c r="G37" s="1568"/>
      <c r="H37" s="2926"/>
      <c r="I37" s="1582"/>
      <c r="J37" s="1583"/>
      <c r="K37" s="2767"/>
      <c r="L37" s="2926"/>
      <c r="M37" s="2926"/>
    </row>
    <row r="38" spans="1:18" ht="18" customHeight="1" thickBot="1">
      <c r="A38" s="1249" t="s">
        <v>1358</v>
      </c>
      <c r="B38" s="1250" t="s">
        <v>1404</v>
      </c>
      <c r="C38" s="1251">
        <f ca="1">ROUND(C5*F38,1)</f>
        <v>42.6</v>
      </c>
      <c r="D38" s="1252" t="s">
        <v>1424</v>
      </c>
      <c r="E38" s="1250" t="s">
        <v>1420</v>
      </c>
      <c r="F38" s="1246">
        <f ca="1">INDIRECT("'数据-取费表'!Am"&amp;$G$1)</f>
        <v>1.2E-2</v>
      </c>
      <c r="G38" s="1568"/>
      <c r="H38" s="2926"/>
      <c r="I38" s="1582"/>
      <c r="J38" s="1583"/>
      <c r="K38" s="2930"/>
      <c r="L38" s="2926"/>
      <c r="M38" s="2926"/>
    </row>
    <row r="39" spans="1:18" ht="24.6" customHeight="1" thickTop="1">
      <c r="A39" s="1239" t="s">
        <v>999</v>
      </c>
      <c r="B39" s="1254" t="s">
        <v>1448</v>
      </c>
      <c r="C39" s="316">
        <f ca="1">C5-C30</f>
        <v>2430</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60399</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47.459999999999994</v>
      </c>
      <c r="G41" s="1568"/>
      <c r="H41" s="1353"/>
      <c r="I41" s="1582"/>
      <c r="J41" s="1583"/>
      <c r="K41" s="2767"/>
      <c r="L41" s="1353"/>
      <c r="M41" s="1353"/>
    </row>
    <row r="42" spans="1:18" ht="18" customHeight="1">
      <c r="A42" s="314"/>
      <c r="B42" s="315"/>
      <c r="C42" s="316"/>
      <c r="D42" s="333"/>
      <c r="E42" s="308" t="s">
        <v>1442</v>
      </c>
      <c r="F42" s="318">
        <f ca="1">INDIRECT("'数据-取费表'!v"&amp;$G$1)</f>
        <v>2.5000000000000001E-2</v>
      </c>
      <c r="G42" s="1568"/>
      <c r="H42" s="1353"/>
      <c r="I42" s="1582"/>
      <c r="J42" s="1583"/>
      <c r="K42" s="2767"/>
      <c r="L42" s="1353"/>
      <c r="M42" s="1353"/>
    </row>
    <row r="43" spans="1:18" ht="18" customHeight="1" thickBot="1">
      <c r="A43" s="340" t="s">
        <v>1001</v>
      </c>
      <c r="B43" s="341" t="s">
        <v>1452</v>
      </c>
      <c r="C43" s="342">
        <f ca="1">ROUND(C40*10000/F43,0)</f>
        <v>8402</v>
      </c>
      <c r="D43" s="343" t="s">
        <v>1453</v>
      </c>
      <c r="E43" s="344" t="s">
        <v>1454</v>
      </c>
      <c r="F43" s="345">
        <f ca="1">INDIRECT("'数据-取费表'!k"&amp;$G$1)</f>
        <v>71887.839999999997</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-118235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60399</v>
      </c>
      <c r="R47" s="1604" t="s">
        <v>1494</v>
      </c>
    </row>
    <row r="48" spans="1:18" s="1568" customFormat="1" ht="28.5" thickBot="1">
      <c r="A48" s="1270" t="s">
        <v>1103</v>
      </c>
      <c r="B48" s="306" t="s">
        <v>1366</v>
      </c>
      <c r="C48" s="1543">
        <f ca="1">C49+C53+C55</f>
        <v>0</v>
      </c>
      <c r="D48" s="1272"/>
      <c r="E48" s="1273"/>
      <c r="F48" s="1093"/>
      <c r="G48" s="731"/>
      <c r="H48" s="732"/>
      <c r="I48" s="1605" t="s">
        <v>1495</v>
      </c>
      <c r="J48" s="1606" t="s">
        <v>3096</v>
      </c>
      <c r="K48" s="1607" t="s">
        <v>1496</v>
      </c>
      <c r="L48" s="1608">
        <f ca="1">INDIRECT("'数据-取费表'!f"&amp;$G$1)</f>
        <v>47.66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c r="K49" s="1607" t="s">
        <v>1500</v>
      </c>
      <c r="L49" s="1611"/>
      <c r="O49" s="1612" t="s">
        <v>1010</v>
      </c>
      <c r="P49" s="1603" t="s">
        <v>1501</v>
      </c>
      <c r="Q49" s="1604">
        <f ca="1">C29</f>
        <v>35380</v>
      </c>
      <c r="R49" s="1604" t="s">
        <v>1494</v>
      </c>
    </row>
    <row r="50" spans="1:18" s="1568" customFormat="1" ht="13.5" thickBot="1">
      <c r="A50" s="1107"/>
      <c r="B50" s="1110"/>
      <c r="C50" s="1278"/>
      <c r="D50" s="1084"/>
      <c r="E50" s="1187" t="s">
        <v>1371</v>
      </c>
      <c r="F50" s="1188">
        <f ca="1">F7</f>
        <v>71887.839999999997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-10928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47.459999999999994</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47.459999999999994</v>
      </c>
      <c r="K53" s="3280" t="s">
        <v>1513</v>
      </c>
      <c r="L53" s="3281"/>
      <c r="O53" s="1602" t="s">
        <v>1014</v>
      </c>
      <c r="P53" s="1603" t="s">
        <v>1514</v>
      </c>
      <c r="Q53" s="1604">
        <f ca="1">Q47+Q48</f>
        <v>60399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35380</v>
      </c>
      <c r="D56" s="1631"/>
      <c r="E56" s="1632"/>
      <c r="F56" s="1624"/>
      <c r="I56" s="1633" t="s">
        <v>1519</v>
      </c>
      <c r="J56" s="1634" t="s">
        <v>3081</v>
      </c>
      <c r="K56" s="1605" t="s">
        <v>1520</v>
      </c>
      <c r="L56" s="1608" t="str">
        <f ca="1">IF(L48&lt;J51,"——",L48-J53)</f>
        <v>——</v>
      </c>
      <c r="O56" s="1602" t="s">
        <v>1008</v>
      </c>
      <c r="P56" s="1603" t="s">
        <v>1493</v>
      </c>
      <c r="Q56" s="1604">
        <f ca="1">C40+J29</f>
        <v>60399</v>
      </c>
      <c r="R56" s="1604" t="s">
        <v>1494</v>
      </c>
    </row>
    <row r="57" spans="1:18" s="1568" customFormat="1" ht="24.75" thickBot="1">
      <c r="A57" s="1635"/>
      <c r="B57" s="1081" t="s">
        <v>1443</v>
      </c>
      <c r="C57" s="244">
        <f ca="1">C29</f>
        <v>35380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3453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2975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2971.92</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60399</v>
      </c>
      <c r="R62" s="1604" t="s">
        <v>1015</v>
      </c>
    </row>
    <row r="63" spans="1:18" s="1568" customFormat="1" ht="13.5" thickBot="1">
      <c r="A63" s="332"/>
      <c r="B63" s="1087"/>
      <c r="C63" s="29"/>
      <c r="D63" s="1097"/>
      <c r="E63" s="1081" t="s">
        <v>1464</v>
      </c>
      <c r="F63" s="309">
        <f t="shared" ca="1" si="0"/>
        <v>17679.96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424.6</v>
      </c>
      <c r="D64" s="1095" t="s">
        <v>1467</v>
      </c>
      <c r="E64" s="1081" t="s">
        <v>1459</v>
      </c>
      <c r="F64" s="334">
        <f t="shared" ca="1" si="0"/>
        <v>1.2E-2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53.1</v>
      </c>
      <c r="D65" s="1095" t="s">
        <v>1419</v>
      </c>
      <c r="E65" s="1081" t="s">
        <v>1420</v>
      </c>
      <c r="F65" s="336">
        <f t="shared" ca="1" si="0"/>
        <v>1.5E-3</v>
      </c>
      <c r="I65" s="1646" t="s">
        <v>1544</v>
      </c>
      <c r="J65" s="1647">
        <v>40</v>
      </c>
      <c r="K65" s="1647">
        <v>30</v>
      </c>
      <c r="L65" s="1647">
        <v>50</v>
      </c>
      <c r="M65" s="1649">
        <v>0.02</v>
      </c>
      <c r="O65" s="1602" t="s">
        <v>1008</v>
      </c>
      <c r="P65" s="1603" t="s">
        <v>1545</v>
      </c>
      <c r="Q65" s="1604">
        <f ca="1">C40+J29</f>
        <v>60399</v>
      </c>
      <c r="R65" s="1604" t="s">
        <v>1494</v>
      </c>
    </row>
    <row r="66" spans="1:18" s="1568" customFormat="1" ht="16.5" thickBot="1">
      <c r="A66" s="1113" t="s">
        <v>1469</v>
      </c>
      <c r="B66" s="1081" t="s">
        <v>1404</v>
      </c>
      <c r="C66" s="24">
        <f ca="1">ROUND(C48*F66,1)</f>
        <v>0</v>
      </c>
      <c r="D66" s="1095" t="s">
        <v>1470</v>
      </c>
      <c r="E66" s="1081" t="s">
        <v>1387</v>
      </c>
      <c r="F66" s="318">
        <f t="shared" ca="1" si="0"/>
        <v>1.2E-2</v>
      </c>
      <c r="O66" s="1602" t="s">
        <v>1009</v>
      </c>
      <c r="P66" s="1603" t="s">
        <v>1523</v>
      </c>
      <c r="Q66" s="1604">
        <f ca="1">L60</f>
        <v>0</v>
      </c>
      <c r="R66" s="1604" t="s">
        <v>1546</v>
      </c>
    </row>
    <row r="67" spans="1:18" s="1568" customFormat="1" ht="16.5" thickBot="1">
      <c r="A67" s="1088" t="s">
        <v>999</v>
      </c>
      <c r="B67" s="1098" t="s">
        <v>1428</v>
      </c>
      <c r="C67" s="322">
        <f ca="1">C48-C58</f>
        <v>-3453</v>
      </c>
      <c r="D67" s="1094" t="s">
        <v>1429</v>
      </c>
      <c r="E67" s="1099"/>
      <c r="F67" s="1100"/>
      <c r="O67" s="1612" t="s">
        <v>1010</v>
      </c>
      <c r="P67" s="1603" t="s">
        <v>1527</v>
      </c>
      <c r="Q67" s="1650">
        <f ca="1">L51</f>
        <v>-10928</v>
      </c>
      <c r="R67" s="1604" t="s">
        <v>1547</v>
      </c>
    </row>
    <row r="68" spans="1:18" s="1568" customFormat="1" ht="16.5" thickBot="1">
      <c r="A68" s="1078" t="s">
        <v>1000</v>
      </c>
      <c r="B68" s="1079" t="s">
        <v>1450</v>
      </c>
      <c r="C68" s="307">
        <f ca="1">ROUND(C67*(1-((1+F70)/(1+F68))^F69)/(F68-F70),0)</f>
        <v>-57836</v>
      </c>
      <c r="D68" s="1096" t="s">
        <v>1434</v>
      </c>
      <c r="E68" s="1081" t="s">
        <v>1435</v>
      </c>
      <c r="F68" s="318">
        <f ca="1">F40</f>
        <v>5.5E-2</v>
      </c>
      <c r="O68" s="1612" t="s">
        <v>1011</v>
      </c>
      <c r="P68" s="1651" t="s">
        <v>1548</v>
      </c>
      <c r="Q68" s="1604">
        <f ca="1">ROUND(Q69-Q70*Q71,0)</f>
        <v>-577</v>
      </c>
      <c r="R68" s="1604" t="s">
        <v>1019</v>
      </c>
    </row>
    <row r="69" spans="1:18" s="1568" customFormat="1" ht="13.5" thickBot="1">
      <c r="A69" s="1082"/>
      <c r="B69" s="1083"/>
      <c r="C69" s="312"/>
      <c r="D69" s="1101" t="s">
        <v>1438</v>
      </c>
      <c r="E69" s="1081" t="s">
        <v>1439</v>
      </c>
      <c r="F69" s="339">
        <f ca="1">F41</f>
        <v>47.459999999999994</v>
      </c>
      <c r="O69" s="1612" t="s">
        <v>1016</v>
      </c>
      <c r="P69" s="1651" t="s">
        <v>1549</v>
      </c>
      <c r="Q69" s="1604">
        <f ca="1">C39</f>
        <v>2430</v>
      </c>
      <c r="R69" s="1604" t="s">
        <v>1494</v>
      </c>
    </row>
    <row r="70" spans="1:18" s="1568" customFormat="1" ht="13.5" thickBot="1">
      <c r="A70" s="1085"/>
      <c r="B70" s="1086"/>
      <c r="C70" s="316"/>
      <c r="D70" s="1097"/>
      <c r="E70" s="1081" t="s">
        <v>1442</v>
      </c>
      <c r="F70" s="1185"/>
      <c r="O70" s="1612" t="s">
        <v>1017</v>
      </c>
      <c r="P70" s="1651" t="s">
        <v>1550</v>
      </c>
      <c r="Q70" s="1604">
        <f ca="1">C13</f>
        <v>35380</v>
      </c>
      <c r="R70" s="1604" t="s">
        <v>1494</v>
      </c>
    </row>
    <row r="71" spans="1:18" s="1568" customFormat="1" ht="13.5" thickBot="1">
      <c r="A71" s="1102" t="s">
        <v>1001</v>
      </c>
      <c r="B71" s="1103" t="s">
        <v>1452</v>
      </c>
      <c r="C71" s="342">
        <f ca="1">ROUND(C68*10000/F71,0)</f>
        <v>-8045</v>
      </c>
      <c r="D71" s="1104" t="s">
        <v>1453</v>
      </c>
      <c r="E71" s="1105" t="s">
        <v>1454</v>
      </c>
      <c r="F71" s="345">
        <f ca="1">F43</f>
        <v>71887.839999999997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3007</v>
      </c>
      <c r="D75" s="1568"/>
      <c r="E75" s="1568"/>
      <c r="F75" s="1568"/>
      <c r="K75" s="1586"/>
      <c r="L75" s="1568"/>
      <c r="O75" s="1602" t="s">
        <v>1014</v>
      </c>
      <c r="P75" s="1603" t="s">
        <v>1514</v>
      </c>
      <c r="Q75" s="1604">
        <f ca="1">Q65+Q66</f>
        <v>60399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-0.2370000000000001</v>
      </c>
    </row>
    <row r="80" spans="1:18">
      <c r="B80" s="346" t="s">
        <v>1476</v>
      </c>
      <c r="C80" s="280">
        <f ca="1">ROUND(C75/C39,3)</f>
        <v>1.2370000000000001</v>
      </c>
    </row>
    <row r="81" spans="2:3">
      <c r="B81" s="276" t="s">
        <v>1477</v>
      </c>
      <c r="C81" s="244"/>
    </row>
    <row r="82" spans="2:3">
      <c r="B82" s="279" t="s">
        <v>1478</v>
      </c>
      <c r="C82" s="281">
        <f ca="1">1-C83</f>
        <v>0.41400000000000003</v>
      </c>
    </row>
    <row r="83" spans="2:3">
      <c r="B83" s="279" t="s">
        <v>1479</v>
      </c>
      <c r="C83" s="280">
        <f ca="1">ROUND(C13/C40,3)</f>
        <v>0.58599999999999997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-0.19999999999999996</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2" t="s">
        <v>1368</v>
      </c>
      <c r="C6" s="1206">
        <f ca="1">ROUND(F6*F8*F7*(1-F9),0)</f>
        <v>0</v>
      </c>
      <c r="D6" s="160" t="s">
        <v>2843</v>
      </c>
      <c r="E6" s="308" t="s">
        <v>1370</v>
      </c>
      <c r="F6" s="309">
        <f ca="1">INDIRECT("'数据-取费表'!u"&amp;$G$1)</f>
        <v>0</v>
      </c>
      <c r="G6" s="1568"/>
      <c r="H6" s="1201" t="s">
        <v>1003</v>
      </c>
      <c r="I6" s="3282" t="s">
        <v>1368</v>
      </c>
      <c r="J6" s="307">
        <f ca="1">ROUND(M6*M8*M7*(1-M9),0)</f>
        <v>0</v>
      </c>
      <c r="K6" s="1560" t="s">
        <v>2844</v>
      </c>
      <c r="L6" s="308" t="s">
        <v>1370</v>
      </c>
      <c r="M6" s="309">
        <f ca="1">INDIRECT("'数据-取费表'!z"&amp;$G$1)</f>
        <v>0</v>
      </c>
    </row>
    <row r="7" spans="1:37" ht="18" customHeight="1">
      <c r="A7" s="1205"/>
      <c r="B7" s="3283"/>
      <c r="C7" s="1207"/>
      <c r="D7" s="313"/>
      <c r="E7" s="1208" t="s">
        <v>1371</v>
      </c>
      <c r="F7" s="309">
        <f ca="1">IF(INDIRECT("'数据-取费表'!ah"&amp;$G$1)="",INDIRECT("'数据-取费表'!k"&amp;$G$1),INDIRECT("'数据-取费表'!ah"&amp;$G$1))</f>
        <v>0</v>
      </c>
      <c r="G7" s="1568"/>
      <c r="H7" s="310"/>
      <c r="I7" s="3283"/>
      <c r="J7" s="312"/>
      <c r="K7" s="313"/>
      <c r="L7" s="308" t="s">
        <v>1371</v>
      </c>
      <c r="M7" s="309">
        <f ca="1">F7</f>
        <v>0</v>
      </c>
    </row>
    <row r="8" spans="1:37" ht="18" customHeight="1">
      <c r="A8" s="310"/>
      <c r="B8" s="3283"/>
      <c r="C8" s="312"/>
      <c r="D8" s="313"/>
      <c r="E8" s="308" t="s">
        <v>1372</v>
      </c>
      <c r="F8" s="309">
        <f ca="1">INDIRECT("'数据-取费表'!ai"&amp;$G$1)</f>
        <v>0</v>
      </c>
      <c r="G8" s="1568"/>
      <c r="H8" s="310"/>
      <c r="I8" s="3283"/>
      <c r="J8" s="312"/>
      <c r="K8" s="313"/>
      <c r="L8" s="308" t="s">
        <v>1372</v>
      </c>
      <c r="M8" s="309">
        <f ca="1">INDIRECT("'数据-取费表'!ai"&amp;$G$1)</f>
        <v>0</v>
      </c>
    </row>
    <row r="9" spans="1:37" ht="18" customHeight="1">
      <c r="A9" s="310"/>
      <c r="B9" s="3284"/>
      <c r="C9" s="312"/>
      <c r="D9" s="313"/>
      <c r="E9" s="308" t="s">
        <v>1373</v>
      </c>
      <c r="F9" s="318">
        <f ca="1">INDIRECT("'数据-取费表'!w"&amp;$G$1)</f>
        <v>0</v>
      </c>
      <c r="G9" s="1568"/>
      <c r="H9" s="310"/>
      <c r="I9" s="328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3053</v>
      </c>
      <c r="I31" s="1582"/>
      <c r="J31" s="1583"/>
      <c r="K31" s="2698"/>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7"/>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7"/>
      <c r="L41" s="1353"/>
      <c r="M41" s="1353"/>
    </row>
    <row r="42" spans="1:18" ht="18" customHeight="1">
      <c r="A42" s="314"/>
      <c r="B42" s="315"/>
      <c r="C42" s="316"/>
      <c r="D42" s="333"/>
      <c r="E42" s="308" t="s">
        <v>1442</v>
      </c>
      <c r="F42" s="318">
        <f ca="1">INDIRECT("'数据-取费表'!v"&amp;$G$1)</f>
        <v>0</v>
      </c>
      <c r="G42" s="1568"/>
      <c r="H42" s="1353"/>
      <c r="I42" s="1582"/>
      <c r="J42" s="1583"/>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-0.19999999999999996</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-0.19999999999999996</v>
      </c>
      <c r="K53" s="3280" t="s">
        <v>1513</v>
      </c>
      <c r="L53" s="328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2344</v>
      </c>
      <c r="B1" s="2054"/>
      <c r="C1" s="2054"/>
      <c r="D1" s="2054"/>
      <c r="E1" s="2055"/>
      <c r="F1" s="2933"/>
      <c r="G1" s="1674"/>
      <c r="H1" s="1674"/>
      <c r="I1" s="1674"/>
      <c r="J1" s="1674"/>
      <c r="K1" s="1674"/>
      <c r="L1" s="1674"/>
      <c r="M1" s="1674"/>
      <c r="N1" s="1674"/>
      <c r="O1" s="1674"/>
      <c r="P1" s="1674"/>
      <c r="Q1" s="1674"/>
      <c r="R1" s="1674"/>
      <c r="S1" s="1674"/>
    </row>
    <row r="2" spans="1:22" ht="15.75">
      <c r="A2" s="2056" t="s">
        <v>2148</v>
      </c>
      <c r="B2" s="2057">
        <f ca="1">SUMIF(B6:B13,"&lt;&gt;#ref!",B6:B13)</f>
        <v>60399</v>
      </c>
      <c r="C2" s="2058" t="s">
        <v>2337</v>
      </c>
      <c r="D2" s="2059" t="s">
        <v>2338</v>
      </c>
      <c r="E2" s="2830">
        <f>SUM(E6:E13)</f>
        <v>75038.94</v>
      </c>
      <c r="F2" s="2933"/>
      <c r="G2" s="1674"/>
      <c r="H2" s="1674"/>
      <c r="I2" s="1674"/>
      <c r="J2" s="1674"/>
      <c r="K2" s="1674"/>
      <c r="L2" s="1674"/>
      <c r="M2" s="1674"/>
      <c r="N2" s="1674"/>
      <c r="O2" s="1674"/>
      <c r="P2" s="1674"/>
      <c r="Q2" s="1674"/>
      <c r="R2" s="1674"/>
      <c r="S2" s="1674"/>
    </row>
    <row r="3" spans="1:22" ht="15.75">
      <c r="A3" s="2056" t="s">
        <v>1360</v>
      </c>
      <c r="B3" s="2824">
        <f ca="1">ROUND(B2*10000/E2,0)</f>
        <v>8049</v>
      </c>
      <c r="C3" s="2058" t="s">
        <v>2345</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6" t="s">
        <v>2339</v>
      </c>
      <c r="B5" s="3285" t="s">
        <v>2340</v>
      </c>
      <c r="C5" s="3286"/>
      <c r="D5" s="2934"/>
      <c r="E5" s="2060" t="s">
        <v>2341</v>
      </c>
      <c r="F5" s="2061" t="s">
        <v>2342</v>
      </c>
      <c r="G5" s="1674"/>
      <c r="H5" s="1674"/>
      <c r="I5" s="1674"/>
      <c r="J5" s="1674"/>
      <c r="K5" s="1674"/>
      <c r="L5" s="1674"/>
      <c r="M5" s="1674"/>
      <c r="N5" s="1674"/>
      <c r="O5" s="1674"/>
      <c r="P5" s="1674"/>
      <c r="Q5" s="1674"/>
      <c r="R5" s="1674"/>
      <c r="S5" s="1674"/>
    </row>
    <row r="6" spans="1:22">
      <c r="A6" s="2827" t="str">
        <f>'数据-取费表'!AN6</f>
        <v>收益法</v>
      </c>
      <c r="B6" s="2825">
        <f ca="1">IF(F6="是",'数据-取费表'!AO6,0)</f>
        <v>60399</v>
      </c>
      <c r="C6" s="2058" t="s">
        <v>2337</v>
      </c>
      <c r="D6" s="2935"/>
      <c r="E6" s="2829">
        <f>IF(OR(A6=0,F6="否"),0,'数据-取费表'!K6+'数据-取费表'!S6)</f>
        <v>75038.94</v>
      </c>
      <c r="F6" s="2062" t="s">
        <v>2343</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2337</v>
      </c>
      <c r="D7" s="2935"/>
      <c r="E7" s="2829">
        <f>IF(OR(A7=0,F7="否"),0,'数据-取费表'!K7+'数据-取费表'!S7)</f>
        <v>0</v>
      </c>
      <c r="F7" s="2062" t="s">
        <v>2343</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2337</v>
      </c>
      <c r="D8" s="2935"/>
      <c r="E8" s="2829">
        <f>IF(OR(A8=0,F8="否"),0,'数据-取费表'!K8+'数据-取费表'!S8)</f>
        <v>0</v>
      </c>
      <c r="F8" s="2062" t="s">
        <v>2343</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2337</v>
      </c>
      <c r="D9" s="2935"/>
      <c r="E9" s="2829">
        <f>IF(OR(A9=0,F9="否"),0,'数据-取费表'!K9+'数据-取费表'!S9)</f>
        <v>0</v>
      </c>
      <c r="F9" s="2062" t="s">
        <v>2343</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2337</v>
      </c>
      <c r="D10" s="2935"/>
      <c r="E10" s="2829">
        <f>IF(OR(A10=0,F10="否"),0,'数据-取费表'!K10+'数据-取费表'!S10)</f>
        <v>0</v>
      </c>
      <c r="F10" s="2062" t="s">
        <v>2343</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2337</v>
      </c>
      <c r="D11" s="2935"/>
      <c r="E11" s="2829">
        <f>IF(OR(A11=0,F11="否"),0,'数据-取费表'!K11+'数据-取费表'!S11)</f>
        <v>0</v>
      </c>
      <c r="F11" s="2062" t="s">
        <v>2343</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2337</v>
      </c>
      <c r="D12" s="2935"/>
      <c r="E12" s="2829">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2337</v>
      </c>
      <c r="D13" s="2936"/>
      <c r="E13" s="2829">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33" sqref="E33:G33"/>
    </sheetView>
  </sheetViews>
  <sheetFormatPr defaultRowHeight="13.5"/>
  <cols>
    <col min="1" max="1" width="10.5" customWidth="1"/>
    <col min="2" max="2" width="12.875" customWidth="1"/>
    <col min="3" max="3" width="8.75" customWidth="1"/>
  </cols>
  <sheetData>
    <row r="1" spans="1:9" ht="14.25">
      <c r="A1" s="3287" t="s">
        <v>1044</v>
      </c>
      <c r="B1" s="3288"/>
      <c r="C1" s="3289"/>
      <c r="D1" s="3290">
        <f>SUM(I10,I15,I20,I21,I23)</f>
        <v>0</v>
      </c>
      <c r="E1" s="3290"/>
      <c r="F1" s="3290"/>
      <c r="G1" s="3290"/>
      <c r="H1" s="3290"/>
      <c r="I1" s="3291"/>
    </row>
    <row r="2" spans="1:9">
      <c r="A2" s="3292" t="s">
        <v>1045</v>
      </c>
      <c r="B2" s="3293" t="s">
        <v>1046</v>
      </c>
      <c r="C2" s="3293"/>
      <c r="D2" s="1211" t="s">
        <v>1047</v>
      </c>
      <c r="E2" s="1211" t="s">
        <v>1048</v>
      </c>
      <c r="F2" s="1211" t="s">
        <v>1049</v>
      </c>
      <c r="G2" s="1211" t="s">
        <v>1050</v>
      </c>
      <c r="H2" s="1211" t="s">
        <v>1051</v>
      </c>
      <c r="I2" s="1212" t="s">
        <v>1052</v>
      </c>
    </row>
    <row r="3" spans="1:9">
      <c r="A3" s="3292"/>
      <c r="B3" s="3293" t="s">
        <v>1053</v>
      </c>
      <c r="C3" s="3293"/>
      <c r="D3" s="1213"/>
      <c r="E3" s="1211"/>
      <c r="F3" s="1214"/>
      <c r="G3" s="1214"/>
      <c r="H3" s="1215"/>
      <c r="I3" s="1216">
        <f>ROUND(D3*E3*F3*G3*H3/10000,0)</f>
        <v>0</v>
      </c>
    </row>
    <row r="4" spans="1:9">
      <c r="A4" s="3292"/>
      <c r="B4" s="3293" t="s">
        <v>1054</v>
      </c>
      <c r="C4" s="3293"/>
      <c r="D4" s="1213"/>
      <c r="E4" s="1211"/>
      <c r="F4" s="1214"/>
      <c r="G4" s="1214"/>
      <c r="H4" s="1215"/>
      <c r="I4" s="1216">
        <f t="shared" ref="I4:I9" si="0">ROUND(D4*E4*F4*G4*H4/10000,0)</f>
        <v>0</v>
      </c>
    </row>
    <row r="5" spans="1:9">
      <c r="A5" s="3292"/>
      <c r="B5" s="3293" t="s">
        <v>1055</v>
      </c>
      <c r="C5" s="3293"/>
      <c r="D5" s="1213"/>
      <c r="E5" s="1211"/>
      <c r="F5" s="1214"/>
      <c r="G5" s="1214"/>
      <c r="H5" s="1215"/>
      <c r="I5" s="1216">
        <f t="shared" si="0"/>
        <v>0</v>
      </c>
    </row>
    <row r="6" spans="1:9">
      <c r="A6" s="3292"/>
      <c r="B6" s="3293" t="s">
        <v>1056</v>
      </c>
      <c r="C6" s="3293"/>
      <c r="D6" s="1213"/>
      <c r="E6" s="1211"/>
      <c r="F6" s="1214"/>
      <c r="G6" s="1214"/>
      <c r="H6" s="1215"/>
      <c r="I6" s="1216">
        <f t="shared" si="0"/>
        <v>0</v>
      </c>
    </row>
    <row r="7" spans="1:9">
      <c r="A7" s="3292"/>
      <c r="B7" s="3293" t="s">
        <v>1057</v>
      </c>
      <c r="C7" s="3293"/>
      <c r="D7" s="1213"/>
      <c r="E7" s="1211"/>
      <c r="F7" s="1214"/>
      <c r="G7" s="1214"/>
      <c r="H7" s="1215"/>
      <c r="I7" s="1216">
        <f t="shared" si="0"/>
        <v>0</v>
      </c>
    </row>
    <row r="8" spans="1:9">
      <c r="A8" s="3292"/>
      <c r="B8" s="3293" t="s">
        <v>1058</v>
      </c>
      <c r="C8" s="3293"/>
      <c r="D8" s="1213"/>
      <c r="E8" s="1211"/>
      <c r="F8" s="1214"/>
      <c r="G8" s="1214"/>
      <c r="H8" s="1215"/>
      <c r="I8" s="1216">
        <f t="shared" si="0"/>
        <v>0</v>
      </c>
    </row>
    <row r="9" spans="1:9">
      <c r="A9" s="3292"/>
      <c r="B9" s="3293" t="s">
        <v>1059</v>
      </c>
      <c r="C9" s="3293"/>
      <c r="D9" s="1213"/>
      <c r="E9" s="1211"/>
      <c r="F9" s="1214"/>
      <c r="G9" s="1214"/>
      <c r="H9" s="1215"/>
      <c r="I9" s="1216">
        <f t="shared" si="0"/>
        <v>0</v>
      </c>
    </row>
    <row r="10" spans="1:9">
      <c r="A10" s="3292"/>
      <c r="B10" s="3294" t="s">
        <v>1060</v>
      </c>
      <c r="C10" s="3294"/>
      <c r="D10" s="1217"/>
      <c r="E10" s="1217" t="e">
        <f>ROUND(D1*10000/D10/H9,0)</f>
        <v>#DIV/0!</v>
      </c>
      <c r="F10" s="1218"/>
      <c r="G10" s="1218"/>
      <c r="H10" s="1219"/>
      <c r="I10" s="1220">
        <f>SUM(I3:I9)</f>
        <v>0</v>
      </c>
    </row>
    <row r="11" spans="1:9" ht="14.25">
      <c r="A11" s="3292" t="s">
        <v>1061</v>
      </c>
      <c r="B11" s="3293" t="s">
        <v>1062</v>
      </c>
      <c r="C11" s="3293"/>
      <c r="D11" s="1213" t="s">
        <v>1063</v>
      </c>
      <c r="E11" s="1213" t="s">
        <v>1064</v>
      </c>
      <c r="F11" s="1214" t="s">
        <v>1065</v>
      </c>
      <c r="G11" s="1214" t="s">
        <v>1051</v>
      </c>
      <c r="H11" s="1221" t="s">
        <v>1066</v>
      </c>
      <c r="I11" s="1212" t="s">
        <v>1052</v>
      </c>
    </row>
    <row r="12" spans="1:9">
      <c r="A12" s="3292"/>
      <c r="B12" s="3293" t="s">
        <v>1067</v>
      </c>
      <c r="C12" s="3293"/>
      <c r="D12" s="1213"/>
      <c r="E12" s="1213"/>
      <c r="F12" s="1214"/>
      <c r="G12" s="1215"/>
      <c r="H12" s="1222"/>
      <c r="I12" s="1212">
        <f>ROUND(D12*E12*F12*G12/10000,0)</f>
        <v>0</v>
      </c>
    </row>
    <row r="13" spans="1:9">
      <c r="A13" s="3292"/>
      <c r="B13" s="3293" t="s">
        <v>1068</v>
      </c>
      <c r="C13" s="3293"/>
      <c r="D13" s="1213"/>
      <c r="E13" s="1213"/>
      <c r="F13" s="1214"/>
      <c r="G13" s="1215"/>
      <c r="H13" s="1222"/>
      <c r="I13" s="1212">
        <f>ROUND(D13*E13*F13*G13/10000,0)</f>
        <v>0</v>
      </c>
    </row>
    <row r="14" spans="1:9">
      <c r="A14" s="3292"/>
      <c r="B14" s="3293" t="s">
        <v>1069</v>
      </c>
      <c r="C14" s="3293"/>
      <c r="D14" s="1213"/>
      <c r="E14" s="1213"/>
      <c r="F14" s="1214"/>
      <c r="G14" s="1215"/>
      <c r="H14" s="1222"/>
      <c r="I14" s="1212">
        <f>ROUND(D14*E14*F14*G14/10000,0)</f>
        <v>0</v>
      </c>
    </row>
    <row r="15" spans="1:9">
      <c r="A15" s="3292"/>
      <c r="B15" s="3294" t="s">
        <v>1060</v>
      </c>
      <c r="C15" s="3294"/>
      <c r="D15" s="1217"/>
      <c r="E15" s="1217">
        <f>SUM(E12:E14)</f>
        <v>0</v>
      </c>
      <c r="F15" s="1218"/>
      <c r="G15" s="1215"/>
      <c r="H15" s="1222"/>
      <c r="I15" s="1223">
        <f>SUM(I12:I14)</f>
        <v>0</v>
      </c>
    </row>
    <row r="16" spans="1:9" ht="24">
      <c r="A16" s="3292" t="s">
        <v>1070</v>
      </c>
      <c r="B16" s="3293" t="s">
        <v>1071</v>
      </c>
      <c r="C16" s="3293"/>
      <c r="D16" s="1213" t="s">
        <v>1047</v>
      </c>
      <c r="E16" s="1224" t="s">
        <v>1072</v>
      </c>
      <c r="F16" s="1214" t="s">
        <v>1073</v>
      </c>
      <c r="G16" s="1215" t="s">
        <v>1051</v>
      </c>
      <c r="H16" s="1221" t="s">
        <v>1066</v>
      </c>
      <c r="I16" s="1212" t="s">
        <v>1052</v>
      </c>
    </row>
    <row r="17" spans="1:9" ht="14.25">
      <c r="A17" s="3292"/>
      <c r="B17" s="3293" t="s">
        <v>1074</v>
      </c>
      <c r="C17" s="3293"/>
      <c r="D17" s="1213"/>
      <c r="E17" s="1213"/>
      <c r="F17" s="1214"/>
      <c r="G17" s="1215"/>
      <c r="H17" s="1225"/>
      <c r="I17" s="1226">
        <f>ROUND(D17*E17*F17*G17/10000,0)</f>
        <v>0</v>
      </c>
    </row>
    <row r="18" spans="1:9" ht="14.25">
      <c r="A18" s="3292"/>
      <c r="B18" s="3293" t="s">
        <v>1075</v>
      </c>
      <c r="C18" s="3293"/>
      <c r="D18" s="1213"/>
      <c r="E18" s="1213"/>
      <c r="F18" s="1214"/>
      <c r="G18" s="1215"/>
      <c r="H18" s="1225"/>
      <c r="I18" s="1226">
        <f>ROUND(D18*E18*F18*G18/10000,0)</f>
        <v>0</v>
      </c>
    </row>
    <row r="19" spans="1:9" ht="14.25">
      <c r="A19" s="3292"/>
      <c r="B19" s="3293" t="s">
        <v>1076</v>
      </c>
      <c r="C19" s="3293"/>
      <c r="D19" s="1213"/>
      <c r="E19" s="1213"/>
      <c r="F19" s="1214"/>
      <c r="G19" s="1215"/>
      <c r="H19" s="1225"/>
      <c r="I19" s="1226">
        <f>ROUND(D19*E19*F19*G19/10000,0)</f>
        <v>0</v>
      </c>
    </row>
    <row r="20" spans="1:9">
      <c r="A20" s="3292"/>
      <c r="B20" s="3294" t="s">
        <v>1060</v>
      </c>
      <c r="C20" s="3294"/>
      <c r="D20" s="1217">
        <f>SUM(D17:D19)</f>
        <v>0</v>
      </c>
      <c r="E20" s="1217"/>
      <c r="F20" s="1218"/>
      <c r="G20" s="1215"/>
      <c r="H20" s="1222"/>
      <c r="I20" s="1223">
        <f>SUM(I17:I19)</f>
        <v>0</v>
      </c>
    </row>
    <row r="21" spans="1:9">
      <c r="A21" s="3292" t="s">
        <v>1077</v>
      </c>
      <c r="B21" s="3296"/>
      <c r="C21" s="3296"/>
      <c r="D21" s="3296"/>
      <c r="E21" s="3296"/>
      <c r="F21" s="3296"/>
      <c r="G21" s="3296"/>
      <c r="H21" s="1502">
        <v>0.1</v>
      </c>
      <c r="I21" s="1220">
        <f>ROUND(I10*H21,0)</f>
        <v>0</v>
      </c>
    </row>
    <row r="22" spans="1:9" ht="14.25">
      <c r="A22" s="3297" t="s">
        <v>1078</v>
      </c>
      <c r="B22" s="3298"/>
      <c r="C22" s="3299"/>
      <c r="D22" s="1227" t="s">
        <v>1079</v>
      </c>
      <c r="E22" s="1227" t="s">
        <v>1080</v>
      </c>
      <c r="F22" s="1228" t="s">
        <v>1081</v>
      </c>
      <c r="G22" s="1228" t="s">
        <v>1082</v>
      </c>
      <c r="H22" s="1221" t="s">
        <v>1083</v>
      </c>
      <c r="I22" s="1212" t="s">
        <v>1084</v>
      </c>
    </row>
    <row r="23" spans="1:9" ht="14.25" thickBot="1">
      <c r="A23" s="3300"/>
      <c r="B23" s="3301"/>
      <c r="C23" s="3302"/>
      <c r="D23" s="1229"/>
      <c r="E23" s="1229"/>
      <c r="F23" s="1229"/>
      <c r="G23" s="1230"/>
      <c r="H23" s="1231"/>
      <c r="I23" s="1232">
        <f>ROUND(E23*D23*F23*(1-G23)/10000,0)</f>
        <v>0</v>
      </c>
    </row>
    <row r="26" spans="1:9">
      <c r="A26" s="1233" t="s">
        <v>1085</v>
      </c>
      <c r="B26" s="1233"/>
      <c r="C26" s="1233"/>
      <c r="D26" s="1233"/>
      <c r="E26" s="3303">
        <f>C27-C30-C31-C32</f>
        <v>0</v>
      </c>
      <c r="F26" s="3303"/>
      <c r="G26" s="3303"/>
      <c r="H26" s="1499" t="s">
        <v>1306</v>
      </c>
    </row>
    <row r="27" spans="1:9">
      <c r="A27" s="1234">
        <v>1</v>
      </c>
      <c r="B27" s="1235" t="s">
        <v>1086</v>
      </c>
      <c r="C27" s="1235">
        <f>C28+C29</f>
        <v>0</v>
      </c>
      <c r="D27" s="1235"/>
      <c r="E27" s="3304"/>
      <c r="F27" s="3304"/>
      <c r="G27" s="3304"/>
    </row>
    <row r="28" spans="1:9">
      <c r="A28" s="1236" t="s">
        <v>1087</v>
      </c>
      <c r="B28" s="1235" t="s">
        <v>1088</v>
      </c>
      <c r="C28" s="1235"/>
      <c r="D28" s="1235"/>
      <c r="E28" s="3304"/>
      <c r="F28" s="3304"/>
      <c r="G28" s="330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305" t="s">
        <v>1097</v>
      </c>
      <c r="B33" s="3306"/>
      <c r="C33" s="3306"/>
      <c r="D33" s="3307"/>
      <c r="E33" s="3303"/>
      <c r="F33" s="3303"/>
      <c r="G33" s="3303"/>
    </row>
    <row r="34" spans="1:7" hidden="1">
      <c r="A34" s="1238">
        <v>1</v>
      </c>
      <c r="B34" s="1235" t="s">
        <v>1098</v>
      </c>
      <c r="C34" s="1235"/>
      <c r="D34" s="1235"/>
      <c r="E34" s="3304"/>
      <c r="F34" s="3304"/>
      <c r="G34" s="3304"/>
    </row>
    <row r="35" spans="1:7" hidden="1">
      <c r="A35" s="1238">
        <v>2</v>
      </c>
      <c r="B35" s="1235" t="s">
        <v>1099</v>
      </c>
      <c r="C35" s="1235"/>
      <c r="D35" s="1235"/>
      <c r="E35" s="3304"/>
      <c r="F35" s="3304"/>
      <c r="G35" s="3304"/>
    </row>
    <row r="36" spans="1:7" hidden="1">
      <c r="A36" s="1238">
        <v>3</v>
      </c>
      <c r="B36" s="1235" t="s">
        <v>1100</v>
      </c>
      <c r="C36" s="1235"/>
      <c r="D36" s="1235"/>
      <c r="E36" s="3304"/>
      <c r="F36" s="3304"/>
      <c r="G36" s="3304"/>
    </row>
    <row r="37" spans="1:7" hidden="1">
      <c r="A37" s="1238">
        <v>4</v>
      </c>
      <c r="B37" s="1235" t="s">
        <v>1101</v>
      </c>
      <c r="C37" s="1235"/>
      <c r="D37" s="1235"/>
      <c r="E37" s="3304"/>
      <c r="F37" s="3304"/>
      <c r="G37" s="3304"/>
    </row>
    <row r="38" spans="1:7" hidden="1">
      <c r="A38" s="3305" t="s">
        <v>1102</v>
      </c>
      <c r="B38" s="3306"/>
      <c r="C38" s="3306"/>
      <c r="D38" s="3307"/>
      <c r="E38" s="3303"/>
      <c r="F38" s="3303"/>
      <c r="G38" s="33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75038.94</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2353</v>
      </c>
      <c r="B4" s="362"/>
      <c r="C4" s="3326" t="s">
        <v>2354</v>
      </c>
      <c r="D4" s="3327"/>
      <c r="E4" s="3328" t="s">
        <v>2355</v>
      </c>
      <c r="F4" s="3329"/>
      <c r="G4" s="3326" t="s">
        <v>2356</v>
      </c>
      <c r="H4" s="3327"/>
      <c r="I4" s="3326" t="s">
        <v>2357</v>
      </c>
      <c r="J4" s="3327"/>
      <c r="K4" s="2075" t="s">
        <v>2358</v>
      </c>
      <c r="L4" s="2941"/>
      <c r="M4" s="2942"/>
      <c r="N4" s="2942"/>
      <c r="O4" s="2942"/>
      <c r="P4" s="3330" t="s">
        <v>2359</v>
      </c>
      <c r="Q4" s="3331"/>
      <c r="R4" s="3313" t="s">
        <v>2355</v>
      </c>
      <c r="S4" s="3314"/>
      <c r="T4" s="3313" t="s">
        <v>2356</v>
      </c>
      <c r="U4" s="3314"/>
      <c r="V4" s="3338" t="s">
        <v>2357</v>
      </c>
      <c r="W4" s="3338"/>
      <c r="X4" s="1539"/>
      <c r="Y4" s="3313" t="s">
        <v>2359</v>
      </c>
      <c r="Z4" s="3314"/>
      <c r="AA4" s="3308" t="s">
        <v>2355</v>
      </c>
      <c r="AB4" s="3308" t="s">
        <v>2356</v>
      </c>
      <c r="AC4" s="3308" t="s">
        <v>2357</v>
      </c>
    </row>
    <row r="5" spans="1:29" ht="15">
      <c r="A5" s="364"/>
      <c r="B5" s="365"/>
      <c r="C5" s="3319" t="s">
        <v>2360</v>
      </c>
      <c r="D5" s="3320"/>
      <c r="E5" s="3317" t="s">
        <v>2361</v>
      </c>
      <c r="F5" s="3318"/>
      <c r="G5" s="3319" t="s">
        <v>2362</v>
      </c>
      <c r="H5" s="3320"/>
      <c r="I5" s="3319" t="s">
        <v>2363</v>
      </c>
      <c r="J5" s="3320"/>
      <c r="K5" s="2076"/>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2076"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11" t="s">
        <v>2367</v>
      </c>
      <c r="Q7" s="3339"/>
      <c r="R7" s="710" t="s">
        <v>23</v>
      </c>
      <c r="S7" s="711">
        <f t="shared" ref="S7:S15" si="0">F7</f>
        <v>0</v>
      </c>
      <c r="T7" s="710" t="s">
        <v>23</v>
      </c>
      <c r="U7" s="711">
        <f t="shared" ref="U7:U15" si="1">H7</f>
        <v>0</v>
      </c>
      <c r="V7" s="710" t="s">
        <v>23</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11" t="s">
        <v>2370</v>
      </c>
      <c r="Q8" s="3312"/>
      <c r="R8" s="710" t="s">
        <v>23</v>
      </c>
      <c r="S8" s="711">
        <f t="shared" si="0"/>
        <v>0</v>
      </c>
      <c r="T8" s="710" t="s">
        <v>23</v>
      </c>
      <c r="U8" s="711">
        <f t="shared" si="1"/>
        <v>0</v>
      </c>
      <c r="V8" s="710" t="s">
        <v>23</v>
      </c>
      <c r="W8" s="711">
        <f t="shared" si="2"/>
        <v>0</v>
      </c>
      <c r="X8" s="712"/>
      <c r="Y8" s="3311" t="s">
        <v>2370</v>
      </c>
      <c r="Z8" s="3312"/>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25"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25"/>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25"/>
      <c r="Q11" s="1527" t="str">
        <f t="shared" si="6"/>
        <v>容积率</v>
      </c>
      <c r="R11" s="710" t="s">
        <v>21</v>
      </c>
      <c r="S11" s="711" t="e">
        <f t="shared" si="0"/>
        <v>#N/A</v>
      </c>
      <c r="T11" s="710" t="s">
        <v>21</v>
      </c>
      <c r="U11" s="711" t="e">
        <f t="shared" si="1"/>
        <v>#N/A</v>
      </c>
      <c r="V11" s="710" t="s">
        <v>21</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25"/>
      <c r="Q12" s="1527">
        <f t="shared" si="6"/>
        <v>111</v>
      </c>
      <c r="R12" s="710" t="s">
        <v>21</v>
      </c>
      <c r="S12" s="711">
        <f t="shared" si="0"/>
        <v>100</v>
      </c>
      <c r="T12" s="710" t="s">
        <v>21</v>
      </c>
      <c r="U12" s="711">
        <f t="shared" si="1"/>
        <v>100</v>
      </c>
      <c r="V12" s="710" t="s">
        <v>21</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25"/>
      <c r="Q13" s="1527">
        <f t="shared" si="6"/>
        <v>111</v>
      </c>
      <c r="R13" s="710" t="s">
        <v>21</v>
      </c>
      <c r="S13" s="711">
        <f t="shared" si="0"/>
        <v>100</v>
      </c>
      <c r="T13" s="710" t="s">
        <v>21</v>
      </c>
      <c r="U13" s="711">
        <f t="shared" si="1"/>
        <v>100</v>
      </c>
      <c r="V13" s="710" t="s">
        <v>21</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25"/>
      <c r="Q14" s="1527">
        <f t="shared" si="6"/>
        <v>111</v>
      </c>
      <c r="R14" s="710" t="s">
        <v>21</v>
      </c>
      <c r="S14" s="711">
        <f t="shared" si="0"/>
        <v>100</v>
      </c>
      <c r="T14" s="710" t="s">
        <v>21</v>
      </c>
      <c r="U14" s="711">
        <f t="shared" si="1"/>
        <v>100</v>
      </c>
      <c r="V14" s="710" t="s">
        <v>21</v>
      </c>
      <c r="W14" s="711">
        <f t="shared" si="2"/>
        <v>100</v>
      </c>
      <c r="X14" s="712"/>
      <c r="Y14" s="3227"/>
      <c r="Z14" s="55">
        <f t="shared" si="7"/>
        <v>111</v>
      </c>
      <c r="AA14" s="713">
        <f t="shared" si="3"/>
        <v>1</v>
      </c>
      <c r="AB14" s="713">
        <f t="shared" si="4"/>
        <v>1</v>
      </c>
      <c r="AC14" s="713">
        <f t="shared" si="5"/>
        <v>1</v>
      </c>
    </row>
    <row r="15" spans="1:29" ht="99.75">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52" t="s">
        <v>2378</v>
      </c>
      <c r="Q15" s="1536" t="str">
        <f t="shared" si="6"/>
        <v>居住社区成熟度</v>
      </c>
      <c r="R15" s="714" t="s">
        <v>21</v>
      </c>
      <c r="S15" s="715">
        <f t="shared" si="0"/>
        <v>100</v>
      </c>
      <c r="T15" s="714" t="s">
        <v>21</v>
      </c>
      <c r="U15" s="715">
        <f t="shared" si="1"/>
        <v>100</v>
      </c>
      <c r="V15" s="714" t="s">
        <v>21</v>
      </c>
      <c r="W15" s="715">
        <f t="shared" si="2"/>
        <v>100</v>
      </c>
      <c r="X15" s="1539"/>
      <c r="Y15" s="3345"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353"/>
      <c r="Q16" s="1536"/>
      <c r="R16" s="714"/>
      <c r="S16" s="715"/>
      <c r="T16" s="714"/>
      <c r="U16" s="715"/>
      <c r="V16" s="714"/>
      <c r="W16" s="715"/>
      <c r="X16" s="1539"/>
      <c r="Y16" s="334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53"/>
      <c r="Q17" s="1536" t="str">
        <f>B17</f>
        <v>交通便捷度</v>
      </c>
      <c r="R17" s="714" t="s">
        <v>21</v>
      </c>
      <c r="S17" s="715">
        <f>F17</f>
        <v>100</v>
      </c>
      <c r="T17" s="714" t="s">
        <v>21</v>
      </c>
      <c r="U17" s="715">
        <f>H17</f>
        <v>100</v>
      </c>
      <c r="V17" s="714" t="s">
        <v>21</v>
      </c>
      <c r="W17" s="715">
        <f>J17</f>
        <v>100</v>
      </c>
      <c r="X17" s="1539"/>
      <c r="Y17" s="334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353"/>
      <c r="Q18" s="1536"/>
      <c r="R18" s="714"/>
      <c r="S18" s="715"/>
      <c r="T18" s="714"/>
      <c r="U18" s="715"/>
      <c r="V18" s="714"/>
      <c r="W18" s="715"/>
      <c r="X18" s="1539"/>
      <c r="Y18" s="334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53"/>
      <c r="Q19" s="1536" t="str">
        <f>B19</f>
        <v>公共配套设施</v>
      </c>
      <c r="R19" s="714" t="s">
        <v>21</v>
      </c>
      <c r="S19" s="715">
        <f>F19</f>
        <v>100</v>
      </c>
      <c r="T19" s="714" t="s">
        <v>21</v>
      </c>
      <c r="U19" s="715">
        <f>H19</f>
        <v>100</v>
      </c>
      <c r="V19" s="714" t="s">
        <v>21</v>
      </c>
      <c r="W19" s="715">
        <f>J19</f>
        <v>100</v>
      </c>
      <c r="X19" s="1539"/>
      <c r="Y19" s="334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353"/>
      <c r="Q20" s="1536"/>
      <c r="R20" s="714"/>
      <c r="S20" s="715"/>
      <c r="T20" s="714"/>
      <c r="U20" s="715"/>
      <c r="V20" s="714"/>
      <c r="W20" s="715"/>
      <c r="X20" s="1539"/>
      <c r="Y20" s="334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53"/>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353"/>
      <c r="Q22" s="1536"/>
      <c r="R22" s="714"/>
      <c r="S22" s="715"/>
      <c r="T22" s="714"/>
      <c r="U22" s="715"/>
      <c r="V22" s="714"/>
      <c r="W22" s="715"/>
      <c r="X22" s="1539"/>
      <c r="Y22" s="334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53"/>
      <c r="Q23" s="1536" t="str">
        <f>B23</f>
        <v>自然及人文环境</v>
      </c>
      <c r="R23" s="714" t="s">
        <v>21</v>
      </c>
      <c r="S23" s="715">
        <f>F23</f>
        <v>100</v>
      </c>
      <c r="T23" s="714" t="s">
        <v>21</v>
      </c>
      <c r="U23" s="715">
        <f>H23</f>
        <v>100</v>
      </c>
      <c r="V23" s="714" t="s">
        <v>21</v>
      </c>
      <c r="W23" s="715">
        <f>J23</f>
        <v>100</v>
      </c>
      <c r="X23" s="1539"/>
      <c r="Y23" s="334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353"/>
      <c r="Q24" s="1536"/>
      <c r="R24" s="714"/>
      <c r="S24" s="715"/>
      <c r="T24" s="714"/>
      <c r="U24" s="715"/>
      <c r="V24" s="714"/>
      <c r="W24" s="715"/>
      <c r="X24" s="1539"/>
      <c r="Y24" s="3346"/>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5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6"/>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53"/>
      <c r="Q26" s="1536" t="str">
        <f t="shared" si="11"/>
        <v>朝向</v>
      </c>
      <c r="R26" s="714" t="s">
        <v>21</v>
      </c>
      <c r="S26" s="715">
        <f t="shared" si="12"/>
        <v>100</v>
      </c>
      <c r="T26" s="714" t="s">
        <v>21</v>
      </c>
      <c r="U26" s="715">
        <f t="shared" si="13"/>
        <v>100</v>
      </c>
      <c r="V26" s="714" t="s">
        <v>21</v>
      </c>
      <c r="W26" s="715">
        <f t="shared" si="14"/>
        <v>100</v>
      </c>
      <c r="X26" s="1539"/>
      <c r="Y26" s="334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53"/>
      <c r="Q27" s="1527">
        <f t="shared" si="11"/>
        <v>111</v>
      </c>
      <c r="R27" s="710" t="s">
        <v>21</v>
      </c>
      <c r="S27" s="711">
        <f t="shared" si="12"/>
        <v>100</v>
      </c>
      <c r="T27" s="710" t="s">
        <v>21</v>
      </c>
      <c r="U27" s="711">
        <f t="shared" si="13"/>
        <v>100</v>
      </c>
      <c r="V27" s="710" t="s">
        <v>21</v>
      </c>
      <c r="W27" s="711">
        <f t="shared" si="14"/>
        <v>100</v>
      </c>
      <c r="X27" s="712"/>
      <c r="Y27" s="334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53"/>
      <c r="Q28" s="1536">
        <f t="shared" si="11"/>
        <v>111</v>
      </c>
      <c r="R28" s="714" t="s">
        <v>21</v>
      </c>
      <c r="S28" s="715">
        <f t="shared" si="12"/>
        <v>100</v>
      </c>
      <c r="T28" s="714" t="s">
        <v>21</v>
      </c>
      <c r="U28" s="715">
        <f t="shared" si="13"/>
        <v>100</v>
      </c>
      <c r="V28" s="714" t="s">
        <v>21</v>
      </c>
      <c r="W28" s="715">
        <f t="shared" si="14"/>
        <v>100</v>
      </c>
      <c r="X28" s="1539"/>
      <c r="Y28" s="334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53"/>
      <c r="Q29" s="1536">
        <f t="shared" si="11"/>
        <v>111</v>
      </c>
      <c r="R29" s="714" t="s">
        <v>21</v>
      </c>
      <c r="S29" s="715">
        <f t="shared" si="12"/>
        <v>100</v>
      </c>
      <c r="T29" s="714" t="s">
        <v>21</v>
      </c>
      <c r="U29" s="715">
        <f t="shared" si="13"/>
        <v>100</v>
      </c>
      <c r="V29" s="714" t="s">
        <v>21</v>
      </c>
      <c r="W29" s="715">
        <f t="shared" si="14"/>
        <v>100</v>
      </c>
      <c r="X29" s="1539"/>
      <c r="Y29" s="334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53"/>
      <c r="Q30" s="1536">
        <f t="shared" si="11"/>
        <v>111</v>
      </c>
      <c r="R30" s="714" t="s">
        <v>21</v>
      </c>
      <c r="S30" s="715">
        <f t="shared" si="12"/>
        <v>100</v>
      </c>
      <c r="T30" s="714" t="s">
        <v>21</v>
      </c>
      <c r="U30" s="715">
        <f t="shared" si="13"/>
        <v>100</v>
      </c>
      <c r="V30" s="714" t="s">
        <v>21</v>
      </c>
      <c r="W30" s="715">
        <f t="shared" si="14"/>
        <v>100</v>
      </c>
      <c r="X30" s="1539"/>
      <c r="Y30" s="334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53"/>
      <c r="Q31" s="1536">
        <f t="shared" si="11"/>
        <v>111</v>
      </c>
      <c r="R31" s="714" t="s">
        <v>21</v>
      </c>
      <c r="S31" s="715">
        <f t="shared" si="12"/>
        <v>100</v>
      </c>
      <c r="T31" s="714" t="s">
        <v>21</v>
      </c>
      <c r="U31" s="715">
        <f t="shared" si="13"/>
        <v>100</v>
      </c>
      <c r="V31" s="714" t="s">
        <v>21</v>
      </c>
      <c r="W31" s="715">
        <f t="shared" si="14"/>
        <v>100</v>
      </c>
      <c r="X31" s="1539"/>
      <c r="Y31" s="3346"/>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47" t="s">
        <v>2383</v>
      </c>
      <c r="Q32" s="1536" t="str">
        <f t="shared" si="11"/>
        <v>建筑类型</v>
      </c>
      <c r="R32" s="714" t="s">
        <v>21</v>
      </c>
      <c r="S32" s="715">
        <f t="shared" si="12"/>
        <v>100</v>
      </c>
      <c r="T32" s="714" t="s">
        <v>21</v>
      </c>
      <c r="U32" s="715">
        <f t="shared" si="13"/>
        <v>100</v>
      </c>
      <c r="V32" s="714" t="s">
        <v>21</v>
      </c>
      <c r="W32" s="715">
        <f t="shared" si="14"/>
        <v>100</v>
      </c>
      <c r="X32" s="1539"/>
      <c r="Y32" s="3350"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48"/>
      <c r="Q33" s="716" t="str">
        <f t="shared" si="11"/>
        <v>项目建筑规模</v>
      </c>
      <c r="R33" s="717" t="s">
        <v>21</v>
      </c>
      <c r="S33" s="718" t="e">
        <f t="shared" si="12"/>
        <v>#N/A</v>
      </c>
      <c r="T33" s="717" t="s">
        <v>21</v>
      </c>
      <c r="U33" s="718" t="e">
        <f t="shared" si="13"/>
        <v>#N/A</v>
      </c>
      <c r="V33" s="717" t="s">
        <v>21</v>
      </c>
      <c r="W33" s="718" t="e">
        <f t="shared" si="14"/>
        <v>#N/A</v>
      </c>
      <c r="X33" s="719"/>
      <c r="Y33" s="3350"/>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48"/>
      <c r="Q34" s="1536" t="str">
        <f t="shared" si="11"/>
        <v>建筑结构</v>
      </c>
      <c r="R34" s="714" t="s">
        <v>21</v>
      </c>
      <c r="S34" s="715">
        <f t="shared" si="12"/>
        <v>100</v>
      </c>
      <c r="T34" s="714" t="s">
        <v>21</v>
      </c>
      <c r="U34" s="715">
        <f t="shared" si="13"/>
        <v>100</v>
      </c>
      <c r="V34" s="714" t="s">
        <v>21</v>
      </c>
      <c r="W34" s="715">
        <f t="shared" si="14"/>
        <v>100</v>
      </c>
      <c r="X34" s="1539"/>
      <c r="Y34" s="3350"/>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48"/>
      <c r="Q35" s="1536" t="str">
        <f t="shared" si="11"/>
        <v>建筑品质</v>
      </c>
      <c r="R35" s="714" t="s">
        <v>21</v>
      </c>
      <c r="S35" s="715">
        <f t="shared" si="12"/>
        <v>100</v>
      </c>
      <c r="T35" s="714" t="s">
        <v>21</v>
      </c>
      <c r="U35" s="715">
        <f t="shared" si="13"/>
        <v>100</v>
      </c>
      <c r="V35" s="714" t="s">
        <v>21</v>
      </c>
      <c r="W35" s="715">
        <f t="shared" si="14"/>
        <v>100</v>
      </c>
      <c r="X35" s="1539"/>
      <c r="Y35" s="3350"/>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48"/>
      <c r="Q36" s="1536" t="str">
        <f t="shared" si="11"/>
        <v>公共部分装修</v>
      </c>
      <c r="R36" s="714" t="s">
        <v>21</v>
      </c>
      <c r="S36" s="715">
        <f t="shared" si="12"/>
        <v>100</v>
      </c>
      <c r="T36" s="714" t="s">
        <v>21</v>
      </c>
      <c r="U36" s="715">
        <f t="shared" si="13"/>
        <v>100</v>
      </c>
      <c r="V36" s="714" t="s">
        <v>21</v>
      </c>
      <c r="W36" s="715">
        <f t="shared" si="14"/>
        <v>100</v>
      </c>
      <c r="X36" s="1539"/>
      <c r="Y36" s="3350"/>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48"/>
      <c r="Q37" s="1527" t="str">
        <f t="shared" si="11"/>
        <v>成新度</v>
      </c>
      <c r="R37" s="710" t="s">
        <v>21</v>
      </c>
      <c r="S37" s="711" t="e">
        <f t="shared" si="12"/>
        <v>#N/A</v>
      </c>
      <c r="T37" s="710" t="s">
        <v>21</v>
      </c>
      <c r="U37" s="711" t="e">
        <f t="shared" si="13"/>
        <v>#N/A</v>
      </c>
      <c r="V37" s="710" t="s">
        <v>21</v>
      </c>
      <c r="W37" s="711" t="e">
        <f t="shared" si="14"/>
        <v>#N/A</v>
      </c>
      <c r="X37" s="712"/>
      <c r="Y37" s="3350"/>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48" t="s">
        <v>2383</v>
      </c>
      <c r="Q38" s="1536" t="str">
        <f t="shared" si="11"/>
        <v>物业管理</v>
      </c>
      <c r="R38" s="714" t="s">
        <v>21</v>
      </c>
      <c r="S38" s="715">
        <f t="shared" si="12"/>
        <v>100</v>
      </c>
      <c r="T38" s="714" t="s">
        <v>21</v>
      </c>
      <c r="U38" s="715">
        <f t="shared" si="13"/>
        <v>100</v>
      </c>
      <c r="V38" s="714" t="s">
        <v>21</v>
      </c>
      <c r="W38" s="715">
        <f t="shared" si="14"/>
        <v>100</v>
      </c>
      <c r="X38" s="1539"/>
      <c r="Y38" s="3350"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48"/>
      <c r="Q39" s="1536" t="str">
        <f t="shared" si="11"/>
        <v>市政基础设施</v>
      </c>
      <c r="R39" s="714" t="s">
        <v>21</v>
      </c>
      <c r="S39" s="715">
        <f t="shared" si="12"/>
        <v>100</v>
      </c>
      <c r="T39" s="714" t="s">
        <v>21</v>
      </c>
      <c r="U39" s="715">
        <f t="shared" si="13"/>
        <v>100</v>
      </c>
      <c r="V39" s="714" t="s">
        <v>21</v>
      </c>
      <c r="W39" s="715">
        <f t="shared" si="14"/>
        <v>100</v>
      </c>
      <c r="X39" s="1539"/>
      <c r="Y39" s="3350"/>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48"/>
      <c r="Q40" s="1536" t="str">
        <f t="shared" si="11"/>
        <v>房型</v>
      </c>
      <c r="R40" s="714" t="s">
        <v>21</v>
      </c>
      <c r="S40" s="715">
        <f t="shared" si="12"/>
        <v>100</v>
      </c>
      <c r="T40" s="714" t="s">
        <v>21</v>
      </c>
      <c r="U40" s="715">
        <f t="shared" si="13"/>
        <v>100</v>
      </c>
      <c r="V40" s="714" t="s">
        <v>21</v>
      </c>
      <c r="W40" s="715">
        <f t="shared" si="14"/>
        <v>100</v>
      </c>
      <c r="X40" s="1539"/>
      <c r="Y40" s="3350"/>
      <c r="Z40" s="1540" t="str">
        <f t="shared" si="18"/>
        <v>房型</v>
      </c>
      <c r="AA40" s="1537">
        <f t="shared" si="15"/>
        <v>1</v>
      </c>
      <c r="AB40" s="1537">
        <f t="shared" si="16"/>
        <v>1</v>
      </c>
      <c r="AC40" s="1537">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48"/>
      <c r="Q41" s="716" t="str">
        <f t="shared" si="11"/>
        <v>单套/主力户型建筑面积</v>
      </c>
      <c r="R41" s="717" t="s">
        <v>21</v>
      </c>
      <c r="S41" s="718">
        <f t="shared" si="12"/>
        <v>100</v>
      </c>
      <c r="T41" s="717" t="s">
        <v>21</v>
      </c>
      <c r="U41" s="718">
        <f t="shared" si="13"/>
        <v>100</v>
      </c>
      <c r="V41" s="717" t="s">
        <v>21</v>
      </c>
      <c r="W41" s="718">
        <f t="shared" si="14"/>
        <v>100</v>
      </c>
      <c r="X41" s="719"/>
      <c r="Y41" s="3350"/>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48"/>
      <c r="Q42" s="1536" t="str">
        <f t="shared" si="11"/>
        <v>内部装修</v>
      </c>
      <c r="R42" s="714" t="s">
        <v>21</v>
      </c>
      <c r="S42" s="715">
        <f t="shared" si="12"/>
        <v>100</v>
      </c>
      <c r="T42" s="714" t="s">
        <v>21</v>
      </c>
      <c r="U42" s="715">
        <f t="shared" si="13"/>
        <v>100</v>
      </c>
      <c r="V42" s="714" t="s">
        <v>21</v>
      </c>
      <c r="W42" s="715">
        <f t="shared" si="14"/>
        <v>100</v>
      </c>
      <c r="X42" s="1539"/>
      <c r="Y42" s="3350"/>
      <c r="Z42" s="1540" t="str">
        <f t="shared" si="18"/>
        <v>内部装修</v>
      </c>
      <c r="AA42" s="1537">
        <f t="shared" si="15"/>
        <v>1</v>
      </c>
      <c r="AB42" s="1537">
        <f t="shared" si="16"/>
        <v>1</v>
      </c>
      <c r="AC42" s="1537">
        <f t="shared" si="17"/>
        <v>1</v>
      </c>
    </row>
    <row r="43" spans="1:29" ht="15">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48"/>
      <c r="Q43" s="1536" t="str">
        <f t="shared" si="11"/>
        <v>内部装修维护情况</v>
      </c>
      <c r="R43" s="714" t="s">
        <v>21</v>
      </c>
      <c r="S43" s="715">
        <f t="shared" si="12"/>
        <v>100</v>
      </c>
      <c r="T43" s="714" t="s">
        <v>21</v>
      </c>
      <c r="U43" s="715">
        <f t="shared" si="13"/>
        <v>100</v>
      </c>
      <c r="V43" s="714" t="s">
        <v>21</v>
      </c>
      <c r="W43" s="715">
        <f t="shared" si="14"/>
        <v>100</v>
      </c>
      <c r="X43" s="1539"/>
      <c r="Y43" s="335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48"/>
      <c r="Q44" s="1527">
        <f t="shared" si="11"/>
        <v>111</v>
      </c>
      <c r="R44" s="710" t="s">
        <v>21</v>
      </c>
      <c r="S44" s="711">
        <f t="shared" si="12"/>
        <v>100</v>
      </c>
      <c r="T44" s="710" t="s">
        <v>21</v>
      </c>
      <c r="U44" s="711">
        <f t="shared" si="13"/>
        <v>100</v>
      </c>
      <c r="V44" s="710" t="s">
        <v>21</v>
      </c>
      <c r="W44" s="711">
        <f t="shared" si="14"/>
        <v>100</v>
      </c>
      <c r="X44" s="712"/>
      <c r="Y44" s="335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48"/>
      <c r="Q45" s="1536">
        <f t="shared" si="11"/>
        <v>111</v>
      </c>
      <c r="R45" s="714" t="s">
        <v>21</v>
      </c>
      <c r="S45" s="715">
        <f t="shared" si="12"/>
        <v>100</v>
      </c>
      <c r="T45" s="714" t="s">
        <v>21</v>
      </c>
      <c r="U45" s="715">
        <f t="shared" si="13"/>
        <v>100</v>
      </c>
      <c r="V45" s="714" t="s">
        <v>21</v>
      </c>
      <c r="W45" s="715">
        <f t="shared" si="14"/>
        <v>100</v>
      </c>
      <c r="X45" s="1539"/>
      <c r="Y45" s="335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49"/>
      <c r="Q46" s="1536">
        <f t="shared" si="11"/>
        <v>111</v>
      </c>
      <c r="R46" s="714" t="s">
        <v>20</v>
      </c>
      <c r="S46" s="715">
        <f t="shared" si="12"/>
        <v>100</v>
      </c>
      <c r="T46" s="714" t="s">
        <v>20</v>
      </c>
      <c r="U46" s="715">
        <f t="shared" si="13"/>
        <v>100</v>
      </c>
      <c r="V46" s="714" t="s">
        <v>20</v>
      </c>
      <c r="W46" s="715">
        <f t="shared" si="14"/>
        <v>100</v>
      </c>
      <c r="X46" s="1539"/>
      <c r="Y46" s="3351"/>
      <c r="Z46" s="1540">
        <f t="shared" si="18"/>
        <v>111</v>
      </c>
      <c r="AA46" s="1537">
        <f t="shared" si="15"/>
        <v>1</v>
      </c>
      <c r="AB46" s="1537">
        <f t="shared" si="16"/>
        <v>1</v>
      </c>
      <c r="AC46" s="1537">
        <f t="shared" si="17"/>
        <v>1</v>
      </c>
    </row>
    <row r="47" spans="1:29" ht="15">
      <c r="A47" s="438" t="s">
        <v>2395</v>
      </c>
      <c r="B47" s="439"/>
      <c r="C47" s="1316" t="s">
        <v>19</v>
      </c>
      <c r="D47" s="1317"/>
      <c r="E47" s="1318"/>
      <c r="F47" s="1319"/>
      <c r="G47" s="1320"/>
      <c r="H47" s="1321"/>
      <c r="I47" s="1318"/>
      <c r="J47" s="1321"/>
      <c r="K47" s="2100"/>
      <c r="L47" s="2950"/>
      <c r="M47" s="2951"/>
      <c r="N47" s="2942"/>
      <c r="O47" s="2951"/>
      <c r="P47" s="3343" t="str">
        <f>A47</f>
        <v>成交单价（元/平方米）</v>
      </c>
      <c r="Q47" s="3343"/>
      <c r="R47" s="3344">
        <f>E47</f>
        <v>0</v>
      </c>
      <c r="S47" s="3344"/>
      <c r="T47" s="3344">
        <f>G47</f>
        <v>0</v>
      </c>
      <c r="U47" s="3344"/>
      <c r="V47" s="3344">
        <f>I47</f>
        <v>0</v>
      </c>
      <c r="W47" s="3344"/>
      <c r="X47" s="699"/>
      <c r="Y47" s="721"/>
      <c r="Z47" s="699"/>
      <c r="AA47" s="699"/>
      <c r="AB47" s="699"/>
      <c r="AC47" s="699"/>
    </row>
    <row r="48" spans="1:29" ht="15.75" thickBot="1">
      <c r="A48" s="445" t="s">
        <v>2396</v>
      </c>
      <c r="B48" s="446"/>
      <c r="C48" s="1322" t="e">
        <f>R49</f>
        <v>#DIV/0!</v>
      </c>
      <c r="D48" s="2538" t="s">
        <v>2876</v>
      </c>
      <c r="E48" s="1323" t="e">
        <f>R48</f>
        <v>#DIV/0!</v>
      </c>
      <c r="F48" s="2539"/>
      <c r="G48" s="1322" t="e">
        <f>T48</f>
        <v>#DIV/0!</v>
      </c>
      <c r="H48" s="2539"/>
      <c r="I48" s="1323" t="e">
        <f>V48</f>
        <v>#DIV/0!</v>
      </c>
      <c r="J48" s="2539"/>
      <c r="K48" s="2540">
        <f>F48+H48+J48</f>
        <v>0</v>
      </c>
      <c r="L48" s="2950"/>
      <c r="M48" s="2951"/>
      <c r="N48" s="2951"/>
      <c r="O48" s="2951"/>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1"/>
      <c r="L49" s="2950"/>
      <c r="M49" s="2951"/>
      <c r="N49" s="2951"/>
      <c r="O49" s="2951"/>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2401</v>
      </c>
      <c r="B57" s="699"/>
      <c r="C57" s="704"/>
      <c r="D57" s="704"/>
      <c r="E57" s="704"/>
      <c r="F57" s="705"/>
      <c r="G57" s="705"/>
      <c r="H57" s="704"/>
      <c r="I57" s="704"/>
      <c r="J57" s="704"/>
      <c r="K57" s="1072"/>
      <c r="L57" s="1073"/>
      <c r="M57" s="1071"/>
      <c r="N57" s="1071"/>
      <c r="O57" s="1071"/>
      <c r="P57" s="2104"/>
      <c r="Q57" s="461"/>
    </row>
    <row r="58" spans="1:29" s="465" customFormat="1" ht="15">
      <c r="A58" s="462" t="s">
        <v>2402</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2403</v>
      </c>
      <c r="B60" s="473"/>
      <c r="C60" s="474"/>
      <c r="D60" s="475"/>
      <c r="E60" s="475"/>
      <c r="F60" s="475"/>
      <c r="G60" s="475"/>
      <c r="H60" s="475"/>
      <c r="I60" s="475"/>
      <c r="J60" s="475"/>
      <c r="K60" s="475"/>
      <c r="L60" s="475"/>
      <c r="M60" s="476"/>
      <c r="N60" s="475"/>
      <c r="O60" s="476"/>
      <c r="P60" s="2106"/>
      <c r="Q60" s="461"/>
    </row>
    <row r="61" spans="1:29" s="113" customFormat="1" ht="15">
      <c r="A61" s="478" t="s">
        <v>2404</v>
      </c>
      <c r="B61" s="467"/>
      <c r="C61" s="479" t="s">
        <v>2405</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2406</v>
      </c>
      <c r="B63" s="485" t="s">
        <v>2372</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2428</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2429</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2381</v>
      </c>
      <c r="B100" s="485" t="s">
        <v>2430</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5.75"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c r="B147" s="2115" t="s">
        <v>2458</v>
      </c>
    </row>
    <row r="148" spans="2:11">
      <c r="B148" s="2115"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2462</v>
      </c>
      <c r="D3" s="359">
        <f>IF(D1="",'数据-汇总表'!E3,SUMIF('数据-汇总表'!$C19:$C33,D1,'数据-汇总表'!$E19:$E33))</f>
        <v>75038.94</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38"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38"/>
      <c r="AC5" s="3309"/>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38"/>
      <c r="AC6" s="3310"/>
    </row>
    <row r="7" spans="1:29" s="113" customFormat="1" ht="15.75" thickBot="1">
      <c r="A7" s="368" t="s">
        <v>2366</v>
      </c>
      <c r="B7" s="369"/>
      <c r="C7" s="370">
        <f>'数据-取费表'!B2</f>
        <v>44315</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25"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25"/>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25"/>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25"/>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25"/>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25"/>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71.25">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52" t="s">
        <v>2378</v>
      </c>
      <c r="Q15" s="1536" t="str">
        <f t="shared" si="6"/>
        <v>商业繁华度</v>
      </c>
      <c r="R15" s="714" t="s">
        <v>17</v>
      </c>
      <c r="S15" s="715">
        <f t="shared" si="0"/>
        <v>100</v>
      </c>
      <c r="T15" s="714" t="s">
        <v>17</v>
      </c>
      <c r="U15" s="715">
        <f t="shared" si="1"/>
        <v>100</v>
      </c>
      <c r="V15" s="714" t="s">
        <v>17</v>
      </c>
      <c r="W15" s="715">
        <f t="shared" si="2"/>
        <v>100</v>
      </c>
      <c r="X15" s="1539"/>
      <c r="Y15" s="3345"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353"/>
      <c r="Q16" s="1536"/>
      <c r="R16" s="714"/>
      <c r="S16" s="715"/>
      <c r="T16" s="714"/>
      <c r="U16" s="715"/>
      <c r="V16" s="714"/>
      <c r="W16" s="715"/>
      <c r="X16" s="1539"/>
      <c r="Y16" s="334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53"/>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353"/>
      <c r="Q18" s="1536"/>
      <c r="R18" s="714"/>
      <c r="S18" s="715"/>
      <c r="T18" s="714"/>
      <c r="U18" s="715"/>
      <c r="V18" s="714"/>
      <c r="W18" s="715"/>
      <c r="X18" s="1539"/>
      <c r="Y18" s="3346"/>
      <c r="Z18" s="1540"/>
      <c r="AA18" s="1537">
        <v>1</v>
      </c>
      <c r="AB18" s="1537">
        <v>1</v>
      </c>
      <c r="AC18" s="1537">
        <v>1</v>
      </c>
    </row>
    <row r="19" spans="1:29" ht="42.75">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53"/>
      <c r="Q19" s="1536" t="str">
        <f>B19</f>
        <v>公共配套设施</v>
      </c>
      <c r="R19" s="714" t="s">
        <v>17</v>
      </c>
      <c r="S19" s="715">
        <f>F19</f>
        <v>100</v>
      </c>
      <c r="T19" s="714" t="s">
        <v>17</v>
      </c>
      <c r="U19" s="715">
        <f>H19</f>
        <v>100</v>
      </c>
      <c r="V19" s="714" t="s">
        <v>17</v>
      </c>
      <c r="W19" s="715">
        <f>J19</f>
        <v>100</v>
      </c>
      <c r="X19" s="1539"/>
      <c r="Y19" s="334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353"/>
      <c r="Q20" s="1536"/>
      <c r="R20" s="714"/>
      <c r="S20" s="715"/>
      <c r="T20" s="714"/>
      <c r="U20" s="715"/>
      <c r="V20" s="714"/>
      <c r="W20" s="715"/>
      <c r="X20" s="1539"/>
      <c r="Y20" s="3346"/>
      <c r="Z20" s="1540"/>
      <c r="AA20" s="1537">
        <v>1</v>
      </c>
      <c r="AB20" s="1537">
        <v>1</v>
      </c>
      <c r="AC20" s="1537">
        <v>1</v>
      </c>
    </row>
    <row r="21" spans="1:29" ht="28.5">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53"/>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353"/>
      <c r="Q22" s="1536"/>
      <c r="R22" s="714"/>
      <c r="S22" s="715"/>
      <c r="T22" s="714"/>
      <c r="U22" s="715"/>
      <c r="V22" s="714"/>
      <c r="W22" s="715"/>
      <c r="X22" s="1539"/>
      <c r="Y22" s="334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53"/>
      <c r="Q23" s="1536" t="str">
        <f>B23</f>
        <v>自然及人文环境</v>
      </c>
      <c r="R23" s="714" t="s">
        <v>17</v>
      </c>
      <c r="S23" s="715">
        <f>F23</f>
        <v>100</v>
      </c>
      <c r="T23" s="714" t="s">
        <v>17</v>
      </c>
      <c r="U23" s="715">
        <f>H23</f>
        <v>100</v>
      </c>
      <c r="V23" s="714" t="s">
        <v>17</v>
      </c>
      <c r="W23" s="715">
        <f>J23</f>
        <v>100</v>
      </c>
      <c r="X23" s="1539"/>
      <c r="Y23" s="334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353"/>
      <c r="Q24" s="1536"/>
      <c r="R24" s="714"/>
      <c r="S24" s="715"/>
      <c r="T24" s="714"/>
      <c r="U24" s="715"/>
      <c r="V24" s="714"/>
      <c r="W24" s="715"/>
      <c r="X24" s="1539"/>
      <c r="Y24" s="3346"/>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53"/>
      <c r="Q25" s="1536" t="str">
        <f t="shared" ref="Q25:Q46" si="11">B25</f>
        <v>临街状况</v>
      </c>
      <c r="R25" s="714" t="s">
        <v>17</v>
      </c>
      <c r="S25" s="715">
        <f>F25</f>
        <v>100</v>
      </c>
      <c r="T25" s="714" t="s">
        <v>17</v>
      </c>
      <c r="U25" s="715">
        <f>H25</f>
        <v>100</v>
      </c>
      <c r="V25" s="714" t="s">
        <v>17</v>
      </c>
      <c r="W25" s="715">
        <f>J25</f>
        <v>100</v>
      </c>
      <c r="X25" s="1539"/>
      <c r="Y25" s="3346"/>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53"/>
      <c r="Q26" s="1536" t="str">
        <f t="shared" si="11"/>
        <v>平面位置/可视性</v>
      </c>
      <c r="R26" s="714" t="s">
        <v>17</v>
      </c>
      <c r="S26" s="715">
        <f>F26</f>
        <v>100</v>
      </c>
      <c r="T26" s="714" t="s">
        <v>17</v>
      </c>
      <c r="U26" s="715">
        <f>H26</f>
        <v>100</v>
      </c>
      <c r="V26" s="714" t="s">
        <v>17</v>
      </c>
      <c r="W26" s="715">
        <f>J26</f>
        <v>100</v>
      </c>
      <c r="X26" s="1539"/>
      <c r="Y26" s="3346"/>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53"/>
      <c r="Q27" s="1527" t="str">
        <f t="shared" si="11"/>
        <v>人流量</v>
      </c>
      <c r="R27" s="710" t="s">
        <v>17</v>
      </c>
      <c r="S27" s="711">
        <f>F27</f>
        <v>100</v>
      </c>
      <c r="T27" s="710" t="s">
        <v>17</v>
      </c>
      <c r="U27" s="711">
        <f>H27</f>
        <v>100</v>
      </c>
      <c r="V27" s="710" t="s">
        <v>17</v>
      </c>
      <c r="W27" s="711">
        <f>J27</f>
        <v>100</v>
      </c>
      <c r="X27" s="712"/>
      <c r="Y27" s="3346"/>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5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53"/>
      <c r="Q29" s="1536">
        <f t="shared" si="11"/>
        <v>111</v>
      </c>
      <c r="R29" s="714" t="s">
        <v>17</v>
      </c>
      <c r="S29" s="715">
        <f t="shared" si="12"/>
        <v>100</v>
      </c>
      <c r="T29" s="714" t="s">
        <v>17</v>
      </c>
      <c r="U29" s="715">
        <f t="shared" si="13"/>
        <v>100</v>
      </c>
      <c r="V29" s="714" t="s">
        <v>17</v>
      </c>
      <c r="W29" s="715">
        <f t="shared" si="14"/>
        <v>100</v>
      </c>
      <c r="X29" s="1539"/>
      <c r="Y29" s="334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53"/>
      <c r="Q30" s="1536">
        <f t="shared" si="11"/>
        <v>111</v>
      </c>
      <c r="R30" s="714" t="s">
        <v>17</v>
      </c>
      <c r="S30" s="715">
        <f t="shared" si="12"/>
        <v>100</v>
      </c>
      <c r="T30" s="714" t="s">
        <v>17</v>
      </c>
      <c r="U30" s="715">
        <f t="shared" si="13"/>
        <v>100</v>
      </c>
      <c r="V30" s="714" t="s">
        <v>17</v>
      </c>
      <c r="W30" s="715">
        <f t="shared" si="14"/>
        <v>100</v>
      </c>
      <c r="X30" s="1539"/>
      <c r="Y30" s="334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53"/>
      <c r="Q31" s="1536">
        <f t="shared" si="11"/>
        <v>111</v>
      </c>
      <c r="R31" s="714" t="s">
        <v>17</v>
      </c>
      <c r="S31" s="715">
        <f t="shared" si="12"/>
        <v>100</v>
      </c>
      <c r="T31" s="714" t="s">
        <v>17</v>
      </c>
      <c r="U31" s="715">
        <f t="shared" si="13"/>
        <v>100</v>
      </c>
      <c r="V31" s="714" t="s">
        <v>17</v>
      </c>
      <c r="W31" s="715">
        <f t="shared" si="14"/>
        <v>100</v>
      </c>
      <c r="X31" s="1539"/>
      <c r="Y31" s="3346"/>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47" t="s">
        <v>2383</v>
      </c>
      <c r="Q32" s="1536" t="str">
        <f t="shared" si="11"/>
        <v>商业类型</v>
      </c>
      <c r="R32" s="714" t="s">
        <v>17</v>
      </c>
      <c r="S32" s="715">
        <f t="shared" si="12"/>
        <v>100</v>
      </c>
      <c r="T32" s="714" t="s">
        <v>17</v>
      </c>
      <c r="U32" s="715">
        <f t="shared" si="13"/>
        <v>100</v>
      </c>
      <c r="V32" s="714" t="s">
        <v>17</v>
      </c>
      <c r="W32" s="715">
        <f t="shared" si="14"/>
        <v>100</v>
      </c>
      <c r="X32" s="1539"/>
      <c r="Y32" s="3350"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48"/>
      <c r="Q33" s="716" t="str">
        <f t="shared" si="11"/>
        <v>项目建筑规模</v>
      </c>
      <c r="R33" s="717" t="s">
        <v>17</v>
      </c>
      <c r="S33" s="718" t="e">
        <f t="shared" si="12"/>
        <v>#N/A</v>
      </c>
      <c r="T33" s="717" t="s">
        <v>17</v>
      </c>
      <c r="U33" s="718" t="e">
        <f t="shared" si="13"/>
        <v>#N/A</v>
      </c>
      <c r="V33" s="717" t="s">
        <v>17</v>
      </c>
      <c r="W33" s="718" t="e">
        <f t="shared" si="14"/>
        <v>#N/A</v>
      </c>
      <c r="X33" s="719"/>
      <c r="Y33" s="3350"/>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48"/>
      <c r="Q34" s="1536" t="str">
        <f t="shared" si="11"/>
        <v>建筑结构</v>
      </c>
      <c r="R34" s="714" t="s">
        <v>17</v>
      </c>
      <c r="S34" s="715">
        <f t="shared" si="12"/>
        <v>100</v>
      </c>
      <c r="T34" s="714" t="s">
        <v>17</v>
      </c>
      <c r="U34" s="715">
        <f t="shared" si="13"/>
        <v>100</v>
      </c>
      <c r="V34" s="714" t="s">
        <v>17</v>
      </c>
      <c r="W34" s="715">
        <f t="shared" si="14"/>
        <v>100</v>
      </c>
      <c r="X34" s="1539"/>
      <c r="Y34" s="3350"/>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48"/>
      <c r="Q35" s="1536" t="str">
        <f t="shared" si="11"/>
        <v>公共部分装修</v>
      </c>
      <c r="R35" s="714" t="s">
        <v>17</v>
      </c>
      <c r="S35" s="715">
        <f t="shared" si="12"/>
        <v>100</v>
      </c>
      <c r="T35" s="714" t="s">
        <v>17</v>
      </c>
      <c r="U35" s="715">
        <f t="shared" si="13"/>
        <v>100</v>
      </c>
      <c r="V35" s="714" t="s">
        <v>17</v>
      </c>
      <c r="W35" s="715">
        <f t="shared" si="14"/>
        <v>100</v>
      </c>
      <c r="X35" s="1539"/>
      <c r="Y35" s="3350"/>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48"/>
      <c r="Q36" s="1536" t="str">
        <f t="shared" si="11"/>
        <v>成新度</v>
      </c>
      <c r="R36" s="714" t="s">
        <v>17</v>
      </c>
      <c r="S36" s="715" t="e">
        <f t="shared" si="12"/>
        <v>#N/A</v>
      </c>
      <c r="T36" s="714" t="s">
        <v>17</v>
      </c>
      <c r="U36" s="715" t="e">
        <f t="shared" si="13"/>
        <v>#N/A</v>
      </c>
      <c r="V36" s="714" t="s">
        <v>17</v>
      </c>
      <c r="W36" s="715" t="e">
        <f t="shared" si="14"/>
        <v>#N/A</v>
      </c>
      <c r="X36" s="1539"/>
      <c r="Y36" s="3350"/>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48"/>
      <c r="Q37" s="1527" t="str">
        <f t="shared" si="11"/>
        <v>市政基础设施</v>
      </c>
      <c r="R37" s="710" t="s">
        <v>17</v>
      </c>
      <c r="S37" s="711">
        <f t="shared" si="12"/>
        <v>100</v>
      </c>
      <c r="T37" s="710" t="s">
        <v>17</v>
      </c>
      <c r="U37" s="711">
        <f t="shared" si="13"/>
        <v>100</v>
      </c>
      <c r="V37" s="710" t="s">
        <v>17</v>
      </c>
      <c r="W37" s="711">
        <f t="shared" si="14"/>
        <v>100</v>
      </c>
      <c r="X37" s="712"/>
      <c r="Y37" s="3350"/>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48" t="s">
        <v>2383</v>
      </c>
      <c r="Q38" s="1536" t="str">
        <f t="shared" si="11"/>
        <v>业态</v>
      </c>
      <c r="R38" s="714" t="s">
        <v>17</v>
      </c>
      <c r="S38" s="715">
        <f t="shared" si="12"/>
        <v>100</v>
      </c>
      <c r="T38" s="714" t="s">
        <v>17</v>
      </c>
      <c r="U38" s="715">
        <f t="shared" si="13"/>
        <v>100</v>
      </c>
      <c r="V38" s="714" t="s">
        <v>17</v>
      </c>
      <c r="W38" s="715">
        <f t="shared" si="14"/>
        <v>100</v>
      </c>
      <c r="X38" s="1539"/>
      <c r="Y38" s="3350"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48"/>
      <c r="Q39" s="1536" t="str">
        <f t="shared" si="11"/>
        <v>层高</v>
      </c>
      <c r="R39" s="714" t="s">
        <v>17</v>
      </c>
      <c r="S39" s="715">
        <f t="shared" si="12"/>
        <v>100</v>
      </c>
      <c r="T39" s="714" t="s">
        <v>17</v>
      </c>
      <c r="U39" s="715">
        <f t="shared" si="13"/>
        <v>100</v>
      </c>
      <c r="V39" s="714" t="s">
        <v>17</v>
      </c>
      <c r="W39" s="715">
        <f t="shared" si="14"/>
        <v>100</v>
      </c>
      <c r="X39" s="1539"/>
      <c r="Y39" s="3350"/>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48"/>
      <c r="Q40" s="1536" t="str">
        <f t="shared" si="11"/>
        <v>单套建筑面积</v>
      </c>
      <c r="R40" s="714" t="s">
        <v>17</v>
      </c>
      <c r="S40" s="715">
        <f t="shared" si="12"/>
        <v>100</v>
      </c>
      <c r="T40" s="714" t="s">
        <v>17</v>
      </c>
      <c r="U40" s="715">
        <f t="shared" si="13"/>
        <v>100</v>
      </c>
      <c r="V40" s="714" t="s">
        <v>17</v>
      </c>
      <c r="W40" s="715">
        <f t="shared" si="14"/>
        <v>100</v>
      </c>
      <c r="X40" s="1539"/>
      <c r="Y40" s="3350"/>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48"/>
      <c r="Q41" s="716" t="str">
        <f t="shared" si="11"/>
        <v>进深比</v>
      </c>
      <c r="R41" s="717" t="s">
        <v>17</v>
      </c>
      <c r="S41" s="718">
        <f t="shared" si="12"/>
        <v>100</v>
      </c>
      <c r="T41" s="717" t="s">
        <v>17</v>
      </c>
      <c r="U41" s="718">
        <f t="shared" si="13"/>
        <v>100</v>
      </c>
      <c r="V41" s="717" t="s">
        <v>17</v>
      </c>
      <c r="W41" s="718">
        <f t="shared" si="14"/>
        <v>100</v>
      </c>
      <c r="X41" s="719"/>
      <c r="Y41" s="3350"/>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48"/>
      <c r="Q42" s="1536" t="str">
        <f t="shared" si="11"/>
        <v>内部装修</v>
      </c>
      <c r="R42" s="714" t="s">
        <v>17</v>
      </c>
      <c r="S42" s="715">
        <f t="shared" si="12"/>
        <v>100</v>
      </c>
      <c r="T42" s="714" t="s">
        <v>17</v>
      </c>
      <c r="U42" s="715">
        <f t="shared" si="13"/>
        <v>100</v>
      </c>
      <c r="V42" s="714" t="s">
        <v>17</v>
      </c>
      <c r="W42" s="715">
        <f t="shared" si="14"/>
        <v>100</v>
      </c>
      <c r="X42" s="1539"/>
      <c r="Y42" s="3350"/>
      <c r="Z42" s="1540" t="str">
        <f t="shared" si="15"/>
        <v>内部装修</v>
      </c>
      <c r="AA42" s="1537">
        <f t="shared" si="3"/>
        <v>1</v>
      </c>
      <c r="AB42" s="1537">
        <f t="shared" si="4"/>
        <v>1</v>
      </c>
      <c r="AC42" s="1537">
        <f t="shared" si="5"/>
        <v>1</v>
      </c>
    </row>
    <row r="43" spans="1:29" ht="15">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48"/>
      <c r="Q43" s="1536" t="str">
        <f t="shared" si="11"/>
        <v>内部装修维护情况</v>
      </c>
      <c r="R43" s="714" t="s">
        <v>17</v>
      </c>
      <c r="S43" s="715">
        <f t="shared" si="12"/>
        <v>100</v>
      </c>
      <c r="T43" s="714" t="s">
        <v>17</v>
      </c>
      <c r="U43" s="715">
        <f t="shared" si="13"/>
        <v>100</v>
      </c>
      <c r="V43" s="714" t="s">
        <v>17</v>
      </c>
      <c r="W43" s="715">
        <f t="shared" si="14"/>
        <v>100</v>
      </c>
      <c r="X43" s="1539"/>
      <c r="Y43" s="335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48"/>
      <c r="Q44" s="1527">
        <f t="shared" si="11"/>
        <v>111</v>
      </c>
      <c r="R44" s="710" t="s">
        <v>17</v>
      </c>
      <c r="S44" s="711">
        <f t="shared" si="12"/>
        <v>100</v>
      </c>
      <c r="T44" s="710" t="s">
        <v>17</v>
      </c>
      <c r="U44" s="711">
        <f t="shared" si="13"/>
        <v>100</v>
      </c>
      <c r="V44" s="710" t="s">
        <v>17</v>
      </c>
      <c r="W44" s="711">
        <f t="shared" si="14"/>
        <v>100</v>
      </c>
      <c r="X44" s="712"/>
      <c r="Y44" s="335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48"/>
      <c r="Q45" s="1536">
        <f t="shared" si="11"/>
        <v>111</v>
      </c>
      <c r="R45" s="714" t="s">
        <v>17</v>
      </c>
      <c r="S45" s="715">
        <f t="shared" si="12"/>
        <v>100</v>
      </c>
      <c r="T45" s="714" t="s">
        <v>17</v>
      </c>
      <c r="U45" s="715">
        <f t="shared" si="13"/>
        <v>100</v>
      </c>
      <c r="V45" s="714" t="s">
        <v>17</v>
      </c>
      <c r="W45" s="715">
        <f t="shared" si="14"/>
        <v>100</v>
      </c>
      <c r="X45" s="1539"/>
      <c r="Y45" s="335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49"/>
      <c r="Q46" s="1536">
        <f t="shared" si="11"/>
        <v>111</v>
      </c>
      <c r="R46" s="714" t="s">
        <v>17</v>
      </c>
      <c r="S46" s="715">
        <f t="shared" si="12"/>
        <v>100</v>
      </c>
      <c r="T46" s="714" t="s">
        <v>17</v>
      </c>
      <c r="U46" s="715">
        <f t="shared" si="13"/>
        <v>100</v>
      </c>
      <c r="V46" s="714" t="s">
        <v>17</v>
      </c>
      <c r="W46" s="715">
        <f t="shared" si="14"/>
        <v>100</v>
      </c>
      <c r="X46" s="1539"/>
      <c r="Y46" s="3351"/>
      <c r="Z46" s="1540">
        <f t="shared" si="15"/>
        <v>111</v>
      </c>
      <c r="AA46" s="1537">
        <f t="shared" si="3"/>
        <v>1</v>
      </c>
      <c r="AB46" s="1537">
        <f t="shared" si="4"/>
        <v>1</v>
      </c>
      <c r="AC46" s="1537">
        <f t="shared" si="5"/>
        <v>1</v>
      </c>
    </row>
    <row r="47" spans="1:29" ht="15">
      <c r="A47" s="438" t="s">
        <v>2395</v>
      </c>
      <c r="B47" s="439"/>
      <c r="C47" s="1316" t="s">
        <v>1</v>
      </c>
      <c r="D47" s="1317"/>
      <c r="E47" s="1318"/>
      <c r="F47" s="1319"/>
      <c r="G47" s="1320"/>
      <c r="H47" s="1321"/>
      <c r="I47" s="1318"/>
      <c r="J47" s="1321"/>
      <c r="K47" s="723"/>
      <c r="L47" s="2950"/>
      <c r="M47" s="2951"/>
      <c r="N47" s="2942"/>
      <c r="O47" s="2951"/>
      <c r="P47" s="3343" t="str">
        <f>A47</f>
        <v>成交单价（元/平方米）</v>
      </c>
      <c r="Q47" s="3343"/>
      <c r="R47" s="3338">
        <f>E47</f>
        <v>0</v>
      </c>
      <c r="S47" s="3338"/>
      <c r="T47" s="3338">
        <f>G47</f>
        <v>0</v>
      </c>
      <c r="U47" s="3338"/>
      <c r="V47" s="3338">
        <f>I47</f>
        <v>0</v>
      </c>
      <c r="W47" s="3338"/>
      <c r="X47" s="699"/>
      <c r="Y47" s="721"/>
      <c r="Z47" s="699"/>
      <c r="AA47" s="699"/>
      <c r="AB47" s="699"/>
      <c r="AC47" s="699"/>
    </row>
    <row r="48" spans="1:29" ht="15.75" thickBot="1">
      <c r="A48" s="445" t="s">
        <v>2487</v>
      </c>
      <c r="B48" s="446"/>
      <c r="C48" s="1322" t="e">
        <f>R49</f>
        <v>#DIV/0!</v>
      </c>
      <c r="D48" s="2538" t="s">
        <v>2876</v>
      </c>
      <c r="E48" s="1323" t="e">
        <f>R48</f>
        <v>#DIV/0!</v>
      </c>
      <c r="F48" s="2539"/>
      <c r="G48" s="1322" t="e">
        <f>T48</f>
        <v>#DIV/0!</v>
      </c>
      <c r="H48" s="2539"/>
      <c r="I48" s="1323" t="e">
        <f>V48</f>
        <v>#DIV/0!</v>
      </c>
      <c r="J48" s="2539"/>
      <c r="K48" s="2541">
        <f>F48+H48+J48</f>
        <v>0</v>
      </c>
      <c r="L48" s="2950"/>
      <c r="M48" s="2951"/>
      <c r="N48" s="2942"/>
      <c r="O48" s="2951"/>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0"/>
      <c r="M49" s="2951"/>
      <c r="N49" s="2942"/>
      <c r="O49" s="2951"/>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2492</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2366</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2403</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2368</v>
      </c>
      <c r="B61" s="467"/>
      <c r="C61" s="479" t="s">
        <v>2470</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2406</v>
      </c>
      <c r="B63" s="485" t="s">
        <v>2372</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2377</v>
      </c>
      <c r="B76" s="485" t="s">
        <v>2414</v>
      </c>
      <c r="C76" s="530" t="s">
        <v>2415</v>
      </c>
      <c r="D76" s="530" t="s">
        <v>2416</v>
      </c>
      <c r="E76" s="530" t="s">
        <v>2417</v>
      </c>
      <c r="F76" s="530" t="s">
        <v>2418</v>
      </c>
      <c r="G76" s="530" t="s">
        <v>2419</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2420</v>
      </c>
      <c r="C78" s="535" t="s">
        <v>2415</v>
      </c>
      <c r="D78" s="535" t="s">
        <v>2416</v>
      </c>
      <c r="E78" s="535" t="s">
        <v>2417</v>
      </c>
      <c r="F78" s="535" t="s">
        <v>2418</v>
      </c>
      <c r="G78" s="535" t="s">
        <v>2419</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2421</v>
      </c>
      <c r="C80" s="535" t="s">
        <v>2415</v>
      </c>
      <c r="D80" s="535" t="s">
        <v>2416</v>
      </c>
      <c r="E80" s="535" t="s">
        <v>2417</v>
      </c>
      <c r="F80" s="535" t="s">
        <v>2418</v>
      </c>
      <c r="G80" s="535" t="s">
        <v>2419</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2473</v>
      </c>
      <c r="C82" s="616" t="s">
        <v>2493</v>
      </c>
      <c r="D82" s="616" t="s">
        <v>2494</v>
      </c>
      <c r="E82" s="616" t="s">
        <v>2495</v>
      </c>
      <c r="F82" s="616" t="s">
        <v>2496</v>
      </c>
      <c r="G82" s="616" t="s">
        <v>2497</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2427</v>
      </c>
      <c r="C84" s="535" t="s">
        <v>2415</v>
      </c>
      <c r="D84" s="535" t="s">
        <v>2416</v>
      </c>
      <c r="E84" s="535" t="s">
        <v>2417</v>
      </c>
      <c r="F84" s="535" t="s">
        <v>2418</v>
      </c>
      <c r="G84" s="535" t="s">
        <v>2419</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2498</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2381</v>
      </c>
      <c r="B100" s="485" t="s">
        <v>2499</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2432</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2434</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2436</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2500</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2501</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2502</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2503</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2438</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75038.94</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60" t="s">
        <v>2469</v>
      </c>
      <c r="Q4" s="3361"/>
      <c r="R4" s="3355" t="s">
        <v>2465</v>
      </c>
      <c r="S4" s="3356"/>
      <c r="T4" s="3355" t="s">
        <v>2466</v>
      </c>
      <c r="U4" s="3356"/>
      <c r="V4" s="3364" t="s">
        <v>2467</v>
      </c>
      <c r="W4" s="3364"/>
      <c r="X4" s="2144"/>
      <c r="Y4" s="3355" t="s">
        <v>2469</v>
      </c>
      <c r="Z4" s="3356"/>
      <c r="AA4" s="3354" t="s">
        <v>2465</v>
      </c>
      <c r="AB4" s="3354" t="s">
        <v>2466</v>
      </c>
      <c r="AC4" s="3357" t="s">
        <v>2467</v>
      </c>
    </row>
    <row r="5" spans="1:29" ht="15">
      <c r="A5" s="364"/>
      <c r="B5" s="365"/>
      <c r="C5" s="3319" t="s">
        <v>2360</v>
      </c>
      <c r="D5" s="3320"/>
      <c r="E5" s="3317" t="s">
        <v>2361</v>
      </c>
      <c r="F5" s="3318"/>
      <c r="G5" s="3319" t="s">
        <v>2362</v>
      </c>
      <c r="H5" s="3320"/>
      <c r="I5" s="3319" t="s">
        <v>2363</v>
      </c>
      <c r="J5" s="3320"/>
      <c r="K5" s="567"/>
      <c r="L5" s="2941"/>
      <c r="M5" s="2942"/>
      <c r="N5" s="2942"/>
      <c r="O5" s="2942"/>
      <c r="P5" s="3362"/>
      <c r="Q5" s="3333"/>
      <c r="R5" s="3315"/>
      <c r="S5" s="3316"/>
      <c r="T5" s="3315"/>
      <c r="U5" s="3316"/>
      <c r="V5" s="3338"/>
      <c r="W5" s="3338"/>
      <c r="X5" s="1539"/>
      <c r="Y5" s="3315"/>
      <c r="Z5" s="3316"/>
      <c r="AA5" s="3309"/>
      <c r="AB5" s="3309"/>
      <c r="AC5" s="3358"/>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63"/>
      <c r="Q6" s="3335"/>
      <c r="R6" s="3315"/>
      <c r="S6" s="3316"/>
      <c r="T6" s="3336"/>
      <c r="U6" s="3337"/>
      <c r="V6" s="3338"/>
      <c r="W6" s="3338"/>
      <c r="X6" s="1539"/>
      <c r="Y6" s="3336"/>
      <c r="Z6" s="3337"/>
      <c r="AA6" s="3310"/>
      <c r="AB6" s="3310"/>
      <c r="AC6" s="3359"/>
    </row>
    <row r="7" spans="1:29" s="113" customFormat="1" ht="15.75" thickBot="1">
      <c r="A7" s="368" t="s">
        <v>2366</v>
      </c>
      <c r="B7" s="369"/>
      <c r="C7" s="370">
        <f>'数据-取费表'!B2</f>
        <v>44315</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5"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2145"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5" t="s">
        <v>2370</v>
      </c>
      <c r="Q8" s="3312"/>
      <c r="R8" s="710" t="s">
        <v>17</v>
      </c>
      <c r="S8" s="711">
        <f t="shared" si="0"/>
        <v>0</v>
      </c>
      <c r="T8" s="710" t="s">
        <v>17</v>
      </c>
      <c r="U8" s="711">
        <f t="shared" si="1"/>
        <v>0</v>
      </c>
      <c r="V8" s="710" t="s">
        <v>17</v>
      </c>
      <c r="W8" s="711">
        <f t="shared" si="2"/>
        <v>0</v>
      </c>
      <c r="X8" s="712"/>
      <c r="Y8" s="3311" t="s">
        <v>2370</v>
      </c>
      <c r="Z8" s="3312"/>
      <c r="AA8" s="713" t="e">
        <f t="shared" ref="AA8:AA47" si="3">D8/F8</f>
        <v>#DIV/0!</v>
      </c>
      <c r="AB8" s="713" t="e">
        <f t="shared" ref="AB8:AB47" si="4">D8/H8</f>
        <v>#DIV/0!</v>
      </c>
      <c r="AC8" s="2145"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25"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2145">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25"/>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2145">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25"/>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25"/>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25"/>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25"/>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52" t="s">
        <v>2378</v>
      </c>
      <c r="Q15" s="1536" t="str">
        <f t="shared" si="6"/>
        <v>办公集聚程度</v>
      </c>
      <c r="R15" s="714" t="s">
        <v>17</v>
      </c>
      <c r="S15" s="715">
        <f t="shared" si="0"/>
        <v>100</v>
      </c>
      <c r="T15" s="714" t="s">
        <v>17</v>
      </c>
      <c r="U15" s="715">
        <f t="shared" si="1"/>
        <v>100</v>
      </c>
      <c r="V15" s="714" t="s">
        <v>17</v>
      </c>
      <c r="W15" s="715">
        <f t="shared" si="2"/>
        <v>100</v>
      </c>
      <c r="X15" s="1539"/>
      <c r="Y15" s="3345" t="s">
        <v>2378</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353"/>
      <c r="Q16" s="1536"/>
      <c r="R16" s="714"/>
      <c r="S16" s="715"/>
      <c r="T16" s="714"/>
      <c r="U16" s="715"/>
      <c r="V16" s="714"/>
      <c r="W16" s="715"/>
      <c r="X16" s="1539"/>
      <c r="Y16" s="334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53"/>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353"/>
      <c r="Q18" s="1536"/>
      <c r="R18" s="714"/>
      <c r="S18" s="715"/>
      <c r="T18" s="714"/>
      <c r="U18" s="715"/>
      <c r="V18" s="714"/>
      <c r="W18" s="715"/>
      <c r="X18" s="1539"/>
      <c r="Y18" s="3346"/>
      <c r="Z18" s="1540"/>
      <c r="AA18" s="1537">
        <v>1</v>
      </c>
      <c r="AB18" s="1537">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53"/>
      <c r="Q19" s="1536" t="str">
        <f>B19</f>
        <v>公共配套设施</v>
      </c>
      <c r="R19" s="714" t="s">
        <v>17</v>
      </c>
      <c r="S19" s="715">
        <f>F19</f>
        <v>100</v>
      </c>
      <c r="T19" s="714" t="s">
        <v>17</v>
      </c>
      <c r="U19" s="715">
        <f>H19</f>
        <v>100</v>
      </c>
      <c r="V19" s="714" t="s">
        <v>17</v>
      </c>
      <c r="W19" s="715">
        <f>J19</f>
        <v>100</v>
      </c>
      <c r="X19" s="1539"/>
      <c r="Y19" s="334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353"/>
      <c r="Q20" s="1536"/>
      <c r="R20" s="714"/>
      <c r="S20" s="715"/>
      <c r="T20" s="714"/>
      <c r="U20" s="715"/>
      <c r="V20" s="714"/>
      <c r="W20" s="715"/>
      <c r="X20" s="1539"/>
      <c r="Y20" s="3346"/>
      <c r="Z20" s="1540"/>
      <c r="AA20" s="1537">
        <v>1</v>
      </c>
      <c r="AB20" s="1537">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53"/>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353"/>
      <c r="Q22" s="1536"/>
      <c r="R22" s="714"/>
      <c r="S22" s="715"/>
      <c r="T22" s="714"/>
      <c r="U22" s="715"/>
      <c r="V22" s="714"/>
      <c r="W22" s="715"/>
      <c r="X22" s="1539"/>
      <c r="Y22" s="3346"/>
      <c r="Z22" s="1540"/>
      <c r="AA22" s="1537">
        <v>1</v>
      </c>
      <c r="AB22" s="1537">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53"/>
      <c r="Q23" s="1536" t="str">
        <f>B23</f>
        <v>环境质量</v>
      </c>
      <c r="R23" s="714" t="s">
        <v>17</v>
      </c>
      <c r="S23" s="715">
        <f>F23</f>
        <v>100</v>
      </c>
      <c r="T23" s="714" t="s">
        <v>17</v>
      </c>
      <c r="U23" s="715">
        <f>H23</f>
        <v>100</v>
      </c>
      <c r="V23" s="714" t="s">
        <v>17</v>
      </c>
      <c r="W23" s="715">
        <f>J23</f>
        <v>100</v>
      </c>
      <c r="X23" s="1539"/>
      <c r="Y23" s="334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353"/>
      <c r="Q24" s="1536"/>
      <c r="R24" s="714"/>
      <c r="S24" s="715"/>
      <c r="T24" s="714"/>
      <c r="U24" s="715"/>
      <c r="V24" s="714"/>
      <c r="W24" s="715"/>
      <c r="X24" s="1539"/>
      <c r="Y24" s="3346"/>
      <c r="Z24" s="1540"/>
      <c r="AA24" s="1537">
        <v>1</v>
      </c>
      <c r="AB24" s="1537">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53"/>
      <c r="Q25" s="1536" t="str">
        <f>B25</f>
        <v>毗邻道路的类型与等级</v>
      </c>
      <c r="R25" s="714" t="s">
        <v>17</v>
      </c>
      <c r="S25" s="715">
        <f>F25</f>
        <v>100</v>
      </c>
      <c r="T25" s="714" t="s">
        <v>17</v>
      </c>
      <c r="U25" s="715">
        <f>H25</f>
        <v>100</v>
      </c>
      <c r="V25" s="714" t="s">
        <v>17</v>
      </c>
      <c r="W25" s="715">
        <f>J25</f>
        <v>100</v>
      </c>
      <c r="X25" s="1539"/>
      <c r="Y25" s="334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353"/>
      <c r="Q26" s="1536"/>
      <c r="R26" s="714"/>
      <c r="S26" s="715"/>
      <c r="T26" s="714"/>
      <c r="U26" s="715"/>
      <c r="V26" s="714"/>
      <c r="W26" s="715"/>
      <c r="X26" s="1539"/>
      <c r="Y26" s="3346"/>
      <c r="Z26" s="1540"/>
      <c r="AA26" s="1537">
        <v>1</v>
      </c>
      <c r="AB26" s="1537">
        <v>1</v>
      </c>
      <c r="AC26" s="2148">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53"/>
      <c r="Q27" s="1536" t="str">
        <f t="shared" ref="Q27:Q47" si="11">B27</f>
        <v>楼层</v>
      </c>
      <c r="R27" s="714" t="s">
        <v>17</v>
      </c>
      <c r="S27" s="715">
        <f>F27</f>
        <v>100</v>
      </c>
      <c r="T27" s="714" t="s">
        <v>17</v>
      </c>
      <c r="U27" s="715">
        <f>H27</f>
        <v>100</v>
      </c>
      <c r="V27" s="714" t="s">
        <v>17</v>
      </c>
      <c r="W27" s="715">
        <f>J27</f>
        <v>100</v>
      </c>
      <c r="X27" s="1539"/>
      <c r="Y27" s="3346"/>
      <c r="Z27" s="1540" t="str">
        <f>Q27</f>
        <v>楼层</v>
      </c>
      <c r="AA27" s="1537">
        <f t="shared" si="3"/>
        <v>1</v>
      </c>
      <c r="AB27" s="1537">
        <f t="shared" si="4"/>
        <v>1</v>
      </c>
      <c r="AC27" s="2148">
        <f t="shared" si="5"/>
        <v>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53"/>
      <c r="Q28" s="1527" t="str">
        <f t="shared" si="11"/>
        <v>朝向</v>
      </c>
      <c r="R28" s="710" t="s">
        <v>17</v>
      </c>
      <c r="S28" s="711">
        <f>F28</f>
        <v>100</v>
      </c>
      <c r="T28" s="710" t="s">
        <v>17</v>
      </c>
      <c r="U28" s="711">
        <f>H28</f>
        <v>100</v>
      </c>
      <c r="V28" s="710" t="s">
        <v>17</v>
      </c>
      <c r="W28" s="711">
        <f>J28</f>
        <v>100</v>
      </c>
      <c r="X28" s="712"/>
      <c r="Y28" s="334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53"/>
      <c r="Q29" s="1536">
        <f t="shared" si="11"/>
        <v>111</v>
      </c>
      <c r="R29" s="714" t="s">
        <v>17</v>
      </c>
      <c r="S29" s="715">
        <f t="shared" ref="S29:S47" si="12">F29</f>
        <v>100</v>
      </c>
      <c r="T29" s="714" t="s">
        <v>17</v>
      </c>
      <c r="U29" s="715">
        <f t="shared" ref="U29:U47" si="13">H29</f>
        <v>100</v>
      </c>
      <c r="V29" s="714" t="s">
        <v>17</v>
      </c>
      <c r="W29" s="715">
        <f t="shared" ref="W29:W47" si="14">J29</f>
        <v>100</v>
      </c>
      <c r="X29" s="1539"/>
      <c r="Y29" s="334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53"/>
      <c r="Q30" s="1536">
        <f t="shared" si="11"/>
        <v>111</v>
      </c>
      <c r="R30" s="714" t="s">
        <v>17</v>
      </c>
      <c r="S30" s="715">
        <f t="shared" si="12"/>
        <v>100</v>
      </c>
      <c r="T30" s="714" t="s">
        <v>17</v>
      </c>
      <c r="U30" s="715">
        <f t="shared" si="13"/>
        <v>100</v>
      </c>
      <c r="V30" s="714" t="s">
        <v>17</v>
      </c>
      <c r="W30" s="715">
        <f t="shared" si="14"/>
        <v>100</v>
      </c>
      <c r="X30" s="1539"/>
      <c r="Y30" s="334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53"/>
      <c r="Q31" s="1536">
        <f t="shared" si="11"/>
        <v>111</v>
      </c>
      <c r="R31" s="714" t="s">
        <v>17</v>
      </c>
      <c r="S31" s="715">
        <f t="shared" si="12"/>
        <v>100</v>
      </c>
      <c r="T31" s="714" t="s">
        <v>17</v>
      </c>
      <c r="U31" s="715">
        <f t="shared" si="13"/>
        <v>100</v>
      </c>
      <c r="V31" s="714" t="s">
        <v>17</v>
      </c>
      <c r="W31" s="715">
        <f t="shared" si="14"/>
        <v>100</v>
      </c>
      <c r="X31" s="1539"/>
      <c r="Y31" s="334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53"/>
      <c r="Q32" s="1536">
        <f t="shared" si="11"/>
        <v>111</v>
      </c>
      <c r="R32" s="714" t="s">
        <v>17</v>
      </c>
      <c r="S32" s="715">
        <f t="shared" si="12"/>
        <v>100</v>
      </c>
      <c r="T32" s="714" t="s">
        <v>17</v>
      </c>
      <c r="U32" s="715">
        <f t="shared" si="13"/>
        <v>100</v>
      </c>
      <c r="V32" s="714" t="s">
        <v>17</v>
      </c>
      <c r="W32" s="715">
        <f t="shared" si="14"/>
        <v>100</v>
      </c>
      <c r="X32" s="1539"/>
      <c r="Y32" s="3346"/>
      <c r="Z32" s="1540">
        <f t="shared" si="15"/>
        <v>111</v>
      </c>
      <c r="AA32" s="1537">
        <f t="shared" si="3"/>
        <v>1</v>
      </c>
      <c r="AB32" s="1537">
        <f t="shared" si="4"/>
        <v>1</v>
      </c>
      <c r="AC32" s="2148">
        <f t="shared" si="5"/>
        <v>1</v>
      </c>
    </row>
    <row r="33" spans="1:29" ht="15">
      <c r="A33" s="399" t="s">
        <v>2381</v>
      </c>
      <c r="B33" s="67" t="s">
        <v>2511</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47" t="s">
        <v>2383</v>
      </c>
      <c r="Q33" s="1536" t="str">
        <f t="shared" si="11"/>
        <v>建筑类型</v>
      </c>
      <c r="R33" s="714" t="s">
        <v>17</v>
      </c>
      <c r="S33" s="715">
        <f t="shared" si="12"/>
        <v>100</v>
      </c>
      <c r="T33" s="714" t="s">
        <v>17</v>
      </c>
      <c r="U33" s="715">
        <f t="shared" si="13"/>
        <v>100</v>
      </c>
      <c r="V33" s="714" t="s">
        <v>17</v>
      </c>
      <c r="W33" s="715">
        <f t="shared" si="14"/>
        <v>100</v>
      </c>
      <c r="X33" s="1539"/>
      <c r="Y33" s="3350" t="s">
        <v>2383</v>
      </c>
      <c r="Z33" s="1540" t="str">
        <f t="shared" si="15"/>
        <v>建筑类型</v>
      </c>
      <c r="AA33" s="1537">
        <f t="shared" si="3"/>
        <v>1</v>
      </c>
      <c r="AB33" s="1537">
        <f t="shared" si="4"/>
        <v>1</v>
      </c>
      <c r="AC33" s="2148">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48"/>
      <c r="Q34" s="716" t="str">
        <f t="shared" si="11"/>
        <v>项目建筑规模</v>
      </c>
      <c r="R34" s="717" t="s">
        <v>17</v>
      </c>
      <c r="S34" s="718" t="e">
        <f t="shared" si="12"/>
        <v>#N/A</v>
      </c>
      <c r="T34" s="717" t="s">
        <v>17</v>
      </c>
      <c r="U34" s="718" t="e">
        <f t="shared" si="13"/>
        <v>#N/A</v>
      </c>
      <c r="V34" s="717" t="s">
        <v>17</v>
      </c>
      <c r="W34" s="718" t="e">
        <f t="shared" si="14"/>
        <v>#N/A</v>
      </c>
      <c r="X34" s="719"/>
      <c r="Y34" s="3350"/>
      <c r="Z34" s="720" t="str">
        <f t="shared" si="15"/>
        <v>项目建筑规模</v>
      </c>
      <c r="AA34" s="1537" t="e">
        <f t="shared" si="3"/>
        <v>#N/A</v>
      </c>
      <c r="AB34" s="1537" t="e">
        <f t="shared" si="4"/>
        <v>#N/A</v>
      </c>
      <c r="AC34" s="2148"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48"/>
      <c r="Q35" s="1536" t="str">
        <f t="shared" si="11"/>
        <v>建筑结构</v>
      </c>
      <c r="R35" s="714" t="s">
        <v>17</v>
      </c>
      <c r="S35" s="715">
        <f t="shared" si="12"/>
        <v>100</v>
      </c>
      <c r="T35" s="714" t="s">
        <v>17</v>
      </c>
      <c r="U35" s="715">
        <f t="shared" si="13"/>
        <v>100</v>
      </c>
      <c r="V35" s="714" t="s">
        <v>17</v>
      </c>
      <c r="W35" s="715">
        <f t="shared" si="14"/>
        <v>100</v>
      </c>
      <c r="X35" s="1539"/>
      <c r="Y35" s="3350"/>
      <c r="Z35" s="1540" t="str">
        <f t="shared" si="15"/>
        <v>建筑结构</v>
      </c>
      <c r="AA35" s="1537">
        <f t="shared" si="3"/>
        <v>1</v>
      </c>
      <c r="AB35" s="1537">
        <f t="shared" si="4"/>
        <v>1</v>
      </c>
      <c r="AC35" s="2148">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48"/>
      <c r="Q36" s="1536" t="str">
        <f t="shared" si="11"/>
        <v>公共部分装修</v>
      </c>
      <c r="R36" s="714" t="s">
        <v>17</v>
      </c>
      <c r="S36" s="715">
        <f t="shared" si="12"/>
        <v>100</v>
      </c>
      <c r="T36" s="714" t="s">
        <v>17</v>
      </c>
      <c r="U36" s="715">
        <f t="shared" si="13"/>
        <v>100</v>
      </c>
      <c r="V36" s="714" t="s">
        <v>17</v>
      </c>
      <c r="W36" s="715">
        <f t="shared" si="14"/>
        <v>100</v>
      </c>
      <c r="X36" s="1539"/>
      <c r="Y36" s="3350"/>
      <c r="Z36" s="1540" t="str">
        <f t="shared" si="15"/>
        <v>公共部分装修</v>
      </c>
      <c r="AA36" s="1537">
        <f t="shared" si="3"/>
        <v>1</v>
      </c>
      <c r="AB36" s="1537">
        <f t="shared" si="4"/>
        <v>1</v>
      </c>
      <c r="AC36" s="2148">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48"/>
      <c r="Q37" s="1536" t="str">
        <f t="shared" si="11"/>
        <v>成新度</v>
      </c>
      <c r="R37" s="714" t="s">
        <v>17</v>
      </c>
      <c r="S37" s="715" t="e">
        <f t="shared" si="12"/>
        <v>#N/A</v>
      </c>
      <c r="T37" s="714" t="s">
        <v>17</v>
      </c>
      <c r="U37" s="715" t="e">
        <f t="shared" si="13"/>
        <v>#N/A</v>
      </c>
      <c r="V37" s="714" t="s">
        <v>17</v>
      </c>
      <c r="W37" s="715" t="e">
        <f t="shared" si="14"/>
        <v>#N/A</v>
      </c>
      <c r="X37" s="1539"/>
      <c r="Y37" s="3350"/>
      <c r="Z37" s="1540" t="str">
        <f t="shared" si="15"/>
        <v>成新度</v>
      </c>
      <c r="AA37" s="1537" t="e">
        <f t="shared" si="3"/>
        <v>#N/A</v>
      </c>
      <c r="AB37" s="1537" t="e">
        <f t="shared" si="4"/>
        <v>#N/A</v>
      </c>
      <c r="AC37" s="2148"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48"/>
      <c r="Q38" s="1527" t="str">
        <f t="shared" si="11"/>
        <v>写字楼等级</v>
      </c>
      <c r="R38" s="710" t="s">
        <v>17</v>
      </c>
      <c r="S38" s="711">
        <f t="shared" si="12"/>
        <v>100</v>
      </c>
      <c r="T38" s="710" t="s">
        <v>17</v>
      </c>
      <c r="U38" s="711">
        <f t="shared" si="13"/>
        <v>100</v>
      </c>
      <c r="V38" s="710" t="s">
        <v>17</v>
      </c>
      <c r="W38" s="711">
        <f t="shared" si="14"/>
        <v>100</v>
      </c>
      <c r="X38" s="712"/>
      <c r="Y38" s="3350"/>
      <c r="Z38" s="55" t="str">
        <f t="shared" si="15"/>
        <v>写字楼等级</v>
      </c>
      <c r="AA38" s="713">
        <f t="shared" si="3"/>
        <v>1</v>
      </c>
      <c r="AB38" s="713">
        <f t="shared" si="4"/>
        <v>1</v>
      </c>
      <c r="AC38" s="2145">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48" t="s">
        <v>2383</v>
      </c>
      <c r="Q39" s="1536" t="str">
        <f t="shared" si="11"/>
        <v>物业管理</v>
      </c>
      <c r="R39" s="714" t="s">
        <v>17</v>
      </c>
      <c r="S39" s="715">
        <f t="shared" si="12"/>
        <v>100</v>
      </c>
      <c r="T39" s="714" t="s">
        <v>17</v>
      </c>
      <c r="U39" s="715">
        <f t="shared" si="13"/>
        <v>100</v>
      </c>
      <c r="V39" s="714" t="s">
        <v>17</v>
      </c>
      <c r="W39" s="715">
        <f t="shared" si="14"/>
        <v>100</v>
      </c>
      <c r="X39" s="1539"/>
      <c r="Y39" s="3350" t="s">
        <v>2383</v>
      </c>
      <c r="Z39" s="1540" t="str">
        <f t="shared" si="15"/>
        <v>物业管理</v>
      </c>
      <c r="AA39" s="1537">
        <f t="shared" si="3"/>
        <v>1</v>
      </c>
      <c r="AB39" s="1537">
        <f t="shared" si="4"/>
        <v>1</v>
      </c>
      <c r="AC39" s="2148">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48"/>
      <c r="Q40" s="1536" t="str">
        <f t="shared" si="11"/>
        <v>市政基础设施</v>
      </c>
      <c r="R40" s="714" t="s">
        <v>17</v>
      </c>
      <c r="S40" s="715">
        <f t="shared" si="12"/>
        <v>100</v>
      </c>
      <c r="T40" s="714" t="s">
        <v>17</v>
      </c>
      <c r="U40" s="715">
        <f t="shared" si="13"/>
        <v>100</v>
      </c>
      <c r="V40" s="714" t="s">
        <v>17</v>
      </c>
      <c r="W40" s="715">
        <f t="shared" si="14"/>
        <v>100</v>
      </c>
      <c r="X40" s="1539"/>
      <c r="Y40" s="3350"/>
      <c r="Z40" s="1540" t="str">
        <f t="shared" si="15"/>
        <v>市政基础设施</v>
      </c>
      <c r="AA40" s="1537">
        <f t="shared" si="3"/>
        <v>1</v>
      </c>
      <c r="AB40" s="1537">
        <f t="shared" si="4"/>
        <v>1</v>
      </c>
      <c r="AC40" s="2148">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48"/>
      <c r="Q41" s="1536" t="str">
        <f t="shared" si="11"/>
        <v>层高</v>
      </c>
      <c r="R41" s="714" t="s">
        <v>17</v>
      </c>
      <c r="S41" s="715">
        <f t="shared" si="12"/>
        <v>100</v>
      </c>
      <c r="T41" s="714" t="s">
        <v>17</v>
      </c>
      <c r="U41" s="715">
        <f t="shared" si="13"/>
        <v>100</v>
      </c>
      <c r="V41" s="714" t="s">
        <v>17</v>
      </c>
      <c r="W41" s="715">
        <f t="shared" si="14"/>
        <v>100</v>
      </c>
      <c r="X41" s="1539"/>
      <c r="Y41" s="3350"/>
      <c r="Z41" s="1540" t="str">
        <f t="shared" si="15"/>
        <v>层高</v>
      </c>
      <c r="AA41" s="1537">
        <f t="shared" si="3"/>
        <v>1</v>
      </c>
      <c r="AB41" s="1537">
        <f t="shared" si="4"/>
        <v>1</v>
      </c>
      <c r="AC41" s="2148">
        <f t="shared" si="5"/>
        <v>1</v>
      </c>
    </row>
    <row r="42" spans="1:29" s="430" customFormat="1" ht="15">
      <c r="A42" s="427"/>
      <c r="B42" s="1538"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48"/>
      <c r="Q42" s="716" t="str">
        <f t="shared" si="11"/>
        <v>单套建筑面积</v>
      </c>
      <c r="R42" s="717" t="s">
        <v>17</v>
      </c>
      <c r="S42" s="718">
        <f t="shared" si="12"/>
        <v>100</v>
      </c>
      <c r="T42" s="717" t="s">
        <v>17</v>
      </c>
      <c r="U42" s="718">
        <f t="shared" si="13"/>
        <v>100</v>
      </c>
      <c r="V42" s="717" t="s">
        <v>17</v>
      </c>
      <c r="W42" s="718">
        <f t="shared" si="14"/>
        <v>100</v>
      </c>
      <c r="X42" s="719"/>
      <c r="Y42" s="3350"/>
      <c r="Z42" s="720" t="str">
        <f t="shared" si="15"/>
        <v>单套建筑面积</v>
      </c>
      <c r="AA42" s="1537">
        <f t="shared" si="3"/>
        <v>1</v>
      </c>
      <c r="AB42" s="1537">
        <f t="shared" si="4"/>
        <v>1</v>
      </c>
      <c r="AC42" s="2148">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48"/>
      <c r="Q43" s="1536" t="str">
        <f t="shared" si="11"/>
        <v>内部装修</v>
      </c>
      <c r="R43" s="714" t="s">
        <v>17</v>
      </c>
      <c r="S43" s="715">
        <f t="shared" si="12"/>
        <v>100</v>
      </c>
      <c r="T43" s="714" t="s">
        <v>17</v>
      </c>
      <c r="U43" s="715">
        <f t="shared" si="13"/>
        <v>100</v>
      </c>
      <c r="V43" s="714" t="s">
        <v>17</v>
      </c>
      <c r="W43" s="715">
        <f t="shared" si="14"/>
        <v>100</v>
      </c>
      <c r="X43" s="1539"/>
      <c r="Y43" s="3350"/>
      <c r="Z43" s="1540" t="str">
        <f t="shared" si="15"/>
        <v>内部装修</v>
      </c>
      <c r="AA43" s="1537">
        <f t="shared" si="3"/>
        <v>1</v>
      </c>
      <c r="AB43" s="1537">
        <f t="shared" si="4"/>
        <v>1</v>
      </c>
      <c r="AC43" s="2148">
        <f t="shared" si="5"/>
        <v>1</v>
      </c>
    </row>
    <row r="44" spans="1:29" ht="15">
      <c r="A44" s="431"/>
      <c r="B44" s="381" t="s">
        <v>2394</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348"/>
      <c r="Q44" s="1536" t="str">
        <f t="shared" si="11"/>
        <v>内部装修维护情况</v>
      </c>
      <c r="R44" s="714" t="s">
        <v>17</v>
      </c>
      <c r="S44" s="715">
        <f t="shared" si="12"/>
        <v>100</v>
      </c>
      <c r="T44" s="714" t="s">
        <v>17</v>
      </c>
      <c r="U44" s="715">
        <f t="shared" si="13"/>
        <v>100</v>
      </c>
      <c r="V44" s="714" t="s">
        <v>17</v>
      </c>
      <c r="W44" s="715">
        <f t="shared" si="14"/>
        <v>100</v>
      </c>
      <c r="X44" s="1539"/>
      <c r="Y44" s="335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48"/>
      <c r="Q45" s="1527">
        <f t="shared" si="11"/>
        <v>111</v>
      </c>
      <c r="R45" s="710" t="s">
        <v>17</v>
      </c>
      <c r="S45" s="711">
        <f t="shared" si="12"/>
        <v>100</v>
      </c>
      <c r="T45" s="710" t="s">
        <v>17</v>
      </c>
      <c r="U45" s="711">
        <f t="shared" si="13"/>
        <v>100</v>
      </c>
      <c r="V45" s="710" t="s">
        <v>17</v>
      </c>
      <c r="W45" s="711">
        <f t="shared" si="14"/>
        <v>100</v>
      </c>
      <c r="X45" s="712"/>
      <c r="Y45" s="335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48"/>
      <c r="Q46" s="1536">
        <f t="shared" si="11"/>
        <v>111</v>
      </c>
      <c r="R46" s="714" t="s">
        <v>17</v>
      </c>
      <c r="S46" s="715">
        <f t="shared" si="12"/>
        <v>100</v>
      </c>
      <c r="T46" s="714" t="s">
        <v>17</v>
      </c>
      <c r="U46" s="715">
        <f t="shared" si="13"/>
        <v>100</v>
      </c>
      <c r="V46" s="714" t="s">
        <v>17</v>
      </c>
      <c r="W46" s="715">
        <f t="shared" si="14"/>
        <v>100</v>
      </c>
      <c r="X46" s="1539"/>
      <c r="Y46" s="335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49"/>
      <c r="Q47" s="1536">
        <f t="shared" si="11"/>
        <v>111</v>
      </c>
      <c r="R47" s="714" t="s">
        <v>17</v>
      </c>
      <c r="S47" s="715">
        <f t="shared" si="12"/>
        <v>100</v>
      </c>
      <c r="T47" s="714" t="s">
        <v>17</v>
      </c>
      <c r="U47" s="715">
        <f t="shared" si="13"/>
        <v>100</v>
      </c>
      <c r="V47" s="714" t="s">
        <v>17</v>
      </c>
      <c r="W47" s="715">
        <f t="shared" si="14"/>
        <v>100</v>
      </c>
      <c r="X47" s="1539"/>
      <c r="Y47" s="3351"/>
      <c r="Z47" s="1540">
        <f t="shared" si="15"/>
        <v>111</v>
      </c>
      <c r="AA47" s="1537">
        <f t="shared" si="3"/>
        <v>1</v>
      </c>
      <c r="AB47" s="1537">
        <f t="shared" si="4"/>
        <v>1</v>
      </c>
      <c r="AC47" s="2148">
        <f t="shared" si="5"/>
        <v>1</v>
      </c>
    </row>
    <row r="48" spans="1:29" ht="15">
      <c r="A48" s="438" t="s">
        <v>2395</v>
      </c>
      <c r="B48" s="439"/>
      <c r="C48" s="1316" t="s">
        <v>1</v>
      </c>
      <c r="D48" s="1317"/>
      <c r="E48" s="1318"/>
      <c r="F48" s="1319"/>
      <c r="G48" s="1320"/>
      <c r="H48" s="1321"/>
      <c r="I48" s="1318"/>
      <c r="J48" s="444"/>
      <c r="K48" s="723"/>
      <c r="L48" s="2950"/>
      <c r="M48" s="2942"/>
      <c r="N48" s="2942"/>
      <c r="O48" s="2942"/>
      <c r="P48" s="3325" t="str">
        <f>A48</f>
        <v>成交单价（元/平方米）</v>
      </c>
      <c r="Q48" s="3343"/>
      <c r="R48" s="3344">
        <f>E48</f>
        <v>0</v>
      </c>
      <c r="S48" s="3344"/>
      <c r="T48" s="3344">
        <f>G48</f>
        <v>0</v>
      </c>
      <c r="U48" s="3344"/>
      <c r="V48" s="3344">
        <f>I48</f>
        <v>0</v>
      </c>
      <c r="W48" s="3344"/>
      <c r="X48" s="405"/>
      <c r="Y48" s="721"/>
      <c r="Z48" s="405"/>
      <c r="AA48" s="405"/>
      <c r="AB48" s="405"/>
      <c r="AC48" s="586"/>
    </row>
    <row r="49" spans="1:29" ht="15.75" thickBot="1">
      <c r="A49" s="445" t="s">
        <v>2487</v>
      </c>
      <c r="B49" s="446"/>
      <c r="C49" s="1322" t="e">
        <f>R50</f>
        <v>#DIV/0!</v>
      </c>
      <c r="D49" s="2538" t="s">
        <v>2876</v>
      </c>
      <c r="E49" s="1323" t="e">
        <f>R49</f>
        <v>#DIV/0!</v>
      </c>
      <c r="F49" s="2539"/>
      <c r="G49" s="1322" t="e">
        <f>T49</f>
        <v>#DIV/0!</v>
      </c>
      <c r="H49" s="2539"/>
      <c r="I49" s="1323" t="e">
        <f>V49</f>
        <v>#DIV/0!</v>
      </c>
      <c r="J49" s="2539"/>
      <c r="K49" s="2541">
        <f>F49+H49+J49</f>
        <v>0</v>
      </c>
      <c r="L49" s="2950"/>
      <c r="M49" s="2942"/>
      <c r="N49" s="2942"/>
      <c r="O49" s="2942"/>
      <c r="P49" s="3325" t="str">
        <f>A49</f>
        <v>比较价值（元/平方米）</v>
      </c>
      <c r="Q49" s="3343"/>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0"/>
      <c r="M50" s="2942"/>
      <c r="N50" s="2942"/>
      <c r="O50" s="2942"/>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2492</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2470</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北京通州国际种业科技有限公司：</v>
      </c>
    </row>
    <row r="4" spans="1:1" ht="54">
      <c r="A4" s="1665"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2021年4月29日（评估专业人员实地查勘之日）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75038.94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1044"/>
      <c r="M4" s="1045"/>
      <c r="N4" s="1045"/>
      <c r="O4" s="1045"/>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1044"/>
      <c r="M5" s="1045"/>
      <c r="N5" s="1045"/>
      <c r="O5" s="1045"/>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567" t="s">
        <v>2365</v>
      </c>
      <c r="L6" s="1044"/>
      <c r="M6" s="1045"/>
      <c r="N6" s="1045"/>
      <c r="O6" s="1045"/>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1" t="s">
        <v>2370</v>
      </c>
      <c r="Q8" s="3312"/>
      <c r="R8" s="710" t="s">
        <v>17</v>
      </c>
      <c r="S8" s="711">
        <f t="shared" si="0"/>
        <v>0</v>
      </c>
      <c r="T8" s="710" t="s">
        <v>17</v>
      </c>
      <c r="U8" s="711">
        <f t="shared" si="1"/>
        <v>0</v>
      </c>
      <c r="V8" s="710" t="s">
        <v>17</v>
      </c>
      <c r="W8" s="711">
        <f t="shared" si="2"/>
        <v>0</v>
      </c>
      <c r="X8" s="712"/>
      <c r="Y8" s="3311" t="s">
        <v>2370</v>
      </c>
      <c r="Z8" s="3312"/>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3"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3"/>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3"/>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3"/>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5" t="s">
        <v>2378</v>
      </c>
      <c r="Q15" s="1536" t="str">
        <f t="shared" si="6"/>
        <v>产业集聚程度</v>
      </c>
      <c r="R15" s="714" t="s">
        <v>17</v>
      </c>
      <c r="S15" s="715">
        <f t="shared" si="0"/>
        <v>100</v>
      </c>
      <c r="T15" s="714" t="s">
        <v>17</v>
      </c>
      <c r="U15" s="715">
        <f t="shared" si="1"/>
        <v>100</v>
      </c>
      <c r="V15" s="714" t="s">
        <v>17</v>
      </c>
      <c r="W15" s="715">
        <f t="shared" si="2"/>
        <v>100</v>
      </c>
      <c r="X15" s="1539"/>
      <c r="Y15" s="3345"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6"/>
      <c r="Q16" s="1536"/>
      <c r="R16" s="714"/>
      <c r="S16" s="715"/>
      <c r="T16" s="714"/>
      <c r="U16" s="715"/>
      <c r="V16" s="714"/>
      <c r="W16" s="715"/>
      <c r="X16" s="1539"/>
      <c r="Y16" s="334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6"/>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6"/>
      <c r="Q18" s="1536"/>
      <c r="R18" s="714"/>
      <c r="S18" s="715"/>
      <c r="T18" s="714"/>
      <c r="U18" s="715"/>
      <c r="V18" s="714"/>
      <c r="W18" s="715"/>
      <c r="X18" s="1539"/>
      <c r="Y18" s="3346"/>
      <c r="Z18" s="1540"/>
      <c r="AA18" s="1537">
        <v>1</v>
      </c>
      <c r="AB18" s="1537">
        <v>1</v>
      </c>
      <c r="AC18" s="1537">
        <v>1</v>
      </c>
    </row>
    <row r="19" spans="1:29" ht="42.75">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6"/>
      <c r="Q19" s="1536" t="str">
        <f>B19</f>
        <v>公共配套设施</v>
      </c>
      <c r="R19" s="714" t="s">
        <v>17</v>
      </c>
      <c r="S19" s="715">
        <f>F19</f>
        <v>100</v>
      </c>
      <c r="T19" s="714" t="s">
        <v>17</v>
      </c>
      <c r="U19" s="715">
        <f>H19</f>
        <v>100</v>
      </c>
      <c r="V19" s="714" t="s">
        <v>17</v>
      </c>
      <c r="W19" s="715">
        <f>J19</f>
        <v>100</v>
      </c>
      <c r="X19" s="1539"/>
      <c r="Y19" s="334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6"/>
      <c r="Q20" s="1536"/>
      <c r="R20" s="714"/>
      <c r="S20" s="715"/>
      <c r="T20" s="714"/>
      <c r="U20" s="715"/>
      <c r="V20" s="714"/>
      <c r="W20" s="715"/>
      <c r="X20" s="1539"/>
      <c r="Y20" s="3346"/>
      <c r="Z20" s="1540"/>
      <c r="AA20" s="1537">
        <v>1</v>
      </c>
      <c r="AB20" s="1537">
        <v>1</v>
      </c>
      <c r="AC20" s="1537">
        <v>1</v>
      </c>
    </row>
    <row r="21" spans="1:29" ht="28.5">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6"/>
      <c r="Q21" s="1536" t="str">
        <f>B21</f>
        <v>基础设施水平</v>
      </c>
      <c r="R21" s="714" t="s">
        <v>17</v>
      </c>
      <c r="S21" s="715">
        <f>F21</f>
        <v>100</v>
      </c>
      <c r="T21" s="714" t="s">
        <v>17</v>
      </c>
      <c r="U21" s="715">
        <f>H21</f>
        <v>100</v>
      </c>
      <c r="V21" s="714" t="s">
        <v>17</v>
      </c>
      <c r="W21" s="715">
        <f>J21</f>
        <v>100</v>
      </c>
      <c r="X21" s="1539"/>
      <c r="Y21" s="33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6"/>
      <c r="Q22" s="1536"/>
      <c r="R22" s="714"/>
      <c r="S22" s="715"/>
      <c r="T22" s="714"/>
      <c r="U22" s="715"/>
      <c r="V22" s="714"/>
      <c r="W22" s="715"/>
      <c r="X22" s="1539"/>
      <c r="Y22" s="3346"/>
      <c r="Z22" s="1540"/>
      <c r="AA22" s="1537">
        <v>1</v>
      </c>
      <c r="AB22" s="1537">
        <v>1</v>
      </c>
      <c r="AC22" s="1537">
        <v>1</v>
      </c>
    </row>
    <row r="23" spans="1:29" ht="71.25">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6"/>
      <c r="Q23" s="1536" t="str">
        <f>B23</f>
        <v>环境质量</v>
      </c>
      <c r="R23" s="714" t="s">
        <v>17</v>
      </c>
      <c r="S23" s="715">
        <f>F23</f>
        <v>100</v>
      </c>
      <c r="T23" s="714" t="s">
        <v>17</v>
      </c>
      <c r="U23" s="715">
        <f>H23</f>
        <v>100</v>
      </c>
      <c r="V23" s="714" t="s">
        <v>17</v>
      </c>
      <c r="W23" s="715">
        <f>J23</f>
        <v>100</v>
      </c>
      <c r="X23" s="1539"/>
      <c r="Y23" s="334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6"/>
      <c r="Q24" s="1536"/>
      <c r="R24" s="714"/>
      <c r="S24" s="715"/>
      <c r="T24" s="714"/>
      <c r="U24" s="715"/>
      <c r="V24" s="714"/>
      <c r="W24" s="715"/>
      <c r="X24" s="1539"/>
      <c r="Y24" s="334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6"/>
      <c r="Q25" s="1536">
        <f>B25</f>
        <v>111</v>
      </c>
      <c r="R25" s="714" t="s">
        <v>17</v>
      </c>
      <c r="S25" s="715">
        <f>F25</f>
        <v>100</v>
      </c>
      <c r="T25" s="714" t="s">
        <v>17</v>
      </c>
      <c r="U25" s="715">
        <f>H25</f>
        <v>100</v>
      </c>
      <c r="V25" s="714" t="s">
        <v>17</v>
      </c>
      <c r="W25" s="715">
        <f>J25</f>
        <v>100</v>
      </c>
      <c r="X25" s="1539"/>
      <c r="Y25" s="334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6"/>
      <c r="Q26" s="1536">
        <f t="shared" ref="Q26:Q40" si="11">B26</f>
        <v>111</v>
      </c>
      <c r="R26" s="714" t="s">
        <v>17</v>
      </c>
      <c r="S26" s="715">
        <f>F26</f>
        <v>100</v>
      </c>
      <c r="T26" s="714" t="s">
        <v>17</v>
      </c>
      <c r="U26" s="715">
        <f>H26</f>
        <v>100</v>
      </c>
      <c r="V26" s="714" t="s">
        <v>17</v>
      </c>
      <c r="W26" s="715">
        <f>J26</f>
        <v>100</v>
      </c>
      <c r="X26" s="1539"/>
      <c r="Y26" s="334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6"/>
      <c r="Q27" s="1527">
        <f t="shared" si="11"/>
        <v>111</v>
      </c>
      <c r="R27" s="710" t="s">
        <v>17</v>
      </c>
      <c r="S27" s="711">
        <f>F27</f>
        <v>100</v>
      </c>
      <c r="T27" s="710" t="s">
        <v>17</v>
      </c>
      <c r="U27" s="711">
        <f>H27</f>
        <v>100</v>
      </c>
      <c r="V27" s="710" t="s">
        <v>17</v>
      </c>
      <c r="W27" s="711">
        <f>J27</f>
        <v>100</v>
      </c>
      <c r="X27" s="712"/>
      <c r="Y27" s="334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6"/>
      <c r="Q28" s="1536">
        <f t="shared" si="11"/>
        <v>111</v>
      </c>
      <c r="R28" s="714" t="s">
        <v>17</v>
      </c>
      <c r="S28" s="715">
        <f t="shared" ref="S28:S40" si="12">F28</f>
        <v>100</v>
      </c>
      <c r="T28" s="714" t="s">
        <v>17</v>
      </c>
      <c r="U28" s="715">
        <f t="shared" ref="U28:U40" si="13">H28</f>
        <v>100</v>
      </c>
      <c r="V28" s="714" t="s">
        <v>17</v>
      </c>
      <c r="W28" s="715">
        <f t="shared" ref="W28:W40" si="14">J28</f>
        <v>100</v>
      </c>
      <c r="X28" s="1539"/>
      <c r="Y28" s="3346"/>
      <c r="Z28" s="1540">
        <f t="shared" ref="Z28:Z40" si="15">Q28</f>
        <v>111</v>
      </c>
      <c r="AA28" s="1537">
        <f t="shared" si="3"/>
        <v>1</v>
      </c>
      <c r="AB28" s="1537">
        <f t="shared" si="4"/>
        <v>1</v>
      </c>
      <c r="AC28" s="1537">
        <f t="shared" si="5"/>
        <v>1</v>
      </c>
    </row>
    <row r="29" spans="1:29" ht="28.5">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9" t="s">
        <v>2383</v>
      </c>
      <c r="Q29" s="1536" t="str">
        <f t="shared" si="11"/>
        <v>建筑类型</v>
      </c>
      <c r="R29" s="714" t="s">
        <v>17</v>
      </c>
      <c r="S29" s="715">
        <f t="shared" si="12"/>
        <v>100</v>
      </c>
      <c r="T29" s="714" t="s">
        <v>17</v>
      </c>
      <c r="U29" s="715">
        <f t="shared" si="13"/>
        <v>100</v>
      </c>
      <c r="V29" s="714" t="s">
        <v>17</v>
      </c>
      <c r="W29" s="715">
        <f t="shared" si="14"/>
        <v>100</v>
      </c>
      <c r="X29" s="1539"/>
      <c r="Y29" s="3350"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0"/>
      <c r="Q30" s="716" t="str">
        <f t="shared" si="11"/>
        <v>项目建筑规模</v>
      </c>
      <c r="R30" s="717" t="s">
        <v>17</v>
      </c>
      <c r="S30" s="718" t="e">
        <f t="shared" si="12"/>
        <v>#N/A</v>
      </c>
      <c r="T30" s="717" t="s">
        <v>17</v>
      </c>
      <c r="U30" s="718" t="e">
        <f t="shared" si="13"/>
        <v>#N/A</v>
      </c>
      <c r="V30" s="717" t="s">
        <v>17</v>
      </c>
      <c r="W30" s="718" t="e">
        <f t="shared" si="14"/>
        <v>#N/A</v>
      </c>
      <c r="X30" s="719"/>
      <c r="Y30" s="3350"/>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0"/>
      <c r="Q31" s="1536" t="str">
        <f t="shared" si="11"/>
        <v>建筑结构</v>
      </c>
      <c r="R31" s="714" t="s">
        <v>17</v>
      </c>
      <c r="S31" s="715">
        <f t="shared" si="12"/>
        <v>100</v>
      </c>
      <c r="T31" s="714" t="s">
        <v>17</v>
      </c>
      <c r="U31" s="715">
        <f t="shared" si="13"/>
        <v>100</v>
      </c>
      <c r="V31" s="714" t="s">
        <v>17</v>
      </c>
      <c r="W31" s="715">
        <f t="shared" si="14"/>
        <v>100</v>
      </c>
      <c r="X31" s="1539"/>
      <c r="Y31" s="3350"/>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0"/>
      <c r="Q32" s="1536" t="str">
        <f t="shared" si="11"/>
        <v>公共部分装修</v>
      </c>
      <c r="R32" s="714" t="s">
        <v>17</v>
      </c>
      <c r="S32" s="715">
        <f t="shared" si="12"/>
        <v>100</v>
      </c>
      <c r="T32" s="714" t="s">
        <v>17</v>
      </c>
      <c r="U32" s="715">
        <f t="shared" si="13"/>
        <v>100</v>
      </c>
      <c r="V32" s="714" t="s">
        <v>17</v>
      </c>
      <c r="W32" s="715">
        <f t="shared" si="14"/>
        <v>100</v>
      </c>
      <c r="X32" s="1539"/>
      <c r="Y32" s="3350"/>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0"/>
      <c r="Q33" s="1536" t="str">
        <f t="shared" si="11"/>
        <v>成新度</v>
      </c>
      <c r="R33" s="714" t="s">
        <v>17</v>
      </c>
      <c r="S33" s="715" t="e">
        <f t="shared" si="12"/>
        <v>#N/A</v>
      </c>
      <c r="T33" s="714" t="s">
        <v>17</v>
      </c>
      <c r="U33" s="715" t="e">
        <f t="shared" si="13"/>
        <v>#N/A</v>
      </c>
      <c r="V33" s="714" t="s">
        <v>17</v>
      </c>
      <c r="W33" s="715" t="e">
        <f t="shared" si="14"/>
        <v>#N/A</v>
      </c>
      <c r="X33" s="1539"/>
      <c r="Y33" s="3350"/>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0"/>
      <c r="Q34" s="1527" t="str">
        <f t="shared" si="11"/>
        <v>物业管理</v>
      </c>
      <c r="R34" s="710" t="s">
        <v>17</v>
      </c>
      <c r="S34" s="711">
        <f t="shared" si="12"/>
        <v>100</v>
      </c>
      <c r="T34" s="710" t="s">
        <v>17</v>
      </c>
      <c r="U34" s="711">
        <f t="shared" si="13"/>
        <v>100</v>
      </c>
      <c r="V34" s="710" t="s">
        <v>17</v>
      </c>
      <c r="W34" s="711">
        <f t="shared" si="14"/>
        <v>100</v>
      </c>
      <c r="X34" s="712"/>
      <c r="Y34" s="3350"/>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0" t="s">
        <v>2383</v>
      </c>
      <c r="Q35" s="1536" t="str">
        <f t="shared" si="11"/>
        <v>市政基础设施</v>
      </c>
      <c r="R35" s="714" t="s">
        <v>17</v>
      </c>
      <c r="S35" s="715">
        <f t="shared" si="12"/>
        <v>100</v>
      </c>
      <c r="T35" s="714" t="s">
        <v>17</v>
      </c>
      <c r="U35" s="715">
        <f t="shared" si="13"/>
        <v>100</v>
      </c>
      <c r="V35" s="714" t="s">
        <v>17</v>
      </c>
      <c r="W35" s="715">
        <f t="shared" si="14"/>
        <v>100</v>
      </c>
      <c r="X35" s="1539"/>
      <c r="Y35" s="3350"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0"/>
      <c r="Q36" s="1536" t="str">
        <f t="shared" si="11"/>
        <v>内部装修</v>
      </c>
      <c r="R36" s="714" t="s">
        <v>17</v>
      </c>
      <c r="S36" s="715">
        <f t="shared" si="12"/>
        <v>100</v>
      </c>
      <c r="T36" s="714" t="s">
        <v>17</v>
      </c>
      <c r="U36" s="715">
        <f t="shared" si="13"/>
        <v>100</v>
      </c>
      <c r="V36" s="714" t="s">
        <v>17</v>
      </c>
      <c r="W36" s="715">
        <f t="shared" si="14"/>
        <v>100</v>
      </c>
      <c r="X36" s="1539"/>
      <c r="Y36" s="3350"/>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0"/>
      <c r="Q37" s="1536" t="str">
        <f t="shared" si="11"/>
        <v>内部装修状况</v>
      </c>
      <c r="R37" s="714" t="s">
        <v>17</v>
      </c>
      <c r="S37" s="715">
        <f t="shared" si="12"/>
        <v>100</v>
      </c>
      <c r="T37" s="714" t="s">
        <v>17</v>
      </c>
      <c r="U37" s="715">
        <f t="shared" si="13"/>
        <v>100</v>
      </c>
      <c r="V37" s="714" t="s">
        <v>17</v>
      </c>
      <c r="W37" s="715">
        <f t="shared" si="14"/>
        <v>100</v>
      </c>
      <c r="X37" s="1539"/>
      <c r="Y37" s="335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0"/>
      <c r="Q38" s="716">
        <f t="shared" si="11"/>
        <v>111</v>
      </c>
      <c r="R38" s="717" t="s">
        <v>17</v>
      </c>
      <c r="S38" s="718">
        <f t="shared" si="12"/>
        <v>100</v>
      </c>
      <c r="T38" s="717" t="s">
        <v>17</v>
      </c>
      <c r="U38" s="718">
        <f t="shared" si="13"/>
        <v>100</v>
      </c>
      <c r="V38" s="717" t="s">
        <v>17</v>
      </c>
      <c r="W38" s="718">
        <f t="shared" si="14"/>
        <v>100</v>
      </c>
      <c r="X38" s="719"/>
      <c r="Y38" s="335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0"/>
      <c r="Q39" s="1536">
        <f t="shared" si="11"/>
        <v>111</v>
      </c>
      <c r="R39" s="714" t="s">
        <v>17</v>
      </c>
      <c r="S39" s="715">
        <f t="shared" si="12"/>
        <v>100</v>
      </c>
      <c r="T39" s="714" t="s">
        <v>17</v>
      </c>
      <c r="U39" s="715">
        <f t="shared" si="13"/>
        <v>100</v>
      </c>
      <c r="V39" s="714" t="s">
        <v>17</v>
      </c>
      <c r="W39" s="715">
        <f t="shared" si="14"/>
        <v>100</v>
      </c>
      <c r="X39" s="1539"/>
      <c r="Y39" s="335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1"/>
      <c r="Q40" s="1536">
        <f t="shared" si="11"/>
        <v>111</v>
      </c>
      <c r="R40" s="714" t="s">
        <v>17</v>
      </c>
      <c r="S40" s="715">
        <f t="shared" si="12"/>
        <v>100</v>
      </c>
      <c r="T40" s="714" t="s">
        <v>17</v>
      </c>
      <c r="U40" s="715">
        <f t="shared" si="13"/>
        <v>100</v>
      </c>
      <c r="V40" s="714" t="s">
        <v>17</v>
      </c>
      <c r="W40" s="715">
        <f t="shared" si="14"/>
        <v>100</v>
      </c>
      <c r="X40" s="1539"/>
      <c r="Y40" s="3351"/>
      <c r="Z40" s="1540">
        <f t="shared" si="15"/>
        <v>111</v>
      </c>
      <c r="AA40" s="1537">
        <f t="shared" si="3"/>
        <v>1</v>
      </c>
      <c r="AB40" s="1537">
        <f t="shared" si="4"/>
        <v>1</v>
      </c>
      <c r="AC40" s="1537">
        <f t="shared" si="5"/>
        <v>1</v>
      </c>
    </row>
    <row r="41" spans="1:29" ht="15">
      <c r="A41" s="438" t="s">
        <v>2395</v>
      </c>
      <c r="B41" s="439"/>
      <c r="C41" s="1316" t="s">
        <v>1</v>
      </c>
      <c r="D41" s="1317"/>
      <c r="E41" s="1318"/>
      <c r="F41" s="1319"/>
      <c r="G41" s="1320"/>
      <c r="H41" s="1321"/>
      <c r="I41" s="1318"/>
      <c r="J41" s="1321"/>
      <c r="K41" s="723"/>
      <c r="L41" s="1057"/>
      <c r="M41" s="1058"/>
      <c r="N41" s="1045"/>
      <c r="O41" s="1058"/>
      <c r="P41" s="3343" t="str">
        <f>A41</f>
        <v>成交单价（元/平方米）</v>
      </c>
      <c r="Q41" s="3343"/>
      <c r="R41" s="3344">
        <f>E41</f>
        <v>0</v>
      </c>
      <c r="S41" s="3344"/>
      <c r="T41" s="3344">
        <f>G41</f>
        <v>0</v>
      </c>
      <c r="U41" s="3344"/>
      <c r="V41" s="3344">
        <f>I41</f>
        <v>0</v>
      </c>
      <c r="W41" s="3344"/>
      <c r="X41" s="699"/>
      <c r="Y41" s="721"/>
      <c r="Z41" s="699"/>
      <c r="AA41" s="699"/>
      <c r="AB41" s="699"/>
      <c r="AC41" s="699"/>
    </row>
    <row r="42" spans="1:29" ht="15.75" thickBot="1">
      <c r="A42" s="445" t="s">
        <v>2487</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40" t="str">
        <f>A43</f>
        <v>估价对象XX用房的比较价值（楼面单价，元/平方米）</v>
      </c>
      <c r="Q43" s="3341"/>
      <c r="R43" s="3342" t="e">
        <f>IF(F1="售价",ROUND(IF(D42="简单平均",AVERAGE(R42:V42),R42*F42+T42*H42+V42*J42),0),ROUND(IF(D42="简单平均",AVERAGE(R42:V42),R42*F42+T42*H42+V42*J42),1))</f>
        <v>#DIV/0!</v>
      </c>
      <c r="S43" s="3342"/>
      <c r="T43" s="3342"/>
      <c r="U43" s="3342"/>
      <c r="V43" s="3342"/>
      <c r="W43" s="3342"/>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6"/>
      <c r="O54" s="2997"/>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11" t="s">
        <v>2367</v>
      </c>
      <c r="Q7" s="3339"/>
      <c r="R7" s="710" t="s">
        <v>17</v>
      </c>
      <c r="S7" s="711">
        <f t="shared" ref="S7:S14" si="0">F7</f>
        <v>0</v>
      </c>
      <c r="T7" s="710" t="s">
        <v>17</v>
      </c>
      <c r="U7" s="711">
        <f t="shared" ref="U7:U14" si="1">H7</f>
        <v>0</v>
      </c>
      <c r="V7" s="710" t="s">
        <v>17</v>
      </c>
      <c r="W7" s="711">
        <f t="shared" ref="W7:W14" si="2">J7</f>
        <v>0</v>
      </c>
      <c r="X7" s="712"/>
      <c r="Y7" s="3311" t="s">
        <v>2367</v>
      </c>
      <c r="Z7" s="3312"/>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43" t="s">
        <v>2373</v>
      </c>
      <c r="Q9" s="1527" t="str">
        <f t="shared" ref="Q9:Q14" si="6">B9</f>
        <v>用途</v>
      </c>
      <c r="R9" s="710" t="s">
        <v>17</v>
      </c>
      <c r="S9" s="711">
        <f t="shared" si="0"/>
        <v>100</v>
      </c>
      <c r="T9" s="710" t="s">
        <v>17</v>
      </c>
      <c r="U9" s="711">
        <f t="shared" si="1"/>
        <v>100</v>
      </c>
      <c r="V9" s="710" t="s">
        <v>17</v>
      </c>
      <c r="W9" s="711">
        <f t="shared" si="2"/>
        <v>100</v>
      </c>
      <c r="X9" s="712"/>
      <c r="Y9" s="3227"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43"/>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43"/>
      <c r="Q11" s="1527">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45" t="s">
        <v>2378</v>
      </c>
      <c r="Q14" s="1536" t="str">
        <f t="shared" si="6"/>
        <v>交通便捷度</v>
      </c>
      <c r="R14" s="714" t="s">
        <v>17</v>
      </c>
      <c r="S14" s="715">
        <f t="shared" si="0"/>
        <v>100</v>
      </c>
      <c r="T14" s="714" t="s">
        <v>17</v>
      </c>
      <c r="U14" s="715">
        <f t="shared" si="1"/>
        <v>100</v>
      </c>
      <c r="V14" s="714" t="s">
        <v>17</v>
      </c>
      <c r="W14" s="715">
        <f t="shared" si="2"/>
        <v>100</v>
      </c>
      <c r="X14" s="1539"/>
      <c r="Y14" s="3345"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46"/>
      <c r="Q15" s="1536"/>
      <c r="R15" s="714"/>
      <c r="S15" s="715"/>
      <c r="T15" s="714"/>
      <c r="U15" s="715"/>
      <c r="V15" s="714"/>
      <c r="W15" s="715"/>
      <c r="X15" s="1539"/>
      <c r="Y15" s="3346"/>
      <c r="Z15" s="1540"/>
      <c r="AA15" s="1537">
        <v>1</v>
      </c>
      <c r="AB15" s="1537">
        <v>1</v>
      </c>
      <c r="AC15" s="1537">
        <v>1</v>
      </c>
    </row>
    <row r="16" spans="1:29" ht="42.75">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46"/>
      <c r="Q16" s="1536" t="str">
        <f>B16</f>
        <v>公共配套设施</v>
      </c>
      <c r="R16" s="714" t="s">
        <v>17</v>
      </c>
      <c r="S16" s="715">
        <f>F16</f>
        <v>100</v>
      </c>
      <c r="T16" s="714" t="s">
        <v>17</v>
      </c>
      <c r="U16" s="715">
        <f>H16</f>
        <v>100</v>
      </c>
      <c r="V16" s="714" t="s">
        <v>17</v>
      </c>
      <c r="W16" s="715">
        <f>J16</f>
        <v>100</v>
      </c>
      <c r="X16" s="1539"/>
      <c r="Y16" s="334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46"/>
      <c r="Q17" s="1536"/>
      <c r="R17" s="714"/>
      <c r="S17" s="715"/>
      <c r="T17" s="714"/>
      <c r="U17" s="715"/>
      <c r="V17" s="714"/>
      <c r="W17" s="715"/>
      <c r="X17" s="1539"/>
      <c r="Y17" s="3346"/>
      <c r="Z17" s="1540"/>
      <c r="AA17" s="1537">
        <v>1</v>
      </c>
      <c r="AB17" s="1537">
        <v>1</v>
      </c>
      <c r="AC17" s="1537">
        <v>1</v>
      </c>
    </row>
    <row r="18" spans="1:29" ht="28.5">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46"/>
      <c r="Q18" s="1536" t="str">
        <f>B18</f>
        <v>基础设施水平</v>
      </c>
      <c r="R18" s="714" t="s">
        <v>17</v>
      </c>
      <c r="S18" s="715">
        <f>F18</f>
        <v>100</v>
      </c>
      <c r="T18" s="714" t="s">
        <v>17</v>
      </c>
      <c r="U18" s="715">
        <f>H18</f>
        <v>100</v>
      </c>
      <c r="V18" s="714" t="s">
        <v>17</v>
      </c>
      <c r="W18" s="715">
        <f>J18</f>
        <v>100</v>
      </c>
      <c r="X18" s="1539"/>
      <c r="Y18" s="334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346"/>
      <c r="Q19" s="1536"/>
      <c r="R19" s="714"/>
      <c r="S19" s="715"/>
      <c r="T19" s="714"/>
      <c r="U19" s="715"/>
      <c r="V19" s="714"/>
      <c r="W19" s="715"/>
      <c r="X19" s="1539"/>
      <c r="Y19" s="3346"/>
      <c r="Z19" s="1540"/>
      <c r="AA19" s="1537">
        <v>1</v>
      </c>
      <c r="AB19" s="1537">
        <v>1</v>
      </c>
      <c r="AC19" s="1537">
        <v>1</v>
      </c>
    </row>
    <row r="20" spans="1:29" ht="57">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46"/>
      <c r="Q20" s="1536" t="str">
        <f>B20</f>
        <v>自然及人文环境</v>
      </c>
      <c r="R20" s="714" t="s">
        <v>17</v>
      </c>
      <c r="S20" s="715">
        <f>F20</f>
        <v>100</v>
      </c>
      <c r="T20" s="714" t="s">
        <v>17</v>
      </c>
      <c r="U20" s="715">
        <f>H20</f>
        <v>100</v>
      </c>
      <c r="V20" s="714" t="s">
        <v>17</v>
      </c>
      <c r="W20" s="715">
        <f>J20</f>
        <v>100</v>
      </c>
      <c r="X20" s="1539"/>
      <c r="Y20" s="334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46"/>
      <c r="Q21" s="1536"/>
      <c r="R21" s="714"/>
      <c r="S21" s="715"/>
      <c r="T21" s="714"/>
      <c r="U21" s="715"/>
      <c r="V21" s="714"/>
      <c r="W21" s="715"/>
      <c r="X21" s="1539"/>
      <c r="Y21" s="3346"/>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46"/>
      <c r="Q22" s="1536" t="str">
        <f>B22</f>
        <v>楼层</v>
      </c>
      <c r="R22" s="714" t="s">
        <v>17</v>
      </c>
      <c r="S22" s="715">
        <f>F22</f>
        <v>100</v>
      </c>
      <c r="T22" s="714" t="s">
        <v>17</v>
      </c>
      <c r="U22" s="715">
        <f>H22</f>
        <v>100</v>
      </c>
      <c r="V22" s="714" t="s">
        <v>17</v>
      </c>
      <c r="W22" s="715">
        <f>J22</f>
        <v>100</v>
      </c>
      <c r="X22" s="1539"/>
      <c r="Y22" s="334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46"/>
      <c r="Q23" s="1536">
        <f>B23</f>
        <v>111</v>
      </c>
      <c r="R23" s="714" t="s">
        <v>17</v>
      </c>
      <c r="S23" s="715">
        <f>F23</f>
        <v>100</v>
      </c>
      <c r="T23" s="714" t="s">
        <v>17</v>
      </c>
      <c r="U23" s="715">
        <f>H23</f>
        <v>100</v>
      </c>
      <c r="V23" s="714" t="s">
        <v>17</v>
      </c>
      <c r="W23" s="715">
        <f>J23</f>
        <v>100</v>
      </c>
      <c r="X23" s="1539"/>
      <c r="Y23" s="334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46"/>
      <c r="Q24" s="1536">
        <f t="shared" ref="Q24:Q36" si="11">B24</f>
        <v>111</v>
      </c>
      <c r="R24" s="714" t="s">
        <v>17</v>
      </c>
      <c r="S24" s="715">
        <f>F24</f>
        <v>100</v>
      </c>
      <c r="T24" s="714" t="s">
        <v>17</v>
      </c>
      <c r="U24" s="715">
        <f>H24</f>
        <v>100</v>
      </c>
      <c r="V24" s="714" t="s">
        <v>17</v>
      </c>
      <c r="W24" s="715">
        <f>J24</f>
        <v>100</v>
      </c>
      <c r="X24" s="1539"/>
      <c r="Y24" s="334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46"/>
      <c r="Q25" s="1527">
        <f t="shared" si="11"/>
        <v>111</v>
      </c>
      <c r="R25" s="710" t="s">
        <v>17</v>
      </c>
      <c r="S25" s="711">
        <f>F25</f>
        <v>100</v>
      </c>
      <c r="T25" s="710" t="s">
        <v>17</v>
      </c>
      <c r="U25" s="711">
        <f>H25</f>
        <v>100</v>
      </c>
      <c r="V25" s="710" t="s">
        <v>17</v>
      </c>
      <c r="W25" s="711">
        <f>J25</f>
        <v>100</v>
      </c>
      <c r="X25" s="712"/>
      <c r="Y25" s="3346"/>
      <c r="Z25" s="55">
        <f>Q25</f>
        <v>111</v>
      </c>
      <c r="AA25" s="1537">
        <f>D25/F25</f>
        <v>1</v>
      </c>
      <c r="AB25" s="1537">
        <f>D25/H25</f>
        <v>1</v>
      </c>
      <c r="AC25" s="1537">
        <f>D25/J25</f>
        <v>1</v>
      </c>
    </row>
    <row r="26" spans="1:29" ht="28.5">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9"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0"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50"/>
      <c r="Q27" s="716" t="str">
        <f t="shared" si="11"/>
        <v>项目停车位配比</v>
      </c>
      <c r="R27" s="717" t="s">
        <v>17</v>
      </c>
      <c r="S27" s="718">
        <f t="shared" si="12"/>
        <v>100</v>
      </c>
      <c r="T27" s="717" t="s">
        <v>17</v>
      </c>
      <c r="U27" s="718">
        <f t="shared" si="13"/>
        <v>100</v>
      </c>
      <c r="V27" s="717" t="s">
        <v>17</v>
      </c>
      <c r="W27" s="718">
        <f t="shared" si="14"/>
        <v>100</v>
      </c>
      <c r="X27" s="719"/>
      <c r="Y27" s="3350"/>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50"/>
      <c r="Q28" s="1536" t="str">
        <f t="shared" si="11"/>
        <v>公共部分装修</v>
      </c>
      <c r="R28" s="714" t="s">
        <v>17</v>
      </c>
      <c r="S28" s="715">
        <f t="shared" si="12"/>
        <v>100</v>
      </c>
      <c r="T28" s="714" t="s">
        <v>17</v>
      </c>
      <c r="U28" s="715">
        <f t="shared" si="13"/>
        <v>100</v>
      </c>
      <c r="V28" s="714" t="s">
        <v>17</v>
      </c>
      <c r="W28" s="715">
        <f t="shared" si="14"/>
        <v>100</v>
      </c>
      <c r="X28" s="1539"/>
      <c r="Y28" s="3350"/>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50"/>
      <c r="Q29" s="1536" t="str">
        <f t="shared" si="11"/>
        <v>成新率</v>
      </c>
      <c r="R29" s="714" t="s">
        <v>17</v>
      </c>
      <c r="S29" s="715" t="e">
        <f t="shared" si="12"/>
        <v>#N/A</v>
      </c>
      <c r="T29" s="714" t="s">
        <v>17</v>
      </c>
      <c r="U29" s="715" t="e">
        <f t="shared" si="13"/>
        <v>#N/A</v>
      </c>
      <c r="V29" s="714" t="s">
        <v>17</v>
      </c>
      <c r="W29" s="715" t="e">
        <f t="shared" si="14"/>
        <v>#N/A</v>
      </c>
      <c r="X29" s="1539"/>
      <c r="Y29" s="3350"/>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50"/>
      <c r="Q30" s="1536" t="str">
        <f t="shared" si="11"/>
        <v>物业等级</v>
      </c>
      <c r="R30" s="714" t="s">
        <v>17</v>
      </c>
      <c r="S30" s="715">
        <f t="shared" si="12"/>
        <v>100</v>
      </c>
      <c r="T30" s="714" t="s">
        <v>17</v>
      </c>
      <c r="U30" s="715">
        <f t="shared" si="13"/>
        <v>100</v>
      </c>
      <c r="V30" s="714" t="s">
        <v>17</v>
      </c>
      <c r="W30" s="715">
        <f t="shared" si="14"/>
        <v>100</v>
      </c>
      <c r="X30" s="1539"/>
      <c r="Y30" s="3350"/>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50"/>
      <c r="Q31" s="1527" t="str">
        <f t="shared" si="11"/>
        <v>停车位面积</v>
      </c>
      <c r="R31" s="710" t="s">
        <v>17</v>
      </c>
      <c r="S31" s="711" t="e">
        <f t="shared" si="12"/>
        <v>#N/A</v>
      </c>
      <c r="T31" s="710" t="s">
        <v>17</v>
      </c>
      <c r="U31" s="711" t="e">
        <f t="shared" si="13"/>
        <v>#N/A</v>
      </c>
      <c r="V31" s="710" t="s">
        <v>17</v>
      </c>
      <c r="W31" s="711" t="e">
        <f t="shared" si="14"/>
        <v>#N/A</v>
      </c>
      <c r="X31" s="712"/>
      <c r="Y31" s="3350"/>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50" t="s">
        <v>2383</v>
      </c>
      <c r="Q32" s="1536" t="str">
        <f t="shared" si="11"/>
        <v>车位类型</v>
      </c>
      <c r="R32" s="714" t="s">
        <v>17</v>
      </c>
      <c r="S32" s="715">
        <f t="shared" si="12"/>
        <v>100</v>
      </c>
      <c r="T32" s="714" t="s">
        <v>17</v>
      </c>
      <c r="U32" s="715">
        <f t="shared" si="13"/>
        <v>100</v>
      </c>
      <c r="V32" s="714" t="s">
        <v>17</v>
      </c>
      <c r="W32" s="715">
        <f t="shared" si="14"/>
        <v>100</v>
      </c>
      <c r="X32" s="1539"/>
      <c r="Y32" s="3350"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50"/>
      <c r="Q33" s="1536" t="str">
        <f t="shared" si="11"/>
        <v>是否直接入户</v>
      </c>
      <c r="R33" s="714" t="s">
        <v>17</v>
      </c>
      <c r="S33" s="715">
        <f t="shared" si="12"/>
        <v>100</v>
      </c>
      <c r="T33" s="714" t="s">
        <v>17</v>
      </c>
      <c r="U33" s="715">
        <f t="shared" si="13"/>
        <v>100</v>
      </c>
      <c r="V33" s="714" t="s">
        <v>17</v>
      </c>
      <c r="W33" s="715">
        <f t="shared" si="14"/>
        <v>100</v>
      </c>
      <c r="X33" s="1539"/>
      <c r="Y33" s="335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50"/>
      <c r="Q34" s="1536">
        <f t="shared" si="11"/>
        <v>111</v>
      </c>
      <c r="R34" s="714" t="s">
        <v>17</v>
      </c>
      <c r="S34" s="715">
        <f t="shared" si="12"/>
        <v>100</v>
      </c>
      <c r="T34" s="714" t="s">
        <v>17</v>
      </c>
      <c r="U34" s="715">
        <f t="shared" si="13"/>
        <v>100</v>
      </c>
      <c r="V34" s="714" t="s">
        <v>17</v>
      </c>
      <c r="W34" s="715">
        <f t="shared" si="14"/>
        <v>100</v>
      </c>
      <c r="X34" s="1539"/>
      <c r="Y34" s="335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50"/>
      <c r="Q35" s="716">
        <f t="shared" si="11"/>
        <v>111</v>
      </c>
      <c r="R35" s="717" t="s">
        <v>17</v>
      </c>
      <c r="S35" s="718">
        <f t="shared" si="12"/>
        <v>100</v>
      </c>
      <c r="T35" s="717" t="s">
        <v>17</v>
      </c>
      <c r="U35" s="718">
        <f t="shared" si="13"/>
        <v>100</v>
      </c>
      <c r="V35" s="717" t="s">
        <v>17</v>
      </c>
      <c r="W35" s="718">
        <f t="shared" si="14"/>
        <v>100</v>
      </c>
      <c r="X35" s="719"/>
      <c r="Y35" s="335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50"/>
      <c r="Q36" s="1536">
        <f t="shared" si="11"/>
        <v>111</v>
      </c>
      <c r="R36" s="714" t="s">
        <v>17</v>
      </c>
      <c r="S36" s="715">
        <f t="shared" si="12"/>
        <v>100</v>
      </c>
      <c r="T36" s="714" t="s">
        <v>17</v>
      </c>
      <c r="U36" s="715">
        <f t="shared" si="13"/>
        <v>100</v>
      </c>
      <c r="V36" s="714" t="s">
        <v>17</v>
      </c>
      <c r="W36" s="715">
        <f t="shared" si="14"/>
        <v>100</v>
      </c>
      <c r="X36" s="1539"/>
      <c r="Y36" s="3350"/>
      <c r="Z36" s="1540">
        <f t="shared" si="15"/>
        <v>111</v>
      </c>
      <c r="AA36" s="1537">
        <f t="shared" si="3"/>
        <v>1</v>
      </c>
      <c r="AB36" s="1537">
        <f t="shared" si="4"/>
        <v>1</v>
      </c>
      <c r="AC36" s="1537">
        <f t="shared" si="5"/>
        <v>1</v>
      </c>
    </row>
    <row r="37" spans="1:29" ht="15">
      <c r="A37" s="438" t="s">
        <v>2538</v>
      </c>
      <c r="B37" s="2159" t="s">
        <v>2539</v>
      </c>
      <c r="C37" s="1316" t="s">
        <v>1</v>
      </c>
      <c r="D37" s="1317"/>
      <c r="E37" s="1318"/>
      <c r="F37" s="1319"/>
      <c r="G37" s="1320"/>
      <c r="H37" s="1321"/>
      <c r="I37" s="1318"/>
      <c r="J37" s="1321"/>
      <c r="K37" s="576"/>
      <c r="L37" s="2950"/>
      <c r="M37" s="2951"/>
      <c r="N37" s="2942"/>
      <c r="O37" s="2951"/>
      <c r="P37" s="3343" t="str">
        <f>A37</f>
        <v>成交单价</v>
      </c>
      <c r="Q37" s="3343"/>
      <c r="R37" s="3344">
        <f>E37</f>
        <v>0</v>
      </c>
      <c r="S37" s="3344"/>
      <c r="T37" s="3344">
        <f>G37</f>
        <v>0</v>
      </c>
      <c r="U37" s="3344"/>
      <c r="V37" s="3344">
        <f>I37</f>
        <v>0</v>
      </c>
      <c r="W37" s="3344"/>
      <c r="X37" s="699"/>
      <c r="Y37" s="721"/>
      <c r="Z37" s="699"/>
      <c r="AA37" s="699"/>
      <c r="AB37" s="699"/>
      <c r="AC37" s="699"/>
    </row>
    <row r="38" spans="1:29" ht="15.75" thickBot="1">
      <c r="A38" s="445" t="s">
        <v>2540</v>
      </c>
      <c r="B38" s="446" t="str">
        <f>B37</f>
        <v>元/车位</v>
      </c>
      <c r="C38" s="1322" t="e">
        <f>R39</f>
        <v>#DIV/0!</v>
      </c>
      <c r="D38" s="2538" t="s">
        <v>2876</v>
      </c>
      <c r="E38" s="1323" t="e">
        <f>R38</f>
        <v>#DIV/0!</v>
      </c>
      <c r="F38" s="2539"/>
      <c r="G38" s="1322" t="e">
        <f>T38</f>
        <v>#DIV/0!</v>
      </c>
      <c r="H38" s="2539"/>
      <c r="I38" s="1323" t="e">
        <f>V38</f>
        <v>#DIV/0!</v>
      </c>
      <c r="J38" s="2539"/>
      <c r="K38" s="2541">
        <f>F38+H38+J38</f>
        <v>0</v>
      </c>
      <c r="L38" s="2950"/>
      <c r="M38" s="2951"/>
      <c r="N38" s="2951"/>
      <c r="O38" s="2951"/>
      <c r="P38" s="3343" t="str">
        <f>A38</f>
        <v>比较价值（元/平方米）</v>
      </c>
      <c r="Q38" s="334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0"/>
      <c r="M39" s="2951"/>
      <c r="N39" s="2951"/>
      <c r="O39" s="2951"/>
      <c r="P39" s="3340" t="str">
        <f>A39</f>
        <v>估价对象XX用房的比较价值（楼面单价，元/平方米）</v>
      </c>
      <c r="Q39" s="3341"/>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2403</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2368</v>
      </c>
      <c r="B51" s="467"/>
      <c r="C51" s="479" t="s">
        <v>2470</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2406</v>
      </c>
      <c r="B53" s="485" t="s">
        <v>2372</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2421</v>
      </c>
      <c r="C65" s="535" t="s">
        <v>2415</v>
      </c>
      <c r="D65" s="535" t="s">
        <v>2416</v>
      </c>
      <c r="E65" s="535" t="s">
        <v>2417</v>
      </c>
      <c r="F65" s="535" t="s">
        <v>2418</v>
      </c>
      <c r="G65" s="535" t="s">
        <v>2419</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2507</v>
      </c>
      <c r="C67" s="616" t="s">
        <v>2493</v>
      </c>
      <c r="D67" s="616" t="s">
        <v>2494</v>
      </c>
      <c r="E67" s="616" t="s">
        <v>2495</v>
      </c>
      <c r="F67" s="616" t="s">
        <v>2496</v>
      </c>
      <c r="G67" s="616" t="s">
        <v>2497</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2427</v>
      </c>
      <c r="C69" s="535" t="s">
        <v>2415</v>
      </c>
      <c r="D69" s="535" t="s">
        <v>2416</v>
      </c>
      <c r="E69" s="535" t="s">
        <v>2417</v>
      </c>
      <c r="F69" s="535" t="s">
        <v>2418</v>
      </c>
      <c r="G69" s="535" t="s">
        <v>2419</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2381</v>
      </c>
      <c r="B79" s="485" t="s">
        <v>2548</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2434</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11" t="s">
        <v>2367</v>
      </c>
      <c r="Q7" s="3339"/>
      <c r="R7" s="710" t="s">
        <v>17</v>
      </c>
      <c r="S7" s="711">
        <f t="shared" ref="S7:S14" si="0">F7</f>
        <v>0</v>
      </c>
      <c r="T7" s="710" t="s">
        <v>17</v>
      </c>
      <c r="U7" s="711">
        <f t="shared" ref="U7:U14" si="1">H7</f>
        <v>0</v>
      </c>
      <c r="V7" s="710" t="s">
        <v>17</v>
      </c>
      <c r="W7" s="711">
        <f t="shared" ref="W7:W14" si="2">J7</f>
        <v>0</v>
      </c>
      <c r="X7" s="712"/>
      <c r="Y7" s="3311" t="s">
        <v>2367</v>
      </c>
      <c r="Z7" s="3312"/>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43" t="s">
        <v>2373</v>
      </c>
      <c r="Q9" s="1527" t="str">
        <f t="shared" ref="Q9:Q14" si="6">B9</f>
        <v>用途</v>
      </c>
      <c r="R9" s="710" t="s">
        <v>17</v>
      </c>
      <c r="S9" s="711">
        <f t="shared" si="0"/>
        <v>100</v>
      </c>
      <c r="T9" s="710" t="s">
        <v>17</v>
      </c>
      <c r="U9" s="711">
        <f t="shared" si="1"/>
        <v>100</v>
      </c>
      <c r="V9" s="710" t="s">
        <v>17</v>
      </c>
      <c r="W9" s="711">
        <f t="shared" si="2"/>
        <v>100</v>
      </c>
      <c r="X9" s="712"/>
      <c r="Y9" s="3227"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43"/>
      <c r="Q10" s="1527"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43"/>
      <c r="Q11" s="1527">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45" t="s">
        <v>2378</v>
      </c>
      <c r="Q14" s="1536" t="str">
        <f t="shared" si="6"/>
        <v>交通便捷度</v>
      </c>
      <c r="R14" s="714" t="s">
        <v>17</v>
      </c>
      <c r="S14" s="715">
        <f t="shared" si="0"/>
        <v>100</v>
      </c>
      <c r="T14" s="714" t="s">
        <v>17</v>
      </c>
      <c r="U14" s="715">
        <f t="shared" si="1"/>
        <v>100</v>
      </c>
      <c r="V14" s="714" t="s">
        <v>17</v>
      </c>
      <c r="W14" s="715">
        <f t="shared" si="2"/>
        <v>100</v>
      </c>
      <c r="X14" s="1539"/>
      <c r="Y14" s="3345"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46"/>
      <c r="Q15" s="1536"/>
      <c r="R15" s="714"/>
      <c r="S15" s="715"/>
      <c r="T15" s="714"/>
      <c r="U15" s="715"/>
      <c r="V15" s="714"/>
      <c r="W15" s="715"/>
      <c r="X15" s="1539"/>
      <c r="Y15" s="3346"/>
      <c r="Z15" s="1540"/>
      <c r="AA15" s="1537">
        <v>1</v>
      </c>
      <c r="AB15" s="1537">
        <v>1</v>
      </c>
      <c r="AC15" s="1537">
        <v>1</v>
      </c>
    </row>
    <row r="16" spans="1:29" ht="42.75">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46"/>
      <c r="Q16" s="1536" t="str">
        <f>B16</f>
        <v>公共配套设施</v>
      </c>
      <c r="R16" s="714" t="s">
        <v>17</v>
      </c>
      <c r="S16" s="715">
        <f>F16</f>
        <v>100</v>
      </c>
      <c r="T16" s="714" t="s">
        <v>17</v>
      </c>
      <c r="U16" s="715">
        <f>H16</f>
        <v>100</v>
      </c>
      <c r="V16" s="714" t="s">
        <v>17</v>
      </c>
      <c r="W16" s="715">
        <f>J16</f>
        <v>100</v>
      </c>
      <c r="X16" s="1539"/>
      <c r="Y16" s="334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46"/>
      <c r="Q17" s="1536"/>
      <c r="R17" s="714"/>
      <c r="S17" s="715"/>
      <c r="T17" s="714"/>
      <c r="U17" s="715"/>
      <c r="V17" s="714"/>
      <c r="W17" s="715"/>
      <c r="X17" s="1539"/>
      <c r="Y17" s="3346"/>
      <c r="Z17" s="1540"/>
      <c r="AA17" s="1537">
        <v>1</v>
      </c>
      <c r="AB17" s="1537">
        <v>1</v>
      </c>
      <c r="AC17" s="1537">
        <v>1</v>
      </c>
    </row>
    <row r="18" spans="1:29" ht="28.5">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46"/>
      <c r="Q18" s="1536" t="str">
        <f>B18</f>
        <v>基础设施水平</v>
      </c>
      <c r="R18" s="714" t="s">
        <v>17</v>
      </c>
      <c r="S18" s="715">
        <f>F18</f>
        <v>100</v>
      </c>
      <c r="T18" s="714" t="s">
        <v>17</v>
      </c>
      <c r="U18" s="715">
        <f>H18</f>
        <v>100</v>
      </c>
      <c r="V18" s="714" t="s">
        <v>17</v>
      </c>
      <c r="W18" s="715">
        <f>J18</f>
        <v>100</v>
      </c>
      <c r="X18" s="1539"/>
      <c r="Y18" s="334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346"/>
      <c r="Q19" s="1536"/>
      <c r="R19" s="714"/>
      <c r="S19" s="715"/>
      <c r="T19" s="714"/>
      <c r="U19" s="715"/>
      <c r="V19" s="714"/>
      <c r="W19" s="715"/>
      <c r="X19" s="1539"/>
      <c r="Y19" s="3346"/>
      <c r="Z19" s="1540"/>
      <c r="AA19" s="1537">
        <v>1</v>
      </c>
      <c r="AB19" s="1537">
        <v>1</v>
      </c>
      <c r="AC19" s="1537">
        <v>1</v>
      </c>
    </row>
    <row r="20" spans="1:29" ht="57">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46"/>
      <c r="Q20" s="1536" t="str">
        <f>B20</f>
        <v>自然及人文环境</v>
      </c>
      <c r="R20" s="714" t="s">
        <v>17</v>
      </c>
      <c r="S20" s="715">
        <f>F20</f>
        <v>100</v>
      </c>
      <c r="T20" s="714" t="s">
        <v>17</v>
      </c>
      <c r="U20" s="715">
        <f>H20</f>
        <v>100</v>
      </c>
      <c r="V20" s="714" t="s">
        <v>17</v>
      </c>
      <c r="W20" s="715">
        <f>J20</f>
        <v>100</v>
      </c>
      <c r="X20" s="1539"/>
      <c r="Y20" s="334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46"/>
      <c r="Q21" s="1536"/>
      <c r="R21" s="714"/>
      <c r="S21" s="715"/>
      <c r="T21" s="714"/>
      <c r="U21" s="715"/>
      <c r="V21" s="714"/>
      <c r="W21" s="715"/>
      <c r="X21" s="1539"/>
      <c r="Y21" s="3346"/>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46"/>
      <c r="Q22" s="1536" t="str">
        <f>B22</f>
        <v>楼层</v>
      </c>
      <c r="R22" s="714" t="s">
        <v>17</v>
      </c>
      <c r="S22" s="715">
        <f>F22</f>
        <v>100</v>
      </c>
      <c r="T22" s="714" t="s">
        <v>17</v>
      </c>
      <c r="U22" s="715">
        <f>H22</f>
        <v>100</v>
      </c>
      <c r="V22" s="714" t="s">
        <v>17</v>
      </c>
      <c r="W22" s="715">
        <f>J22</f>
        <v>100</v>
      </c>
      <c r="X22" s="1539"/>
      <c r="Y22" s="334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46"/>
      <c r="Q23" s="1536">
        <f>B23</f>
        <v>111</v>
      </c>
      <c r="R23" s="714" t="s">
        <v>17</v>
      </c>
      <c r="S23" s="715">
        <f>F23</f>
        <v>100</v>
      </c>
      <c r="T23" s="714" t="s">
        <v>17</v>
      </c>
      <c r="U23" s="715">
        <f>H23</f>
        <v>100</v>
      </c>
      <c r="V23" s="714" t="s">
        <v>17</v>
      </c>
      <c r="W23" s="715">
        <f>J23</f>
        <v>100</v>
      </c>
      <c r="X23" s="1539"/>
      <c r="Y23" s="334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46"/>
      <c r="Q24" s="1536">
        <f t="shared" ref="Q24:Q34" si="11">B24</f>
        <v>111</v>
      </c>
      <c r="R24" s="714" t="s">
        <v>17</v>
      </c>
      <c r="S24" s="715">
        <f>F24</f>
        <v>100</v>
      </c>
      <c r="T24" s="714" t="s">
        <v>17</v>
      </c>
      <c r="U24" s="715">
        <f>H24</f>
        <v>100</v>
      </c>
      <c r="V24" s="714" t="s">
        <v>17</v>
      </c>
      <c r="W24" s="715">
        <f>J24</f>
        <v>100</v>
      </c>
      <c r="X24" s="1539"/>
      <c r="Y24" s="334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46"/>
      <c r="Q25" s="1527">
        <f t="shared" si="11"/>
        <v>111</v>
      </c>
      <c r="R25" s="710" t="s">
        <v>17</v>
      </c>
      <c r="S25" s="711">
        <f>F25</f>
        <v>100</v>
      </c>
      <c r="T25" s="710" t="s">
        <v>17</v>
      </c>
      <c r="U25" s="711">
        <f>H25</f>
        <v>100</v>
      </c>
      <c r="V25" s="710" t="s">
        <v>17</v>
      </c>
      <c r="W25" s="711">
        <f>J25</f>
        <v>100</v>
      </c>
      <c r="X25" s="712"/>
      <c r="Y25" s="3346"/>
      <c r="Z25" s="55">
        <f>Q25</f>
        <v>111</v>
      </c>
      <c r="AA25" s="1537">
        <f>D25/F25</f>
        <v>1</v>
      </c>
      <c r="AB25" s="1537">
        <f>D25/H25</f>
        <v>1</v>
      </c>
      <c r="AC25" s="1537">
        <f>D25/J25</f>
        <v>1</v>
      </c>
    </row>
    <row r="26" spans="1:29" ht="28.5">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69"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0"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50"/>
      <c r="Q27" s="716" t="str">
        <f t="shared" si="11"/>
        <v>成新率</v>
      </c>
      <c r="R27" s="717" t="s">
        <v>17</v>
      </c>
      <c r="S27" s="718" t="e">
        <f t="shared" si="12"/>
        <v>#N/A</v>
      </c>
      <c r="T27" s="717" t="s">
        <v>17</v>
      </c>
      <c r="U27" s="718" t="e">
        <f t="shared" si="13"/>
        <v>#N/A</v>
      </c>
      <c r="V27" s="717" t="s">
        <v>17</v>
      </c>
      <c r="W27" s="718" t="e">
        <f t="shared" si="14"/>
        <v>#N/A</v>
      </c>
      <c r="X27" s="719"/>
      <c r="Y27" s="3350"/>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50"/>
      <c r="Q28" s="1536" t="str">
        <f t="shared" si="11"/>
        <v>物业等级</v>
      </c>
      <c r="R28" s="714" t="s">
        <v>17</v>
      </c>
      <c r="S28" s="715">
        <f t="shared" si="12"/>
        <v>100</v>
      </c>
      <c r="T28" s="714" t="s">
        <v>17</v>
      </c>
      <c r="U28" s="715">
        <f t="shared" si="13"/>
        <v>100</v>
      </c>
      <c r="V28" s="714" t="s">
        <v>17</v>
      </c>
      <c r="W28" s="715">
        <f t="shared" si="14"/>
        <v>100</v>
      </c>
      <c r="X28" s="1539"/>
      <c r="Y28" s="3350"/>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50"/>
      <c r="Q29" s="1536" t="str">
        <f t="shared" si="11"/>
        <v>有无电梯</v>
      </c>
      <c r="R29" s="714" t="s">
        <v>17</v>
      </c>
      <c r="S29" s="715">
        <f t="shared" si="12"/>
        <v>100</v>
      </c>
      <c r="T29" s="714" t="s">
        <v>17</v>
      </c>
      <c r="U29" s="715">
        <f t="shared" si="13"/>
        <v>100</v>
      </c>
      <c r="V29" s="714" t="s">
        <v>17</v>
      </c>
      <c r="W29" s="715">
        <f t="shared" si="14"/>
        <v>100</v>
      </c>
      <c r="X29" s="1539"/>
      <c r="Y29" s="3350"/>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50"/>
      <c r="Q30" s="1536" t="str">
        <f t="shared" si="11"/>
        <v>建筑面积</v>
      </c>
      <c r="R30" s="714" t="s">
        <v>17</v>
      </c>
      <c r="S30" s="715" t="e">
        <f t="shared" si="12"/>
        <v>#N/A</v>
      </c>
      <c r="T30" s="714" t="s">
        <v>17</v>
      </c>
      <c r="U30" s="715" t="e">
        <f t="shared" si="13"/>
        <v>#N/A</v>
      </c>
      <c r="V30" s="714" t="s">
        <v>17</v>
      </c>
      <c r="W30" s="715" t="e">
        <f t="shared" si="14"/>
        <v>#N/A</v>
      </c>
      <c r="X30" s="1539"/>
      <c r="Y30" s="3350"/>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50"/>
      <c r="Q31" s="1527" t="str">
        <f t="shared" si="11"/>
        <v>是否封闭</v>
      </c>
      <c r="R31" s="710" t="s">
        <v>17</v>
      </c>
      <c r="S31" s="711">
        <f t="shared" si="12"/>
        <v>100</v>
      </c>
      <c r="T31" s="710" t="s">
        <v>17</v>
      </c>
      <c r="U31" s="711">
        <f t="shared" si="13"/>
        <v>100</v>
      </c>
      <c r="V31" s="710" t="s">
        <v>17</v>
      </c>
      <c r="W31" s="711">
        <f t="shared" si="14"/>
        <v>100</v>
      </c>
      <c r="X31" s="712"/>
      <c r="Y31" s="335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50" t="s">
        <v>2383</v>
      </c>
      <c r="Q32" s="1536">
        <f t="shared" si="11"/>
        <v>111</v>
      </c>
      <c r="R32" s="714" t="s">
        <v>17</v>
      </c>
      <c r="S32" s="715">
        <f t="shared" si="12"/>
        <v>100</v>
      </c>
      <c r="T32" s="714" t="s">
        <v>17</v>
      </c>
      <c r="U32" s="715">
        <f t="shared" si="13"/>
        <v>100</v>
      </c>
      <c r="V32" s="714" t="s">
        <v>17</v>
      </c>
      <c r="W32" s="715">
        <f t="shared" si="14"/>
        <v>100</v>
      </c>
      <c r="X32" s="1539"/>
      <c r="Y32" s="3350"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50"/>
      <c r="Q33" s="1536">
        <f t="shared" si="11"/>
        <v>111</v>
      </c>
      <c r="R33" s="714" t="s">
        <v>17</v>
      </c>
      <c r="S33" s="715">
        <f t="shared" si="12"/>
        <v>100</v>
      </c>
      <c r="T33" s="714" t="s">
        <v>17</v>
      </c>
      <c r="U33" s="715">
        <f t="shared" si="13"/>
        <v>100</v>
      </c>
      <c r="V33" s="714" t="s">
        <v>17</v>
      </c>
      <c r="W33" s="715">
        <f t="shared" si="14"/>
        <v>100</v>
      </c>
      <c r="X33" s="1539"/>
      <c r="Y33" s="335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50"/>
      <c r="Q34" s="1536">
        <f t="shared" si="11"/>
        <v>111</v>
      </c>
      <c r="R34" s="714" t="s">
        <v>17</v>
      </c>
      <c r="S34" s="715">
        <f t="shared" si="12"/>
        <v>100</v>
      </c>
      <c r="T34" s="714" t="s">
        <v>17</v>
      </c>
      <c r="U34" s="715">
        <f t="shared" si="13"/>
        <v>100</v>
      </c>
      <c r="V34" s="714" t="s">
        <v>17</v>
      </c>
      <c r="W34" s="715">
        <f t="shared" si="14"/>
        <v>100</v>
      </c>
      <c r="X34" s="1539"/>
      <c r="Y34" s="3350"/>
      <c r="Z34" s="1540">
        <f t="shared" si="15"/>
        <v>111</v>
      </c>
      <c r="AA34" s="1537">
        <f t="shared" si="3"/>
        <v>1</v>
      </c>
      <c r="AB34" s="1537">
        <f t="shared" si="4"/>
        <v>1</v>
      </c>
      <c r="AC34" s="1537">
        <f t="shared" si="5"/>
        <v>1</v>
      </c>
    </row>
    <row r="35" spans="1:30" ht="15">
      <c r="A35" s="438" t="s">
        <v>2395</v>
      </c>
      <c r="B35" s="439"/>
      <c r="C35" s="1316" t="s">
        <v>1</v>
      </c>
      <c r="D35" s="1317"/>
      <c r="E35" s="1318"/>
      <c r="F35" s="1319"/>
      <c r="G35" s="1320"/>
      <c r="H35" s="1321"/>
      <c r="I35" s="1318"/>
      <c r="J35" s="1321"/>
      <c r="K35" s="723"/>
      <c r="L35" s="2950"/>
      <c r="M35" s="2951"/>
      <c r="N35" s="2942"/>
      <c r="O35" s="2951"/>
      <c r="P35" s="3343" t="str">
        <f>A35</f>
        <v>成交单价（元/平方米）</v>
      </c>
      <c r="Q35" s="3343"/>
      <c r="R35" s="3344">
        <f>E35</f>
        <v>0</v>
      </c>
      <c r="S35" s="3344"/>
      <c r="T35" s="3344">
        <f>G35</f>
        <v>0</v>
      </c>
      <c r="U35" s="3344"/>
      <c r="V35" s="3344">
        <f>I35</f>
        <v>0</v>
      </c>
      <c r="W35" s="3344"/>
      <c r="X35" s="699"/>
      <c r="Y35" s="721"/>
      <c r="Z35" s="699"/>
      <c r="AA35" s="699"/>
      <c r="AB35" s="699"/>
      <c r="AC35" s="699"/>
    </row>
    <row r="36" spans="1:30" ht="15.75" thickBot="1">
      <c r="A36" s="445" t="s">
        <v>2487</v>
      </c>
      <c r="B36" s="446"/>
      <c r="C36" s="1322" t="e">
        <f>R37</f>
        <v>#DIV/0!</v>
      </c>
      <c r="D36" s="2538" t="s">
        <v>2876</v>
      </c>
      <c r="E36" s="1323" t="e">
        <f>R36</f>
        <v>#DIV/0!</v>
      </c>
      <c r="F36" s="2539"/>
      <c r="G36" s="1322" t="e">
        <f>T36</f>
        <v>#DIV/0!</v>
      </c>
      <c r="H36" s="2539"/>
      <c r="I36" s="1323" t="e">
        <f>V36</f>
        <v>#DIV/0!</v>
      </c>
      <c r="J36" s="2539"/>
      <c r="K36" s="2541">
        <f>F36+H36+J36</f>
        <v>0</v>
      </c>
      <c r="L36" s="2950"/>
      <c r="M36" s="2951"/>
      <c r="N36" s="2942"/>
      <c r="O36" s="2951"/>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0"/>
      <c r="M37" s="2951"/>
      <c r="N37" s="2951"/>
      <c r="O37" s="2951"/>
      <c r="P37" s="3340" t="str">
        <f>A37</f>
        <v>估价对象XX用房的比较价值（楼面单价，元/平方米）</v>
      </c>
      <c r="Q37" s="3341"/>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2492</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2366</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2403</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2368</v>
      </c>
      <c r="B49" s="467"/>
      <c r="C49" s="479" t="s">
        <v>2470</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2406</v>
      </c>
      <c r="B51" s="485" t="s">
        <v>2372</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2415</v>
      </c>
      <c r="D63" s="535" t="s">
        <v>2416</v>
      </c>
      <c r="E63" s="535" t="s">
        <v>2417</v>
      </c>
      <c r="F63" s="535" t="s">
        <v>2418</v>
      </c>
      <c r="G63" s="535" t="s">
        <v>2419</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2507</v>
      </c>
      <c r="C65" s="616" t="s">
        <v>2493</v>
      </c>
      <c r="D65" s="616" t="s">
        <v>2494</v>
      </c>
      <c r="E65" s="616" t="s">
        <v>2495</v>
      </c>
      <c r="F65" s="616" t="s">
        <v>2496</v>
      </c>
      <c r="G65" s="616" t="s">
        <v>2497</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2427</v>
      </c>
      <c r="C67" s="535" t="s">
        <v>2415</v>
      </c>
      <c r="D67" s="535" t="s">
        <v>2416</v>
      </c>
      <c r="E67" s="535" t="s">
        <v>2417</v>
      </c>
      <c r="F67" s="535" t="s">
        <v>2418</v>
      </c>
      <c r="G67" s="535" t="s">
        <v>2419</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2381</v>
      </c>
      <c r="B77" s="485" t="s">
        <v>2434</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30"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30" ht="15.75" thickBot="1">
      <c r="A6" s="366"/>
      <c r="B6" s="367"/>
      <c r="C6" s="3321" t="s">
        <v>2364</v>
      </c>
      <c r="D6" s="3322"/>
      <c r="E6" s="3323" t="s">
        <v>2364</v>
      </c>
      <c r="F6" s="3324"/>
      <c r="G6" s="3321" t="s">
        <v>2364</v>
      </c>
      <c r="H6" s="3322"/>
      <c r="I6" s="3321" t="s">
        <v>2364</v>
      </c>
      <c r="J6" s="3322"/>
      <c r="K6" s="567" t="s">
        <v>2365</v>
      </c>
      <c r="L6" s="2941"/>
      <c r="M6" s="2942"/>
      <c r="N6" s="2942"/>
      <c r="O6" s="2942"/>
      <c r="P6" s="3334"/>
      <c r="Q6" s="3335"/>
      <c r="R6" s="3315"/>
      <c r="S6" s="3316"/>
      <c r="T6" s="3336"/>
      <c r="U6" s="3337"/>
      <c r="V6" s="3338"/>
      <c r="W6" s="3338"/>
      <c r="X6" s="1539"/>
      <c r="Y6" s="3336"/>
      <c r="Z6" s="3337"/>
      <c r="AA6" s="3310"/>
      <c r="AB6" s="3310"/>
      <c r="AC6" s="3310"/>
    </row>
    <row r="7" spans="1:30" s="113" customFormat="1" ht="15.75" thickBot="1">
      <c r="A7" s="368" t="s">
        <v>2366</v>
      </c>
      <c r="B7" s="369"/>
      <c r="C7" s="370">
        <f>'数据-取费表'!B2</f>
        <v>44315</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45" si="3">D8/F8</f>
        <v>#DIV/0!</v>
      </c>
      <c r="AB8" s="713" t="e">
        <f t="shared" ref="AB8:AB45" si="4">D8/H8</f>
        <v>#DIV/0!</v>
      </c>
      <c r="AC8" s="713" t="e">
        <f t="shared" ref="AC8:AC45" si="5">D8/J8</f>
        <v>#DIV/0!</v>
      </c>
    </row>
    <row r="9" spans="1:30" s="113" customFormat="1">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43"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101</v>
      </c>
      <c r="G10" s="422"/>
      <c r="H10" s="132">
        <f>ROUND(100/'数据-取费表'!G16,0)</f>
        <v>101</v>
      </c>
      <c r="I10" s="422"/>
      <c r="J10" s="132">
        <f>ROUND(100/'数据-取费表'!G16,0)</f>
        <v>101</v>
      </c>
      <c r="K10" s="628"/>
      <c r="L10" s="2945"/>
      <c r="M10" s="2946"/>
      <c r="N10" s="2946"/>
      <c r="O10" s="2999"/>
      <c r="P10" s="3343"/>
      <c r="Q10" s="1527" t="str">
        <f t="shared" si="6"/>
        <v>土地使用年限（年）</v>
      </c>
      <c r="R10" s="710" t="s">
        <v>17</v>
      </c>
      <c r="S10" s="711">
        <f t="shared" si="0"/>
        <v>101</v>
      </c>
      <c r="T10" s="710" t="s">
        <v>17</v>
      </c>
      <c r="U10" s="711">
        <f t="shared" si="1"/>
        <v>101</v>
      </c>
      <c r="V10" s="710" t="s">
        <v>17</v>
      </c>
      <c r="W10" s="711">
        <f t="shared" si="2"/>
        <v>101</v>
      </c>
      <c r="X10" s="712"/>
      <c r="Y10" s="3227"/>
      <c r="Z10" s="55" t="str">
        <f t="shared" si="7"/>
        <v>土地使用年限（年）</v>
      </c>
      <c r="AA10" s="713">
        <f t="shared" si="3"/>
        <v>0.99009900990099009</v>
      </c>
      <c r="AB10" s="713">
        <f t="shared" si="4"/>
        <v>0.99009900990099009</v>
      </c>
      <c r="AC10" s="713">
        <f t="shared" si="5"/>
        <v>0.99009900990099009</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43"/>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43"/>
      <c r="Q12" s="1527" t="str">
        <f t="shared" si="6"/>
        <v>配建</v>
      </c>
      <c r="R12" s="710" t="s">
        <v>17</v>
      </c>
      <c r="S12" s="711">
        <f t="shared" si="0"/>
        <v>100</v>
      </c>
      <c r="T12" s="710" t="s">
        <v>17</v>
      </c>
      <c r="U12" s="711">
        <f t="shared" si="1"/>
        <v>100</v>
      </c>
      <c r="V12" s="710" t="s">
        <v>17</v>
      </c>
      <c r="W12" s="711">
        <f t="shared" si="2"/>
        <v>100</v>
      </c>
      <c r="X12" s="712"/>
      <c r="Y12" s="322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43"/>
      <c r="Q14" s="1527">
        <f t="shared" si="6"/>
        <v>111</v>
      </c>
      <c r="R14" s="710" t="s">
        <v>17</v>
      </c>
      <c r="S14" s="711">
        <f t="shared" si="0"/>
        <v>100</v>
      </c>
      <c r="T14" s="710" t="s">
        <v>17</v>
      </c>
      <c r="U14" s="711">
        <f t="shared" si="1"/>
        <v>100</v>
      </c>
      <c r="V14" s="710" t="s">
        <v>17</v>
      </c>
      <c r="W14" s="711">
        <f t="shared" si="2"/>
        <v>100</v>
      </c>
      <c r="X14" s="712"/>
      <c r="Y14" s="3227"/>
      <c r="Z14" s="55">
        <f t="shared" si="7"/>
        <v>111</v>
      </c>
      <c r="AA14" s="713">
        <f>D14/F14</f>
        <v>1</v>
      </c>
      <c r="AB14" s="713">
        <f>D14/H14</f>
        <v>1</v>
      </c>
      <c r="AC14" s="713">
        <f>D14/J14</f>
        <v>1</v>
      </c>
    </row>
    <row r="15" spans="1:30" ht="99.75">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45" t="s">
        <v>2378</v>
      </c>
      <c r="Q15" s="1536" t="str">
        <f t="shared" si="6"/>
        <v>居住社区成熟度</v>
      </c>
      <c r="R15" s="714" t="s">
        <v>17</v>
      </c>
      <c r="S15" s="715">
        <f t="shared" si="0"/>
        <v>100</v>
      </c>
      <c r="T15" s="714" t="s">
        <v>17</v>
      </c>
      <c r="U15" s="715">
        <f t="shared" si="1"/>
        <v>100</v>
      </c>
      <c r="V15" s="714" t="s">
        <v>17</v>
      </c>
      <c r="W15" s="715">
        <f t="shared" si="2"/>
        <v>100</v>
      </c>
      <c r="X15" s="1539"/>
      <c r="Y15" s="3345"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46"/>
      <c r="Q16" s="1536"/>
      <c r="R16" s="714"/>
      <c r="S16" s="715"/>
      <c r="T16" s="714"/>
      <c r="U16" s="715"/>
      <c r="V16" s="714"/>
      <c r="W16" s="715"/>
      <c r="X16" s="1539"/>
      <c r="Y16" s="3346"/>
      <c r="Z16" s="1540"/>
      <c r="AA16" s="1537">
        <v>1</v>
      </c>
      <c r="AB16" s="1537">
        <v>1</v>
      </c>
      <c r="AC16" s="1537">
        <v>1</v>
      </c>
    </row>
    <row r="17" spans="1:29" ht="71.25">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46"/>
      <c r="Q17" s="1536" t="str">
        <f>B17</f>
        <v>商业繁华度</v>
      </c>
      <c r="R17" s="714" t="s">
        <v>17</v>
      </c>
      <c r="S17" s="715">
        <f>F17</f>
        <v>100</v>
      </c>
      <c r="T17" s="714" t="s">
        <v>17</v>
      </c>
      <c r="U17" s="715">
        <f>H17</f>
        <v>100</v>
      </c>
      <c r="V17" s="714" t="s">
        <v>17</v>
      </c>
      <c r="W17" s="715">
        <f>J17</f>
        <v>100</v>
      </c>
      <c r="X17" s="1539"/>
      <c r="Y17" s="334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46"/>
      <c r="Q18" s="1536"/>
      <c r="R18" s="714"/>
      <c r="S18" s="715"/>
      <c r="T18" s="714"/>
      <c r="U18" s="715"/>
      <c r="V18" s="714"/>
      <c r="W18" s="715"/>
      <c r="X18" s="1539"/>
      <c r="Y18" s="3346"/>
      <c r="Z18" s="1540"/>
      <c r="AA18" s="1537">
        <v>1</v>
      </c>
      <c r="AB18" s="1537">
        <v>1</v>
      </c>
      <c r="AC18" s="1537">
        <v>1</v>
      </c>
    </row>
    <row r="19" spans="1:29" ht="71.25">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46"/>
      <c r="Q19" s="1536" t="str">
        <f>B19</f>
        <v>办公集聚程度</v>
      </c>
      <c r="R19" s="714" t="s">
        <v>17</v>
      </c>
      <c r="S19" s="715">
        <f>F19</f>
        <v>100</v>
      </c>
      <c r="T19" s="714" t="s">
        <v>17</v>
      </c>
      <c r="U19" s="715">
        <f>H19</f>
        <v>100</v>
      </c>
      <c r="V19" s="714" t="s">
        <v>17</v>
      </c>
      <c r="W19" s="715">
        <f>J19</f>
        <v>100</v>
      </c>
      <c r="X19" s="1539"/>
      <c r="Y19" s="334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46"/>
      <c r="Q20" s="1536"/>
      <c r="R20" s="714"/>
      <c r="S20" s="715"/>
      <c r="T20" s="714"/>
      <c r="U20" s="715"/>
      <c r="V20" s="714"/>
      <c r="W20" s="715"/>
      <c r="X20" s="1539"/>
      <c r="Y20" s="3346"/>
      <c r="Z20" s="1540"/>
      <c r="AA20" s="1537">
        <v>1</v>
      </c>
      <c r="AB20" s="1537">
        <v>1</v>
      </c>
      <c r="AC20" s="1537">
        <v>1</v>
      </c>
    </row>
    <row r="21" spans="1:29" ht="85.5">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46"/>
      <c r="Q21" s="1536" t="str">
        <f>B21</f>
        <v>交通便捷度</v>
      </c>
      <c r="R21" s="714" t="s">
        <v>17</v>
      </c>
      <c r="S21" s="715">
        <f>F21</f>
        <v>100</v>
      </c>
      <c r="T21" s="714" t="s">
        <v>17</v>
      </c>
      <c r="U21" s="715">
        <f>H21</f>
        <v>100</v>
      </c>
      <c r="V21" s="714" t="s">
        <v>17</v>
      </c>
      <c r="W21" s="715">
        <f>J21</f>
        <v>100</v>
      </c>
      <c r="X21" s="1539"/>
      <c r="Y21" s="334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346"/>
      <c r="Q22" s="1536"/>
      <c r="R22" s="714"/>
      <c r="S22" s="715"/>
      <c r="T22" s="714"/>
      <c r="U22" s="715"/>
      <c r="V22" s="714"/>
      <c r="W22" s="715"/>
      <c r="X22" s="1539"/>
      <c r="Y22" s="3346"/>
      <c r="Z22" s="1540"/>
      <c r="AA22" s="1537">
        <v>1</v>
      </c>
      <c r="AB22" s="1537">
        <v>1</v>
      </c>
      <c r="AC22" s="1537">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46"/>
      <c r="Q23" s="1536" t="str">
        <f t="shared" ref="Q23:Q37" si="8">B23</f>
        <v>区域土地利用方向</v>
      </c>
      <c r="R23" s="714" t="s">
        <v>17</v>
      </c>
      <c r="S23" s="715">
        <f>F23</f>
        <v>100</v>
      </c>
      <c r="T23" s="714" t="s">
        <v>17</v>
      </c>
      <c r="U23" s="715">
        <f>H23</f>
        <v>100</v>
      </c>
      <c r="V23" s="714" t="s">
        <v>17</v>
      </c>
      <c r="W23" s="715">
        <f>J23</f>
        <v>100</v>
      </c>
      <c r="X23" s="1539"/>
      <c r="Y23" s="334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346"/>
      <c r="Q24" s="1536"/>
      <c r="R24" s="714"/>
      <c r="S24" s="715"/>
      <c r="T24" s="714"/>
      <c r="U24" s="715"/>
      <c r="V24" s="714"/>
      <c r="W24" s="715"/>
      <c r="X24" s="1539"/>
      <c r="Y24" s="3346"/>
      <c r="Z24" s="1540"/>
      <c r="AA24" s="1537"/>
      <c r="AB24" s="1537"/>
      <c r="AC24" s="1537"/>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46"/>
      <c r="Q25" s="1536" t="str">
        <f t="shared" si="8"/>
        <v>自然及人文环境状况</v>
      </c>
      <c r="R25" s="714" t="s">
        <v>17</v>
      </c>
      <c r="S25" s="715">
        <f>F25</f>
        <v>100</v>
      </c>
      <c r="T25" s="714" t="s">
        <v>17</v>
      </c>
      <c r="U25" s="715">
        <f>H25</f>
        <v>100</v>
      </c>
      <c r="V25" s="714" t="s">
        <v>17</v>
      </c>
      <c r="W25" s="715">
        <f>J25</f>
        <v>100</v>
      </c>
      <c r="X25" s="1539"/>
      <c r="Y25" s="334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46"/>
      <c r="Q26" s="1536"/>
      <c r="R26" s="714"/>
      <c r="S26" s="715"/>
      <c r="T26" s="714"/>
      <c r="U26" s="715"/>
      <c r="V26" s="714"/>
      <c r="W26" s="715"/>
      <c r="X26" s="1539"/>
      <c r="Y26" s="3346"/>
      <c r="Z26" s="1540"/>
      <c r="AA26" s="1537">
        <v>1</v>
      </c>
      <c r="AB26" s="1537">
        <v>1</v>
      </c>
      <c r="AC26" s="1537">
        <v>1</v>
      </c>
    </row>
    <row r="27" spans="1:29" s="113" customFormat="1" ht="42.75">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46"/>
      <c r="Q27" s="1527" t="str">
        <f t="shared" si="8"/>
        <v>公共配套设施</v>
      </c>
      <c r="R27" s="710" t="s">
        <v>17</v>
      </c>
      <c r="S27" s="711">
        <f>F27</f>
        <v>100</v>
      </c>
      <c r="T27" s="710" t="s">
        <v>17</v>
      </c>
      <c r="U27" s="711">
        <f>H27</f>
        <v>100</v>
      </c>
      <c r="V27" s="710" t="s">
        <v>17</v>
      </c>
      <c r="W27" s="711">
        <f>J27</f>
        <v>100</v>
      </c>
      <c r="X27" s="712"/>
      <c r="Y27" s="334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46"/>
      <c r="Q28" s="1527"/>
      <c r="R28" s="710"/>
      <c r="S28" s="711"/>
      <c r="T28" s="710"/>
      <c r="U28" s="711"/>
      <c r="V28" s="710"/>
      <c r="W28" s="711"/>
      <c r="X28" s="712"/>
      <c r="Y28" s="3346"/>
      <c r="Z28" s="55"/>
      <c r="AA28" s="1537">
        <v>1</v>
      </c>
      <c r="AB28" s="1537">
        <v>1</v>
      </c>
      <c r="AC28" s="1537">
        <v>1</v>
      </c>
    </row>
    <row r="29" spans="1:29" s="113" customFormat="1" ht="28.5">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46"/>
      <c r="Q29" s="1527" t="str">
        <f t="shared" ref="Q29" si="9">B29</f>
        <v>基础设施水平</v>
      </c>
      <c r="R29" s="710" t="s">
        <v>17</v>
      </c>
      <c r="S29" s="711">
        <f>F29</f>
        <v>100</v>
      </c>
      <c r="T29" s="710" t="s">
        <v>17</v>
      </c>
      <c r="U29" s="711">
        <f>H29</f>
        <v>100</v>
      </c>
      <c r="V29" s="710" t="s">
        <v>17</v>
      </c>
      <c r="W29" s="711">
        <f>J29</f>
        <v>100</v>
      </c>
      <c r="X29" s="712"/>
      <c r="Y29" s="334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46"/>
      <c r="Q30" s="1527"/>
      <c r="R30" s="710"/>
      <c r="S30" s="711"/>
      <c r="T30" s="710"/>
      <c r="U30" s="711"/>
      <c r="V30" s="710"/>
      <c r="W30" s="711"/>
      <c r="X30" s="712"/>
      <c r="Y30" s="3346"/>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4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6"/>
      <c r="Z31" s="1540" t="str">
        <f t="shared" ref="Z31:Z45" si="13">Q31</f>
        <v>临街状况</v>
      </c>
      <c r="AA31" s="1537">
        <f t="shared" si="3"/>
        <v>1</v>
      </c>
      <c r="AB31" s="1537">
        <f t="shared" si="4"/>
        <v>1</v>
      </c>
      <c r="AC31" s="1537">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46"/>
      <c r="Q32" s="1536" t="str">
        <f t="shared" si="8"/>
        <v>毗邻道路的类型与等级</v>
      </c>
      <c r="R32" s="714" t="s">
        <v>17</v>
      </c>
      <c r="S32" s="715">
        <f t="shared" si="10"/>
        <v>100</v>
      </c>
      <c r="T32" s="714" t="s">
        <v>17</v>
      </c>
      <c r="U32" s="715">
        <f t="shared" si="11"/>
        <v>100</v>
      </c>
      <c r="V32" s="714" t="s">
        <v>17</v>
      </c>
      <c r="W32" s="715">
        <f t="shared" si="12"/>
        <v>100</v>
      </c>
      <c r="X32" s="1539"/>
      <c r="Y32" s="334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46"/>
      <c r="Q33" s="1536"/>
      <c r="R33" s="714"/>
      <c r="S33" s="715"/>
      <c r="T33" s="714"/>
      <c r="U33" s="715"/>
      <c r="V33" s="714"/>
      <c r="W33" s="715"/>
      <c r="X33" s="1539"/>
      <c r="Y33" s="3346"/>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46"/>
      <c r="Q34" s="1536" t="str">
        <f t="shared" si="8"/>
        <v>土地级别</v>
      </c>
      <c r="R34" s="714" t="s">
        <v>17</v>
      </c>
      <c r="S34" s="715">
        <f t="shared" si="10"/>
        <v>100</v>
      </c>
      <c r="T34" s="714" t="s">
        <v>17</v>
      </c>
      <c r="U34" s="715">
        <f t="shared" si="11"/>
        <v>100</v>
      </c>
      <c r="V34" s="714" t="s">
        <v>17</v>
      </c>
      <c r="W34" s="715">
        <f t="shared" si="12"/>
        <v>100</v>
      </c>
      <c r="X34" s="1539"/>
      <c r="Y34" s="334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46"/>
      <c r="Q35" s="1536">
        <f t="shared" si="8"/>
        <v>111</v>
      </c>
      <c r="R35" s="714" t="s">
        <v>17</v>
      </c>
      <c r="S35" s="715">
        <f t="shared" si="10"/>
        <v>100</v>
      </c>
      <c r="T35" s="714" t="s">
        <v>17</v>
      </c>
      <c r="U35" s="715">
        <f t="shared" si="11"/>
        <v>100</v>
      </c>
      <c r="V35" s="714" t="s">
        <v>17</v>
      </c>
      <c r="W35" s="715">
        <f t="shared" si="12"/>
        <v>100</v>
      </c>
      <c r="X35" s="1539"/>
      <c r="Y35" s="334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9" t="s">
        <v>2383</v>
      </c>
      <c r="Q36" s="1536">
        <f t="shared" si="8"/>
        <v>111</v>
      </c>
      <c r="R36" s="714" t="s">
        <v>17</v>
      </c>
      <c r="S36" s="715">
        <f t="shared" si="10"/>
        <v>100</v>
      </c>
      <c r="T36" s="714" t="s">
        <v>17</v>
      </c>
      <c r="U36" s="715">
        <f t="shared" si="11"/>
        <v>100</v>
      </c>
      <c r="V36" s="714" t="s">
        <v>17</v>
      </c>
      <c r="W36" s="715">
        <f t="shared" si="12"/>
        <v>100</v>
      </c>
      <c r="X36" s="1539"/>
      <c r="Y36" s="3350" t="s">
        <v>2383</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50"/>
      <c r="Q37" s="1536">
        <f t="shared" si="8"/>
        <v>111</v>
      </c>
      <c r="R37" s="717" t="s">
        <v>17</v>
      </c>
      <c r="S37" s="718">
        <f t="shared" si="10"/>
        <v>100</v>
      </c>
      <c r="T37" s="717" t="s">
        <v>17</v>
      </c>
      <c r="U37" s="718">
        <f t="shared" si="11"/>
        <v>100</v>
      </c>
      <c r="V37" s="717" t="s">
        <v>17</v>
      </c>
      <c r="W37" s="718">
        <f t="shared" si="12"/>
        <v>100</v>
      </c>
      <c r="X37" s="719"/>
      <c r="Y37" s="3350"/>
      <c r="Z37" s="720">
        <f t="shared" si="13"/>
        <v>111</v>
      </c>
      <c r="AA37" s="1537">
        <f t="shared" si="3"/>
        <v>1</v>
      </c>
      <c r="AB37" s="1537">
        <f t="shared" si="4"/>
        <v>1</v>
      </c>
      <c r="AC37" s="1537">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50"/>
      <c r="Q38" s="1536" t="str">
        <f>B38</f>
        <v>宗地面积</v>
      </c>
      <c r="R38" s="714" t="s">
        <v>17</v>
      </c>
      <c r="S38" s="715" t="e">
        <f t="shared" si="10"/>
        <v>#N/A</v>
      </c>
      <c r="T38" s="714" t="s">
        <v>17</v>
      </c>
      <c r="U38" s="715" t="e">
        <f t="shared" si="11"/>
        <v>#N/A</v>
      </c>
      <c r="V38" s="714" t="s">
        <v>17</v>
      </c>
      <c r="W38" s="715" t="e">
        <f t="shared" si="12"/>
        <v>#N/A</v>
      </c>
      <c r="X38" s="1539"/>
      <c r="Y38" s="3350"/>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50"/>
      <c r="Q39" s="1536" t="str">
        <f t="shared" ref="Q39:Q45" si="14">B39</f>
        <v>宗地形状</v>
      </c>
      <c r="R39" s="714" t="s">
        <v>17</v>
      </c>
      <c r="S39" s="715">
        <f t="shared" si="10"/>
        <v>100</v>
      </c>
      <c r="T39" s="714" t="s">
        <v>17</v>
      </c>
      <c r="U39" s="715">
        <f t="shared" si="11"/>
        <v>100</v>
      </c>
      <c r="V39" s="714" t="s">
        <v>17</v>
      </c>
      <c r="W39" s="715">
        <f t="shared" si="12"/>
        <v>100</v>
      </c>
      <c r="X39" s="1539"/>
      <c r="Y39" s="3350"/>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50"/>
      <c r="Q40" s="1536" t="str">
        <f t="shared" si="14"/>
        <v>临街宽度及深度</v>
      </c>
      <c r="R40" s="714" t="s">
        <v>17</v>
      </c>
      <c r="S40" s="715">
        <f t="shared" si="10"/>
        <v>100</v>
      </c>
      <c r="T40" s="714" t="s">
        <v>17</v>
      </c>
      <c r="U40" s="715">
        <f t="shared" si="11"/>
        <v>100</v>
      </c>
      <c r="V40" s="714" t="s">
        <v>17</v>
      </c>
      <c r="W40" s="715">
        <f t="shared" si="12"/>
        <v>100</v>
      </c>
      <c r="X40" s="1539"/>
      <c r="Y40" s="3350"/>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50"/>
      <c r="Q41" s="1536" t="str">
        <f t="shared" si="14"/>
        <v>宗地开发程度</v>
      </c>
      <c r="R41" s="710" t="s">
        <v>17</v>
      </c>
      <c r="S41" s="711">
        <f t="shared" si="10"/>
        <v>100</v>
      </c>
      <c r="T41" s="710" t="s">
        <v>17</v>
      </c>
      <c r="U41" s="711">
        <f t="shared" si="11"/>
        <v>100</v>
      </c>
      <c r="V41" s="710" t="s">
        <v>17</v>
      </c>
      <c r="W41" s="711">
        <f t="shared" si="12"/>
        <v>100</v>
      </c>
      <c r="X41" s="712"/>
      <c r="Y41" s="3350"/>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50" t="s">
        <v>2383</v>
      </c>
      <c r="Q42" s="1536" t="str">
        <f t="shared" si="14"/>
        <v>工程地质条件</v>
      </c>
      <c r="R42" s="714" t="s">
        <v>17</v>
      </c>
      <c r="S42" s="715">
        <f t="shared" si="10"/>
        <v>100</v>
      </c>
      <c r="T42" s="714" t="s">
        <v>17</v>
      </c>
      <c r="U42" s="715">
        <f t="shared" si="11"/>
        <v>100</v>
      </c>
      <c r="V42" s="714" t="s">
        <v>17</v>
      </c>
      <c r="W42" s="715">
        <f t="shared" si="12"/>
        <v>100</v>
      </c>
      <c r="X42" s="1539"/>
      <c r="Y42" s="3350"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50"/>
      <c r="Q43" s="1536">
        <f t="shared" si="14"/>
        <v>111</v>
      </c>
      <c r="R43" s="714" t="s">
        <v>17</v>
      </c>
      <c r="S43" s="715">
        <f t="shared" si="10"/>
        <v>100</v>
      </c>
      <c r="T43" s="714" t="s">
        <v>17</v>
      </c>
      <c r="U43" s="715">
        <f t="shared" si="11"/>
        <v>100</v>
      </c>
      <c r="V43" s="714" t="s">
        <v>17</v>
      </c>
      <c r="W43" s="715">
        <f t="shared" si="12"/>
        <v>100</v>
      </c>
      <c r="X43" s="1539"/>
      <c r="Y43" s="335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50"/>
      <c r="Q44" s="1536">
        <f t="shared" si="14"/>
        <v>111</v>
      </c>
      <c r="R44" s="714" t="s">
        <v>17</v>
      </c>
      <c r="S44" s="715">
        <f t="shared" si="10"/>
        <v>100</v>
      </c>
      <c r="T44" s="714" t="s">
        <v>17</v>
      </c>
      <c r="U44" s="715">
        <f t="shared" si="11"/>
        <v>100</v>
      </c>
      <c r="V44" s="714" t="s">
        <v>17</v>
      </c>
      <c r="W44" s="715">
        <f t="shared" si="12"/>
        <v>100</v>
      </c>
      <c r="X44" s="1539"/>
      <c r="Y44" s="335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50"/>
      <c r="Q45" s="1536">
        <f t="shared" si="14"/>
        <v>111</v>
      </c>
      <c r="R45" s="717" t="s">
        <v>17</v>
      </c>
      <c r="S45" s="718">
        <f t="shared" si="10"/>
        <v>100</v>
      </c>
      <c r="T45" s="717" t="s">
        <v>17</v>
      </c>
      <c r="U45" s="718">
        <f t="shared" si="11"/>
        <v>100</v>
      </c>
      <c r="V45" s="717" t="s">
        <v>17</v>
      </c>
      <c r="W45" s="718">
        <f t="shared" si="12"/>
        <v>100</v>
      </c>
      <c r="X45" s="719"/>
      <c r="Y45" s="3350"/>
      <c r="Z45" s="720">
        <f t="shared" si="13"/>
        <v>111</v>
      </c>
      <c r="AA45" s="1537">
        <f t="shared" si="3"/>
        <v>1</v>
      </c>
      <c r="AB45" s="1537">
        <f t="shared" si="4"/>
        <v>1</v>
      </c>
      <c r="AC45" s="1537">
        <f t="shared" si="5"/>
        <v>1</v>
      </c>
    </row>
    <row r="46" spans="1:29" ht="15">
      <c r="A46" s="438" t="s">
        <v>2538</v>
      </c>
      <c r="B46" s="2168" t="s">
        <v>2574</v>
      </c>
      <c r="C46" s="638" t="s">
        <v>1</v>
      </c>
      <c r="D46" s="440"/>
      <c r="E46" s="441"/>
      <c r="F46" s="442"/>
      <c r="G46" s="443"/>
      <c r="H46" s="444"/>
      <c r="I46" s="441"/>
      <c r="J46" s="444"/>
      <c r="K46" s="723"/>
      <c r="L46" s="2950"/>
      <c r="M46" s="2951"/>
      <c r="N46" s="2942"/>
      <c r="O46" s="2951"/>
      <c r="P46" s="3343" t="str">
        <f>A46</f>
        <v>成交单价</v>
      </c>
      <c r="Q46" s="3343"/>
      <c r="R46" s="3338">
        <f>E46</f>
        <v>0</v>
      </c>
      <c r="S46" s="3338"/>
      <c r="T46" s="3338">
        <f>G46</f>
        <v>0</v>
      </c>
      <c r="U46" s="3338"/>
      <c r="V46" s="3338">
        <f>I46</f>
        <v>0</v>
      </c>
      <c r="W46" s="3338"/>
      <c r="X46" s="699"/>
      <c r="Y46" s="721"/>
      <c r="Z46" s="699"/>
      <c r="AA46" s="699"/>
      <c r="AB46" s="699"/>
      <c r="AC46" s="699"/>
    </row>
    <row r="47" spans="1:29" ht="15.75" thickBot="1">
      <c r="A47" s="445" t="s">
        <v>2487</v>
      </c>
      <c r="B47" s="639"/>
      <c r="C47" s="448" t="e">
        <f>R48</f>
        <v>#DIV/0!</v>
      </c>
      <c r="D47" s="2538" t="s">
        <v>2876</v>
      </c>
      <c r="E47" s="448" t="e">
        <f>R47</f>
        <v>#DIV/0!</v>
      </c>
      <c r="F47" s="2539"/>
      <c r="G47" s="447" t="e">
        <f>T47</f>
        <v>#DIV/0!</v>
      </c>
      <c r="H47" s="2539"/>
      <c r="I47" s="448" t="e">
        <f>V47</f>
        <v>#DIV/0!</v>
      </c>
      <c r="J47" s="2539"/>
      <c r="K47" s="2541">
        <f>F47+H47+J47</f>
        <v>0</v>
      </c>
      <c r="L47" s="2950"/>
      <c r="M47" s="2951"/>
      <c r="N47" s="2951"/>
      <c r="O47" s="2951"/>
      <c r="P47" s="3343" t="str">
        <f>A47</f>
        <v>比较价值（元/平方米）</v>
      </c>
      <c r="Q47" s="3343"/>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0"/>
      <c r="M48" s="2951"/>
      <c r="N48" s="2951"/>
      <c r="O48" s="2951"/>
      <c r="P48" s="3340" t="str">
        <f>A48</f>
        <v>估价对象XX用房的比较价值（楼面单价，元/平方米）</v>
      </c>
      <c r="Q48" s="3341"/>
      <c r="R48" s="3372" t="e">
        <f>ROUND(IF(D47="简单平均",AVERAGE(R47:W47),R47*F47+T47*H47+V47*J47),0)</f>
        <v>#DIV/0!</v>
      </c>
      <c r="S48" s="3372"/>
      <c r="T48" s="3372"/>
      <c r="U48" s="3372"/>
      <c r="V48" s="3372"/>
      <c r="W48" s="3372"/>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26" t="s">
        <v>2582</v>
      </c>
      <c r="H55" s="3373"/>
      <c r="I55" s="140" t="s">
        <v>2583</v>
      </c>
      <c r="J55" s="2171">
        <f>项目基本情况!F35</f>
        <v>0</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t="e">
        <f>C48</f>
        <v>#DIV/0!</v>
      </c>
      <c r="C56" s="646">
        <v>1</v>
      </c>
      <c r="D56" s="1075">
        <v>1</v>
      </c>
      <c r="E56" s="646">
        <f>'数据-汇总表'!E8+'数据-汇总表'!E9</f>
        <v>57934.700000000004</v>
      </c>
      <c r="F56" s="1017" t="e">
        <f t="shared" ref="F56:F65" si="15">ROUND(B56*E56/10000,0)</f>
        <v>#DIV/0!</v>
      </c>
      <c r="G56" s="3325"/>
      <c r="H56" s="3343"/>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t="e">
        <f>ROUND($C$48*C57*D57,0)</f>
        <v>#DIV/0!</v>
      </c>
      <c r="C57" s="176">
        <f t="shared" ref="C57:C65" si="16">IF($C$55="北京市系数",I57,J57)</f>
        <v>0</v>
      </c>
      <c r="D57" s="1076">
        <v>0.25</v>
      </c>
      <c r="E57" s="650"/>
      <c r="F57" s="1017" t="e">
        <f t="shared" si="15"/>
        <v>#DIV/0!</v>
      </c>
      <c r="G57" s="3374"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t="e">
        <f t="shared" ref="B58:B65" si="17">ROUND($C$48*C58*D58,0)</f>
        <v>#DIV/0!</v>
      </c>
      <c r="C58" s="176">
        <f t="shared" si="16"/>
        <v>0</v>
      </c>
      <c r="D58" s="1076">
        <v>0.25</v>
      </c>
      <c r="E58" s="650"/>
      <c r="F58" s="1017" t="e">
        <f t="shared" si="15"/>
        <v>#DIV/0!</v>
      </c>
      <c r="G58" s="3374"/>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t="e">
        <f t="shared" si="17"/>
        <v>#DIV/0!</v>
      </c>
      <c r="C59" s="176">
        <f t="shared" si="16"/>
        <v>0</v>
      </c>
      <c r="D59" s="1076">
        <v>0.25</v>
      </c>
      <c r="E59" s="650"/>
      <c r="F59" s="1017" t="e">
        <f t="shared" si="15"/>
        <v>#DIV/0!</v>
      </c>
      <c r="G59" s="3374"/>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t="e">
        <f t="shared" si="17"/>
        <v>#DIV/0!</v>
      </c>
      <c r="C60" s="176">
        <f t="shared" si="16"/>
        <v>0</v>
      </c>
      <c r="D60" s="1076">
        <v>0.25</v>
      </c>
      <c r="E60" s="650"/>
      <c r="F60" s="1017" t="e">
        <f t="shared" si="15"/>
        <v>#DIV/0!</v>
      </c>
      <c r="G60" s="3374"/>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t="e">
        <f t="shared" si="17"/>
        <v>#DIV/0!</v>
      </c>
      <c r="C61" s="176">
        <f t="shared" si="16"/>
        <v>0.2</v>
      </c>
      <c r="D61" s="1076">
        <v>0.25</v>
      </c>
      <c r="E61" s="223">
        <f>'数据-汇总表'!E11</f>
        <v>0</v>
      </c>
      <c r="F61" s="1017" t="e">
        <f t="shared" si="15"/>
        <v>#DIV/0!</v>
      </c>
      <c r="G61" s="2173" t="s">
        <v>2592</v>
      </c>
      <c r="H61" s="1018" t="str">
        <f>项目基本情况!C37</f>
        <v>十级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十级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t="e">
        <f t="shared" si="17"/>
        <v>#DIV/0!</v>
      </c>
      <c r="C63" s="176">
        <f t="shared" si="16"/>
        <v>0</v>
      </c>
      <c r="D63" s="1076">
        <v>0.25</v>
      </c>
      <c r="E63" s="223">
        <f>'数据-汇总表'!E13</f>
        <v>13953.14</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t="e">
        <f t="shared" si="17"/>
        <v>#DIV/0!</v>
      </c>
      <c r="C64" s="176">
        <f t="shared" si="16"/>
        <v>0</v>
      </c>
      <c r="D64" s="1076">
        <v>0.25</v>
      </c>
      <c r="E64" s="223">
        <f>'数据-汇总表'!E14</f>
        <v>0</v>
      </c>
      <c r="F64" s="1017" t="e">
        <f t="shared" si="15"/>
        <v>#DIV/0!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t="e">
        <f t="shared" si="17"/>
        <v>#DIV/0!</v>
      </c>
      <c r="C65" s="176">
        <f t="shared" si="16"/>
        <v>0.15</v>
      </c>
      <c r="D65" s="1076">
        <v>0.25</v>
      </c>
      <c r="E65" s="223">
        <f>'数据-汇总表'!E15</f>
        <v>0</v>
      </c>
      <c r="F65" s="1017" t="e">
        <f t="shared" si="15"/>
        <v>#DIV/0!</v>
      </c>
      <c r="G65" s="2174" t="s">
        <v>2592</v>
      </c>
      <c r="H65" s="1028" t="str">
        <f>项目基本情况!C37</f>
        <v>十级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71887.839999999997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1"/>
      <c r="Q68" s="2951"/>
      <c r="R68" s="2951"/>
      <c r="S68" s="2951"/>
      <c r="T68" s="2951"/>
      <c r="U68" s="2951"/>
      <c r="V68" s="2951"/>
      <c r="W68" s="2951"/>
      <c r="X68" s="2951"/>
      <c r="Y68" s="2951"/>
      <c r="Z68" s="2951"/>
      <c r="AA68" s="2951"/>
      <c r="AB68" s="2951"/>
      <c r="AC68" s="2951"/>
    </row>
    <row r="69" spans="1:29" ht="21.75" thickBot="1">
      <c r="A69" s="703" t="s">
        <v>2492</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5"/>
      <c r="Q71" s="2885"/>
      <c r="R71" s="2885"/>
      <c r="S71" s="2885"/>
      <c r="T71" s="2885"/>
      <c r="U71" s="2885"/>
      <c r="V71" s="2885"/>
      <c r="W71" s="2885"/>
      <c r="X71" s="2885"/>
      <c r="Y71" s="2885"/>
      <c r="Z71" s="2885"/>
      <c r="AA71" s="2885"/>
      <c r="AB71" s="2885"/>
      <c r="AC71" s="2885"/>
    </row>
    <row r="72" spans="1:29" s="113" customFormat="1" ht="15.75" thickBot="1">
      <c r="A72" s="472" t="s">
        <v>2403</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2368</v>
      </c>
      <c r="B73" s="467"/>
      <c r="C73" s="479" t="s">
        <v>2470</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2406</v>
      </c>
      <c r="B75" s="485" t="s">
        <v>2372</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2375</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2377</v>
      </c>
      <c r="B88" s="485" t="s">
        <v>2414</v>
      </c>
      <c r="C88" s="530" t="s">
        <v>2415</v>
      </c>
      <c r="D88" s="530" t="s">
        <v>2416</v>
      </c>
      <c r="E88" s="530" t="s">
        <v>2417</v>
      </c>
      <c r="F88" s="530" t="s">
        <v>2418</v>
      </c>
      <c r="G88" s="530" t="s">
        <v>2419</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2415</v>
      </c>
      <c r="D90" s="535" t="s">
        <v>2416</v>
      </c>
      <c r="E90" s="535" t="s">
        <v>2417</v>
      </c>
      <c r="F90" s="535" t="s">
        <v>2418</v>
      </c>
      <c r="G90" s="535" t="s">
        <v>2419</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2515</v>
      </c>
      <c r="C92" s="535" t="s">
        <v>2415</v>
      </c>
      <c r="D92" s="535" t="s">
        <v>2416</v>
      </c>
      <c r="E92" s="535" t="s">
        <v>2417</v>
      </c>
      <c r="F92" s="535" t="s">
        <v>2418</v>
      </c>
      <c r="G92" s="535" t="s">
        <v>2419</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2420</v>
      </c>
      <c r="C94" s="535" t="s">
        <v>2415</v>
      </c>
      <c r="D94" s="535" t="s">
        <v>2416</v>
      </c>
      <c r="E94" s="535" t="s">
        <v>2417</v>
      </c>
      <c r="F94" s="535" t="s">
        <v>2418</v>
      </c>
      <c r="G94" s="535" t="s">
        <v>2419</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2509</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26" t="s">
        <v>2464</v>
      </c>
      <c r="D4" s="3327"/>
      <c r="E4" s="3328" t="s">
        <v>2465</v>
      </c>
      <c r="F4" s="3329"/>
      <c r="G4" s="3326" t="s">
        <v>2466</v>
      </c>
      <c r="H4" s="3327"/>
      <c r="I4" s="3326" t="s">
        <v>2467</v>
      </c>
      <c r="J4" s="3327"/>
      <c r="K4" s="567" t="s">
        <v>2468</v>
      </c>
      <c r="L4" s="2941"/>
      <c r="M4" s="2942"/>
      <c r="N4" s="2942"/>
      <c r="O4" s="2942"/>
      <c r="P4" s="3330" t="s">
        <v>2469</v>
      </c>
      <c r="Q4" s="3331"/>
      <c r="R4" s="3313" t="s">
        <v>2465</v>
      </c>
      <c r="S4" s="3314"/>
      <c r="T4" s="3313" t="s">
        <v>2466</v>
      </c>
      <c r="U4" s="3314"/>
      <c r="V4" s="3338" t="s">
        <v>2467</v>
      </c>
      <c r="W4" s="3338"/>
      <c r="X4" s="1539"/>
      <c r="Y4" s="3313" t="s">
        <v>2469</v>
      </c>
      <c r="Z4" s="3314"/>
      <c r="AA4" s="3308" t="s">
        <v>2465</v>
      </c>
      <c r="AB4" s="3309" t="s">
        <v>2466</v>
      </c>
      <c r="AC4" s="3308" t="s">
        <v>2467</v>
      </c>
    </row>
    <row r="5" spans="1:29" ht="15">
      <c r="A5" s="364"/>
      <c r="B5" s="365"/>
      <c r="C5" s="3319" t="s">
        <v>2360</v>
      </c>
      <c r="D5" s="3320"/>
      <c r="E5" s="3317" t="s">
        <v>2361</v>
      </c>
      <c r="F5" s="3318"/>
      <c r="G5" s="3319" t="s">
        <v>2362</v>
      </c>
      <c r="H5" s="3320"/>
      <c r="I5" s="3319" t="s">
        <v>2363</v>
      </c>
      <c r="J5" s="3320"/>
      <c r="K5" s="567"/>
      <c r="L5" s="2941"/>
      <c r="M5" s="2942"/>
      <c r="N5" s="2942"/>
      <c r="O5" s="2942"/>
      <c r="P5" s="3332"/>
      <c r="Q5" s="3333"/>
      <c r="R5" s="3315"/>
      <c r="S5" s="3316"/>
      <c r="T5" s="3315"/>
      <c r="U5" s="3316"/>
      <c r="V5" s="3338"/>
      <c r="W5" s="3338"/>
      <c r="X5" s="1539"/>
      <c r="Y5" s="3315"/>
      <c r="Z5" s="3316"/>
      <c r="AA5" s="3309"/>
      <c r="AB5" s="3309"/>
      <c r="AC5" s="3309"/>
    </row>
    <row r="6" spans="1:29" ht="15.75" thickBot="1">
      <c r="A6" s="366"/>
      <c r="B6" s="367"/>
      <c r="C6" s="3375" t="s">
        <v>2615</v>
      </c>
      <c r="D6" s="3376"/>
      <c r="E6" s="3377" t="s">
        <v>2615</v>
      </c>
      <c r="F6" s="3378"/>
      <c r="G6" s="3375" t="s">
        <v>2615</v>
      </c>
      <c r="H6" s="3376"/>
      <c r="I6" s="3375" t="s">
        <v>2615</v>
      </c>
      <c r="J6" s="3376"/>
      <c r="K6" s="567" t="s">
        <v>2365</v>
      </c>
      <c r="L6" s="2941"/>
      <c r="M6" s="2942"/>
      <c r="N6" s="2942"/>
      <c r="O6" s="2942"/>
      <c r="P6" s="3334"/>
      <c r="Q6" s="3335"/>
      <c r="R6" s="3315"/>
      <c r="S6" s="3316"/>
      <c r="T6" s="3336"/>
      <c r="U6" s="3337"/>
      <c r="V6" s="3338"/>
      <c r="W6" s="3338"/>
      <c r="X6" s="1539"/>
      <c r="Y6" s="3336"/>
      <c r="Z6" s="3337"/>
      <c r="AA6" s="3310"/>
      <c r="AB6" s="3310"/>
      <c r="AC6" s="3310"/>
    </row>
    <row r="7" spans="1:29" s="113" customFormat="1" ht="15.75" thickBot="1">
      <c r="A7" s="368" t="s">
        <v>2366</v>
      </c>
      <c r="B7" s="369"/>
      <c r="C7" s="370">
        <f>'数据-取费表'!B2</f>
        <v>44315</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11" t="s">
        <v>2367</v>
      </c>
      <c r="Q7" s="3339"/>
      <c r="R7" s="710" t="s">
        <v>17</v>
      </c>
      <c r="S7" s="711">
        <f t="shared" ref="S7:S15" si="0">F7</f>
        <v>0</v>
      </c>
      <c r="T7" s="710" t="s">
        <v>17</v>
      </c>
      <c r="U7" s="711">
        <f t="shared" ref="U7:U15" si="1">H7</f>
        <v>0</v>
      </c>
      <c r="V7" s="710" t="s">
        <v>17</v>
      </c>
      <c r="W7" s="711">
        <f t="shared" ref="W7:W15" si="2">J7</f>
        <v>0</v>
      </c>
      <c r="X7" s="712"/>
      <c r="Y7" s="3311" t="s">
        <v>2367</v>
      </c>
      <c r="Z7" s="3312"/>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11" t="s">
        <v>2370</v>
      </c>
      <c r="Q8" s="3312"/>
      <c r="R8" s="710" t="s">
        <v>17</v>
      </c>
      <c r="S8" s="711">
        <f t="shared" si="0"/>
        <v>0</v>
      </c>
      <c r="T8" s="710" t="s">
        <v>17</v>
      </c>
      <c r="U8" s="711">
        <f t="shared" si="1"/>
        <v>0</v>
      </c>
      <c r="V8" s="710" t="s">
        <v>17</v>
      </c>
      <c r="W8" s="711">
        <f t="shared" si="2"/>
        <v>0</v>
      </c>
      <c r="X8" s="712"/>
      <c r="Y8" s="3311" t="s">
        <v>2370</v>
      </c>
      <c r="Z8" s="3312"/>
      <c r="AA8" s="713" t="e">
        <f t="shared" ref="AA8:AA40" si="3">D8/F8</f>
        <v>#DIV/0!</v>
      </c>
      <c r="AB8" s="713" t="e">
        <f t="shared" ref="AB8:AB40" si="4">D8/H8</f>
        <v>#DIV/0!</v>
      </c>
      <c r="AC8" s="713" t="e">
        <f t="shared" ref="AC8:AC40" si="5">D8/J8</f>
        <v>#DIV/0!</v>
      </c>
    </row>
    <row r="9" spans="1:29" s="113" customFormat="1">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43" t="s">
        <v>2373</v>
      </c>
      <c r="Q9" s="1527" t="str">
        <f t="shared" ref="Q9:Q15" si="6">B9</f>
        <v>用途</v>
      </c>
      <c r="R9" s="710" t="s">
        <v>17</v>
      </c>
      <c r="S9" s="711">
        <f t="shared" si="0"/>
        <v>100</v>
      </c>
      <c r="T9" s="710" t="s">
        <v>17</v>
      </c>
      <c r="U9" s="711">
        <f t="shared" si="1"/>
        <v>100</v>
      </c>
      <c r="V9" s="710" t="s">
        <v>17</v>
      </c>
      <c r="W9" s="711">
        <f t="shared" si="2"/>
        <v>100</v>
      </c>
      <c r="X9" s="712"/>
      <c r="Y9" s="3227"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101</v>
      </c>
      <c r="G10" s="391"/>
      <c r="H10" s="132">
        <f>ROUND(100/'数据-取费表'!G16,0)</f>
        <v>101</v>
      </c>
      <c r="I10" s="391"/>
      <c r="J10" s="132">
        <f>ROUND(100/'数据-取费表'!G16,0)</f>
        <v>101</v>
      </c>
      <c r="K10" s="628"/>
      <c r="L10" s="2945"/>
      <c r="M10" s="2946"/>
      <c r="N10" s="2946"/>
      <c r="O10" s="2999"/>
      <c r="P10" s="3343"/>
      <c r="Q10" s="1527" t="str">
        <f t="shared" si="6"/>
        <v>土地使用年限（年）</v>
      </c>
      <c r="R10" s="710" t="s">
        <v>17</v>
      </c>
      <c r="S10" s="711">
        <f t="shared" si="0"/>
        <v>101</v>
      </c>
      <c r="T10" s="710" t="s">
        <v>17</v>
      </c>
      <c r="U10" s="711">
        <f t="shared" si="1"/>
        <v>101</v>
      </c>
      <c r="V10" s="710" t="s">
        <v>17</v>
      </c>
      <c r="W10" s="711">
        <f t="shared" si="2"/>
        <v>101</v>
      </c>
      <c r="X10" s="712"/>
      <c r="Y10" s="3227"/>
      <c r="Z10" s="55" t="str">
        <f t="shared" si="7"/>
        <v>土地使用年限（年）</v>
      </c>
      <c r="AA10" s="713">
        <f t="shared" si="3"/>
        <v>0.99009900990099009</v>
      </c>
      <c r="AB10" s="713">
        <f t="shared" si="4"/>
        <v>0.99009900990099009</v>
      </c>
      <c r="AC10" s="713">
        <f t="shared" si="5"/>
        <v>0.99009900990099009</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43"/>
      <c r="Q11" s="1527"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43"/>
      <c r="Q12" s="1527">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43"/>
      <c r="Q13" s="1527">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43"/>
      <c r="Q14" s="1527">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45" t="s">
        <v>2378</v>
      </c>
      <c r="Q15" s="1536" t="str">
        <f t="shared" si="6"/>
        <v>产业集聚程度</v>
      </c>
      <c r="R15" s="714" t="s">
        <v>17</v>
      </c>
      <c r="S15" s="715">
        <f t="shared" si="0"/>
        <v>100</v>
      </c>
      <c r="T15" s="714" t="s">
        <v>17</v>
      </c>
      <c r="U15" s="715">
        <f t="shared" si="1"/>
        <v>100</v>
      </c>
      <c r="V15" s="714" t="s">
        <v>17</v>
      </c>
      <c r="W15" s="715">
        <f t="shared" si="2"/>
        <v>100</v>
      </c>
      <c r="X15" s="1539"/>
      <c r="Y15" s="3345"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46"/>
      <c r="Q16" s="1536"/>
      <c r="R16" s="714"/>
      <c r="S16" s="715"/>
      <c r="T16" s="714"/>
      <c r="U16" s="715"/>
      <c r="V16" s="714"/>
      <c r="W16" s="715"/>
      <c r="X16" s="1539"/>
      <c r="Y16" s="3346"/>
      <c r="Z16" s="1540"/>
      <c r="AA16" s="1537">
        <v>1</v>
      </c>
      <c r="AB16" s="1537">
        <v>1</v>
      </c>
      <c r="AC16" s="1537">
        <v>1</v>
      </c>
    </row>
    <row r="17" spans="1:29" ht="85.5">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46"/>
      <c r="Q17" s="1536" t="str">
        <f>B17</f>
        <v>交通便捷度</v>
      </c>
      <c r="R17" s="714" t="s">
        <v>17</v>
      </c>
      <c r="S17" s="715">
        <f>F17</f>
        <v>100</v>
      </c>
      <c r="T17" s="714" t="s">
        <v>17</v>
      </c>
      <c r="U17" s="715">
        <f>H17</f>
        <v>100</v>
      </c>
      <c r="V17" s="714" t="s">
        <v>17</v>
      </c>
      <c r="W17" s="715">
        <f>J17</f>
        <v>100</v>
      </c>
      <c r="X17" s="1539"/>
      <c r="Y17" s="334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46"/>
      <c r="Q18" s="1536"/>
      <c r="R18" s="714"/>
      <c r="S18" s="715"/>
      <c r="T18" s="714"/>
      <c r="U18" s="715"/>
      <c r="V18" s="714"/>
      <c r="W18" s="715"/>
      <c r="X18" s="1539"/>
      <c r="Y18" s="3346"/>
      <c r="Z18" s="1540"/>
      <c r="AA18" s="1537">
        <v>1</v>
      </c>
      <c r="AB18" s="1537">
        <v>1</v>
      </c>
      <c r="AC18" s="1537">
        <v>1</v>
      </c>
    </row>
    <row r="19" spans="1:29" ht="15">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46"/>
      <c r="Q19" s="1536" t="str">
        <f t="shared" ref="Q19:Q33" si="8">B19</f>
        <v>区域土地利用方向</v>
      </c>
      <c r="R19" s="714" t="s">
        <v>17</v>
      </c>
      <c r="S19" s="715">
        <f>F19</f>
        <v>100</v>
      </c>
      <c r="T19" s="714" t="s">
        <v>17</v>
      </c>
      <c r="U19" s="715">
        <f>H19</f>
        <v>100</v>
      </c>
      <c r="V19" s="714" t="s">
        <v>17</v>
      </c>
      <c r="W19" s="715">
        <f>J19</f>
        <v>100</v>
      </c>
      <c r="X19" s="1539"/>
      <c r="Y19" s="334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346"/>
      <c r="Q20" s="1536"/>
      <c r="R20" s="714"/>
      <c r="S20" s="715"/>
      <c r="T20" s="714"/>
      <c r="U20" s="715"/>
      <c r="V20" s="714"/>
      <c r="W20" s="715"/>
      <c r="X20" s="1539"/>
      <c r="Y20" s="3346"/>
      <c r="Z20" s="1540"/>
      <c r="AA20" s="1537"/>
      <c r="AB20" s="1537"/>
      <c r="AC20" s="1537"/>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46"/>
      <c r="Q21" s="1536" t="str">
        <f t="shared" si="8"/>
        <v>环境状况</v>
      </c>
      <c r="R21" s="714" t="s">
        <v>17</v>
      </c>
      <c r="S21" s="715">
        <f>F21</f>
        <v>100</v>
      </c>
      <c r="T21" s="714" t="s">
        <v>17</v>
      </c>
      <c r="U21" s="715">
        <f>H21</f>
        <v>100</v>
      </c>
      <c r="V21" s="714" t="s">
        <v>17</v>
      </c>
      <c r="W21" s="715">
        <f>J21</f>
        <v>100</v>
      </c>
      <c r="X21" s="1539"/>
      <c r="Y21" s="334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46"/>
      <c r="Q22" s="1536"/>
      <c r="R22" s="714"/>
      <c r="S22" s="715"/>
      <c r="T22" s="714"/>
      <c r="U22" s="715"/>
      <c r="V22" s="714"/>
      <c r="W22" s="715"/>
      <c r="X22" s="1539"/>
      <c r="Y22" s="3346"/>
      <c r="Z22" s="1540"/>
      <c r="AA22" s="1537">
        <v>1</v>
      </c>
      <c r="AB22" s="1537">
        <v>1</v>
      </c>
      <c r="AC22" s="1537">
        <v>1</v>
      </c>
    </row>
    <row r="23" spans="1:29" s="113" customFormat="1" ht="42.75">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46"/>
      <c r="Q23" s="1527" t="str">
        <f t="shared" si="8"/>
        <v>公共配套设施</v>
      </c>
      <c r="R23" s="710" t="s">
        <v>17</v>
      </c>
      <c r="S23" s="711">
        <f>F23</f>
        <v>100</v>
      </c>
      <c r="T23" s="710" t="s">
        <v>17</v>
      </c>
      <c r="U23" s="711">
        <f>H23</f>
        <v>100</v>
      </c>
      <c r="V23" s="710" t="s">
        <v>17</v>
      </c>
      <c r="W23" s="711">
        <f>J23</f>
        <v>100</v>
      </c>
      <c r="X23" s="712"/>
      <c r="Y23" s="334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46"/>
      <c r="Q24" s="1527"/>
      <c r="R24" s="710"/>
      <c r="S24" s="711"/>
      <c r="T24" s="710"/>
      <c r="U24" s="711"/>
      <c r="V24" s="710"/>
      <c r="W24" s="711"/>
      <c r="X24" s="712"/>
      <c r="Y24" s="3346"/>
      <c r="Z24" s="55"/>
      <c r="AA24" s="713">
        <v>1</v>
      </c>
      <c r="AB24" s="713">
        <v>1</v>
      </c>
      <c r="AC24" s="713">
        <v>1</v>
      </c>
    </row>
    <row r="25" spans="1:29" s="113" customFormat="1" ht="28.5">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46"/>
      <c r="Q25" s="1527" t="str">
        <f t="shared" ref="Q25" si="9">B25</f>
        <v>基础设施水平</v>
      </c>
      <c r="R25" s="710" t="s">
        <v>17</v>
      </c>
      <c r="S25" s="711">
        <f>F25</f>
        <v>100</v>
      </c>
      <c r="T25" s="710" t="s">
        <v>17</v>
      </c>
      <c r="U25" s="711">
        <f>H25</f>
        <v>100</v>
      </c>
      <c r="V25" s="710" t="s">
        <v>17</v>
      </c>
      <c r="W25" s="711">
        <f>J25</f>
        <v>100</v>
      </c>
      <c r="X25" s="712"/>
      <c r="Y25" s="334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46"/>
      <c r="Q26" s="1527"/>
      <c r="R26" s="710"/>
      <c r="S26" s="711"/>
      <c r="T26" s="710"/>
      <c r="U26" s="711"/>
      <c r="V26" s="710"/>
      <c r="W26" s="711"/>
      <c r="X26" s="712"/>
      <c r="Y26" s="3346"/>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4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6"/>
      <c r="Z27" s="1540" t="str">
        <f t="shared" ref="Z27:Z40" si="13">Q27</f>
        <v>临街状况</v>
      </c>
      <c r="AA27" s="1537">
        <f t="shared" si="3"/>
        <v>1</v>
      </c>
      <c r="AB27" s="1537">
        <f t="shared" si="4"/>
        <v>1</v>
      </c>
      <c r="AC27" s="1537">
        <f t="shared" si="5"/>
        <v>1</v>
      </c>
    </row>
    <row r="28" spans="1:29" ht="27">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46"/>
      <c r="Q28" s="1536" t="str">
        <f t="shared" si="8"/>
        <v>毗邻道路的类型与等级</v>
      </c>
      <c r="R28" s="714" t="s">
        <v>17</v>
      </c>
      <c r="S28" s="715">
        <f t="shared" si="10"/>
        <v>100</v>
      </c>
      <c r="T28" s="714" t="s">
        <v>17</v>
      </c>
      <c r="U28" s="715">
        <f t="shared" si="11"/>
        <v>100</v>
      </c>
      <c r="V28" s="714" t="s">
        <v>17</v>
      </c>
      <c r="W28" s="715">
        <f t="shared" si="12"/>
        <v>100</v>
      </c>
      <c r="X28" s="1539"/>
      <c r="Y28" s="334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46"/>
      <c r="Q29" s="1536"/>
      <c r="R29" s="714"/>
      <c r="S29" s="715"/>
      <c r="T29" s="714"/>
      <c r="U29" s="715"/>
      <c r="V29" s="714"/>
      <c r="W29" s="715"/>
      <c r="X29" s="1539"/>
      <c r="Y29" s="3346"/>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46"/>
      <c r="Q30" s="1536" t="str">
        <f t="shared" si="8"/>
        <v>土地级别</v>
      </c>
      <c r="R30" s="714" t="s">
        <v>17</v>
      </c>
      <c r="S30" s="715">
        <f t="shared" si="10"/>
        <v>100</v>
      </c>
      <c r="T30" s="714" t="s">
        <v>17</v>
      </c>
      <c r="U30" s="715">
        <f t="shared" si="11"/>
        <v>100</v>
      </c>
      <c r="V30" s="714" t="s">
        <v>17</v>
      </c>
      <c r="W30" s="715">
        <f t="shared" si="12"/>
        <v>100</v>
      </c>
      <c r="X30" s="1539"/>
      <c r="Y30" s="334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46"/>
      <c r="Q31" s="1536">
        <f t="shared" si="8"/>
        <v>111</v>
      </c>
      <c r="R31" s="714" t="s">
        <v>17</v>
      </c>
      <c r="S31" s="715">
        <f t="shared" si="10"/>
        <v>100</v>
      </c>
      <c r="T31" s="714" t="s">
        <v>17</v>
      </c>
      <c r="U31" s="715">
        <f t="shared" si="11"/>
        <v>100</v>
      </c>
      <c r="V31" s="714" t="s">
        <v>17</v>
      </c>
      <c r="W31" s="715">
        <f t="shared" si="12"/>
        <v>100</v>
      </c>
      <c r="X31" s="1539"/>
      <c r="Y31" s="334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9" t="s">
        <v>2383</v>
      </c>
      <c r="Q32" s="1536">
        <f t="shared" si="8"/>
        <v>111</v>
      </c>
      <c r="R32" s="714" t="s">
        <v>17</v>
      </c>
      <c r="S32" s="715">
        <f t="shared" si="10"/>
        <v>100</v>
      </c>
      <c r="T32" s="714" t="s">
        <v>17</v>
      </c>
      <c r="U32" s="715">
        <f t="shared" si="11"/>
        <v>100</v>
      </c>
      <c r="V32" s="714" t="s">
        <v>17</v>
      </c>
      <c r="W32" s="715">
        <f t="shared" si="12"/>
        <v>100</v>
      </c>
      <c r="X32" s="1539"/>
      <c r="Y32" s="3350" t="s">
        <v>2383</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50"/>
      <c r="Q33" s="1536">
        <f t="shared" si="8"/>
        <v>111</v>
      </c>
      <c r="R33" s="717" t="s">
        <v>17</v>
      </c>
      <c r="S33" s="718">
        <f t="shared" si="10"/>
        <v>100</v>
      </c>
      <c r="T33" s="717" t="s">
        <v>17</v>
      </c>
      <c r="U33" s="718">
        <f t="shared" si="11"/>
        <v>100</v>
      </c>
      <c r="V33" s="717" t="s">
        <v>17</v>
      </c>
      <c r="W33" s="718">
        <f t="shared" si="12"/>
        <v>100</v>
      </c>
      <c r="X33" s="719"/>
      <c r="Y33" s="3350"/>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50"/>
      <c r="Q34" s="1536" t="str">
        <f>B34</f>
        <v>宗地面积</v>
      </c>
      <c r="R34" s="714" t="s">
        <v>17</v>
      </c>
      <c r="S34" s="715" t="e">
        <f t="shared" si="10"/>
        <v>#N/A</v>
      </c>
      <c r="T34" s="714" t="s">
        <v>17</v>
      </c>
      <c r="U34" s="715" t="e">
        <f t="shared" si="11"/>
        <v>#N/A</v>
      </c>
      <c r="V34" s="714" t="s">
        <v>17</v>
      </c>
      <c r="W34" s="715" t="e">
        <f t="shared" si="12"/>
        <v>#N/A</v>
      </c>
      <c r="X34" s="1539"/>
      <c r="Y34" s="3350"/>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350"/>
      <c r="Q35" s="1536" t="str">
        <f t="shared" ref="Q35:Q40" si="14">B35</f>
        <v>宗地形状</v>
      </c>
      <c r="R35" s="714" t="s">
        <v>17</v>
      </c>
      <c r="S35" s="715">
        <f t="shared" si="10"/>
        <v>100</v>
      </c>
      <c r="T35" s="714" t="s">
        <v>17</v>
      </c>
      <c r="U35" s="715">
        <f t="shared" si="11"/>
        <v>100</v>
      </c>
      <c r="V35" s="714" t="s">
        <v>17</v>
      </c>
      <c r="W35" s="715">
        <f t="shared" si="12"/>
        <v>100</v>
      </c>
      <c r="X35" s="1539"/>
      <c r="Y35" s="3350"/>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50"/>
      <c r="Q36" s="1536" t="str">
        <f t="shared" si="14"/>
        <v>宗地开发程度</v>
      </c>
      <c r="R36" s="710" t="s">
        <v>17</v>
      </c>
      <c r="S36" s="711">
        <f t="shared" si="10"/>
        <v>100</v>
      </c>
      <c r="T36" s="710" t="s">
        <v>17</v>
      </c>
      <c r="U36" s="711">
        <f t="shared" si="11"/>
        <v>100</v>
      </c>
      <c r="V36" s="710" t="s">
        <v>17</v>
      </c>
      <c r="W36" s="711">
        <f t="shared" si="12"/>
        <v>100</v>
      </c>
      <c r="X36" s="712"/>
      <c r="Y36" s="3350"/>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350" t="s">
        <v>2383</v>
      </c>
      <c r="Q37" s="1536" t="str">
        <f t="shared" si="14"/>
        <v>工程地质条件</v>
      </c>
      <c r="R37" s="714" t="s">
        <v>17</v>
      </c>
      <c r="S37" s="715">
        <f t="shared" si="10"/>
        <v>100</v>
      </c>
      <c r="T37" s="714" t="s">
        <v>17</v>
      </c>
      <c r="U37" s="715">
        <f t="shared" si="11"/>
        <v>100</v>
      </c>
      <c r="V37" s="714" t="s">
        <v>17</v>
      </c>
      <c r="W37" s="715">
        <f t="shared" si="12"/>
        <v>100</v>
      </c>
      <c r="X37" s="1539"/>
      <c r="Y37" s="3350"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50"/>
      <c r="Q38" s="1536">
        <f t="shared" si="14"/>
        <v>111</v>
      </c>
      <c r="R38" s="714" t="s">
        <v>17</v>
      </c>
      <c r="S38" s="715">
        <f t="shared" si="10"/>
        <v>100</v>
      </c>
      <c r="T38" s="714" t="s">
        <v>17</v>
      </c>
      <c r="U38" s="715">
        <f t="shared" si="11"/>
        <v>100</v>
      </c>
      <c r="V38" s="714" t="s">
        <v>17</v>
      </c>
      <c r="W38" s="715">
        <f t="shared" si="12"/>
        <v>100</v>
      </c>
      <c r="X38" s="1539"/>
      <c r="Y38" s="335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50"/>
      <c r="Q39" s="1536">
        <f t="shared" si="14"/>
        <v>111</v>
      </c>
      <c r="R39" s="714" t="s">
        <v>17</v>
      </c>
      <c r="S39" s="715">
        <f t="shared" si="10"/>
        <v>100</v>
      </c>
      <c r="T39" s="714" t="s">
        <v>17</v>
      </c>
      <c r="U39" s="715">
        <f t="shared" si="11"/>
        <v>100</v>
      </c>
      <c r="V39" s="714" t="s">
        <v>17</v>
      </c>
      <c r="W39" s="715">
        <f t="shared" si="12"/>
        <v>100</v>
      </c>
      <c r="X39" s="1539"/>
      <c r="Y39" s="335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50"/>
      <c r="Q40" s="1536">
        <f t="shared" si="14"/>
        <v>111</v>
      </c>
      <c r="R40" s="717" t="s">
        <v>17</v>
      </c>
      <c r="S40" s="718">
        <f t="shared" si="10"/>
        <v>100</v>
      </c>
      <c r="T40" s="717" t="s">
        <v>17</v>
      </c>
      <c r="U40" s="718">
        <f t="shared" si="11"/>
        <v>100</v>
      </c>
      <c r="V40" s="717" t="s">
        <v>17</v>
      </c>
      <c r="W40" s="718">
        <f t="shared" si="12"/>
        <v>100</v>
      </c>
      <c r="X40" s="719"/>
      <c r="Y40" s="3350"/>
      <c r="Z40" s="720">
        <f t="shared" si="13"/>
        <v>111</v>
      </c>
      <c r="AA40" s="1537">
        <f t="shared" si="3"/>
        <v>1</v>
      </c>
      <c r="AB40" s="1537">
        <f t="shared" si="4"/>
        <v>1</v>
      </c>
      <c r="AC40" s="1537">
        <f t="shared" si="5"/>
        <v>1</v>
      </c>
    </row>
    <row r="41" spans="1:31" ht="15">
      <c r="A41" s="438" t="s">
        <v>2538</v>
      </c>
      <c r="B41" s="2168" t="s">
        <v>2618</v>
      </c>
      <c r="C41" s="638" t="s">
        <v>1</v>
      </c>
      <c r="D41" s="440"/>
      <c r="E41" s="441"/>
      <c r="F41" s="442"/>
      <c r="G41" s="443"/>
      <c r="H41" s="444"/>
      <c r="I41" s="441"/>
      <c r="J41" s="444"/>
      <c r="K41" s="723"/>
      <c r="L41" s="2950"/>
      <c r="M41" s="2942"/>
      <c r="N41" s="2942"/>
      <c r="O41" s="2951"/>
      <c r="P41" s="3343" t="str">
        <f>A41</f>
        <v>成交单价</v>
      </c>
      <c r="Q41" s="3343"/>
      <c r="R41" s="3338">
        <f>E41</f>
        <v>0</v>
      </c>
      <c r="S41" s="3338"/>
      <c r="T41" s="3338">
        <f>G41</f>
        <v>0</v>
      </c>
      <c r="U41" s="3338"/>
      <c r="V41" s="3338">
        <f>I41</f>
        <v>0</v>
      </c>
      <c r="W41" s="3338"/>
      <c r="X41" s="699"/>
      <c r="Y41" s="721"/>
      <c r="Z41" s="699"/>
      <c r="AA41" s="699"/>
      <c r="AB41" s="699"/>
      <c r="AC41" s="699"/>
    </row>
    <row r="42" spans="1:31" ht="15.75" thickBot="1">
      <c r="A42" s="445" t="s">
        <v>2487</v>
      </c>
      <c r="B42" s="639"/>
      <c r="C42" s="448" t="e">
        <f>R43</f>
        <v>#DIV/0!</v>
      </c>
      <c r="D42" s="2538" t="s">
        <v>2876</v>
      </c>
      <c r="E42" s="448" t="e">
        <f>R42</f>
        <v>#DIV/0!</v>
      </c>
      <c r="F42" s="2539"/>
      <c r="G42" s="447" t="e">
        <f>T42</f>
        <v>#DIV/0!</v>
      </c>
      <c r="H42" s="2539"/>
      <c r="I42" s="448" t="e">
        <f>V42</f>
        <v>#DIV/0!</v>
      </c>
      <c r="J42" s="2539"/>
      <c r="K42" s="2541">
        <f>F42+H42+J42</f>
        <v>0</v>
      </c>
      <c r="L42" s="2950"/>
      <c r="M42" s="2942"/>
      <c r="N42" s="2942"/>
      <c r="O42" s="2951"/>
      <c r="P42" s="3343" t="str">
        <f>A42</f>
        <v>比较价值（元/平方米）</v>
      </c>
      <c r="Q42" s="3343"/>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0"/>
      <c r="M43" s="2942"/>
      <c r="N43" s="2942"/>
      <c r="O43" s="2951"/>
      <c r="P43" s="3340" t="str">
        <f>A43</f>
        <v>估价对象XX用房的比较价值（楼面单价，元/平方米）</v>
      </c>
      <c r="Q43" s="3341"/>
      <c r="R43" s="3372" t="e">
        <f>ROUND(IF(D42="简单平均",AVERAGE(R42:W42),R42*F42+T42*H42+V42*J42),0)</f>
        <v>#DIV/0!</v>
      </c>
      <c r="S43" s="3372"/>
      <c r="T43" s="3372"/>
      <c r="U43" s="3372"/>
      <c r="V43" s="3372"/>
      <c r="W43" s="3372"/>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26" t="s">
        <v>2582</v>
      </c>
      <c r="H50" s="3373"/>
      <c r="I50" s="1540" t="s">
        <v>2619</v>
      </c>
      <c r="J50" s="1540">
        <f>项目基本情况!F35</f>
        <v>0</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57934.700000000004</v>
      </c>
      <c r="F51" s="647" t="e">
        <f t="shared" ref="F51:F60" si="15">ROUND(B51*E51/10000,0)</f>
        <v>#DIV/0!</v>
      </c>
      <c r="G51" s="3325"/>
      <c r="H51" s="3343"/>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6">IF($C$50="北京市系数",I52,J52)</f>
        <v>0</v>
      </c>
      <c r="D52" s="1076">
        <v>0.25</v>
      </c>
      <c r="E52" s="650"/>
      <c r="F52" s="647" t="e">
        <f t="shared" si="15"/>
        <v>#DIV/0!</v>
      </c>
      <c r="G52" s="3374"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7">ROUND($C$43*C53*D53,0)</f>
        <v>#DIV/0!</v>
      </c>
      <c r="C53" s="176">
        <f t="shared" si="16"/>
        <v>0</v>
      </c>
      <c r="D53" s="1076">
        <v>0.25</v>
      </c>
      <c r="E53" s="650"/>
      <c r="F53" s="647" t="e">
        <f t="shared" si="15"/>
        <v>#DIV/0!</v>
      </c>
      <c r="G53" s="3374"/>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7"/>
        <v>#DIV/0!</v>
      </c>
      <c r="C54" s="176">
        <f t="shared" si="16"/>
        <v>0</v>
      </c>
      <c r="D54" s="1076">
        <v>0.25</v>
      </c>
      <c r="E54" s="650"/>
      <c r="F54" s="647" t="e">
        <f t="shared" si="15"/>
        <v>#DIV/0!</v>
      </c>
      <c r="G54" s="3374"/>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7"/>
        <v>#DIV/0!</v>
      </c>
      <c r="C55" s="176">
        <f t="shared" si="16"/>
        <v>0</v>
      </c>
      <c r="D55" s="1076">
        <v>0.25</v>
      </c>
      <c r="E55" s="650"/>
      <c r="F55" s="647" t="e">
        <f t="shared" si="15"/>
        <v>#DIV/0!</v>
      </c>
      <c r="G55" s="3374"/>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7"/>
        <v>#DIV/0!</v>
      </c>
      <c r="C56" s="176">
        <f t="shared" si="16"/>
        <v>0.2</v>
      </c>
      <c r="D56" s="1076">
        <v>0.25</v>
      </c>
      <c r="E56" s="223">
        <f>'数据-汇总表'!E11</f>
        <v>0</v>
      </c>
      <c r="F56" s="647" t="e">
        <f t="shared" si="15"/>
        <v>#DIV/0!</v>
      </c>
      <c r="G56" s="2173" t="s">
        <v>2592</v>
      </c>
      <c r="H56" s="1018" t="str">
        <f>项目基本情况!C37</f>
        <v>十级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十级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7"/>
        <v>#DIV/0!</v>
      </c>
      <c r="C58" s="176">
        <f t="shared" si="16"/>
        <v>0</v>
      </c>
      <c r="D58" s="1076">
        <v>0.25</v>
      </c>
      <c r="E58" s="223">
        <f>'数据-汇总表'!E13</f>
        <v>13953.14</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7"/>
        <v>#DIV/0!</v>
      </c>
      <c r="C59" s="176">
        <f t="shared" si="16"/>
        <v>0</v>
      </c>
      <c r="D59" s="1076">
        <v>0.25</v>
      </c>
      <c r="E59" s="223">
        <f>'数据-汇总表'!E14</f>
        <v>0</v>
      </c>
      <c r="F59" s="647" t="e">
        <f t="shared" si="15"/>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7"/>
        <v>#DIV/0!</v>
      </c>
      <c r="C60" s="176">
        <f t="shared" si="16"/>
        <v>0.15</v>
      </c>
      <c r="D60" s="1076">
        <v>0.25</v>
      </c>
      <c r="E60" s="223">
        <f>'数据-汇总表'!E15</f>
        <v>0</v>
      </c>
      <c r="F60" s="647" t="e">
        <f t="shared" si="15"/>
        <v>#DIV/0!</v>
      </c>
      <c r="G60" s="2174" t="s">
        <v>2592</v>
      </c>
      <c r="H60" s="1028" t="str">
        <f>项目基本情况!C37</f>
        <v>十级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17679.96</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1"/>
      <c r="Q63" s="2951"/>
      <c r="R63" s="2951"/>
      <c r="S63" s="2951"/>
      <c r="T63" s="2951"/>
      <c r="U63" s="2951"/>
      <c r="V63" s="2951"/>
      <c r="W63" s="2951"/>
      <c r="X63" s="2951"/>
      <c r="Y63" s="2951"/>
      <c r="Z63" s="2951"/>
      <c r="AA63" s="2951"/>
      <c r="AB63" s="2951"/>
      <c r="AC63" s="2951"/>
      <c r="AD63" s="2951"/>
      <c r="AE63" s="2951"/>
    </row>
    <row r="64" spans="1:31" ht="21.75" thickBot="1">
      <c r="A64" s="703" t="s">
        <v>2492</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2403</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2368</v>
      </c>
      <c r="B68" s="467"/>
      <c r="C68" s="479" t="s">
        <v>2470</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2406</v>
      </c>
      <c r="B70" s="485" t="s">
        <v>2372</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2375</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2377</v>
      </c>
      <c r="B83" s="485" t="s">
        <v>2523</v>
      </c>
      <c r="C83" s="530" t="s">
        <v>2415</v>
      </c>
      <c r="D83" s="530" t="s">
        <v>2416</v>
      </c>
      <c r="E83" s="530" t="s">
        <v>2417</v>
      </c>
      <c r="F83" s="530" t="s">
        <v>2418</v>
      </c>
      <c r="G83" s="530" t="s">
        <v>2419</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2420</v>
      </c>
      <c r="C85" s="535" t="s">
        <v>2415</v>
      </c>
      <c r="D85" s="535" t="s">
        <v>2416</v>
      </c>
      <c r="E85" s="535" t="s">
        <v>2417</v>
      </c>
      <c r="F85" s="535" t="s">
        <v>2418</v>
      </c>
      <c r="G85" s="535" t="s">
        <v>2419</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2509</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0.86970000000000003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1"/>
      <c r="G1" s="3021"/>
      <c r="H1" s="3021"/>
      <c r="I1" s="3021"/>
      <c r="J1" s="3021"/>
      <c r="K1" s="3021"/>
      <c r="L1" s="3021"/>
      <c r="M1" s="3021"/>
      <c r="N1" s="3021"/>
      <c r="O1" s="3021"/>
      <c r="P1" s="3021"/>
    </row>
    <row r="2" spans="1:16" ht="15.75">
      <c r="A2" s="2361" t="s">
        <v>2810</v>
      </c>
      <c r="B2" s="2825">
        <f ca="1">SUMIF(B6:B13,"&lt;&gt;#ref!",B6:B13)</f>
        <v>15600</v>
      </c>
      <c r="C2" s="2361" t="s">
        <v>2811</v>
      </c>
      <c r="D2" s="2361" t="s">
        <v>2812</v>
      </c>
      <c r="E2" s="2835">
        <f ca="1">SUMIF(E6:E13,"&lt;&gt;#ref!",E6:E13)</f>
        <v>71887.839999999997</v>
      </c>
      <c r="F2" s="3021"/>
      <c r="G2" s="3021"/>
      <c r="H2" s="3021"/>
      <c r="I2" s="3021"/>
      <c r="J2" s="3021"/>
      <c r="K2" s="3021"/>
      <c r="L2" s="3021"/>
      <c r="M2" s="3021"/>
      <c r="N2" s="3021"/>
      <c r="O2" s="3021"/>
      <c r="P2" s="3021"/>
    </row>
    <row r="3" spans="1:16" ht="15.75">
      <c r="A3" s="2361" t="s">
        <v>2813</v>
      </c>
      <c r="B3" s="2825">
        <f ca="1">ROUND(B2*10000/E2,0)</f>
        <v>2170</v>
      </c>
      <c r="C3" s="2361"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62"/>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15600</v>
      </c>
      <c r="C6" s="2361" t="s">
        <v>2811</v>
      </c>
      <c r="D6" s="3021"/>
      <c r="E6" s="2835">
        <f ca="1">SUMIF(INDIRECT("'"&amp;A6&amp;"'"&amp;"!C:C"),"建筑面积",INDIRECT("'"&amp;A6&amp;"'"&amp;"!D:D"))</f>
        <v>71887.839999999997</v>
      </c>
      <c r="F6" s="3021"/>
      <c r="G6" s="3021"/>
      <c r="H6" s="3021"/>
      <c r="I6" s="3021"/>
      <c r="J6" s="3021"/>
      <c r="K6" s="3021"/>
      <c r="L6" s="3021"/>
      <c r="M6" s="3021"/>
      <c r="N6" s="3021"/>
      <c r="O6" s="3021"/>
      <c r="P6" s="3021"/>
    </row>
    <row r="7" spans="1:16" ht="15.75">
      <c r="A7" s="2832"/>
      <c r="B7" s="2825" t="e">
        <f ca="1">SUMIF(INDIRECT("'"&amp;A7&amp;"'"&amp;"!A:A"),"总价",INDIRECT("'"&amp;A7&amp;"'"&amp;"!B:B"))</f>
        <v>#REF!</v>
      </c>
      <c r="C7" s="2361"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5" t="s">
        <v>1117</v>
      </c>
      <c r="C1" s="3385"/>
      <c r="D1" s="3385"/>
      <c r="E1" s="3385"/>
      <c r="F1" s="3385"/>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1">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3057</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1">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3055</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0">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3054</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7">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2868</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2866</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2865</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2864</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2862</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2860</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2863</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3">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2858</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3"/>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2857</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3"/>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2850</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0"/>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2848</v>
      </c>
      <c r="B19" s="2438">
        <v>439</v>
      </c>
      <c r="C19" s="2438">
        <v>327</v>
      </c>
      <c r="D19" s="2438">
        <f>C19</f>
        <v>327</v>
      </c>
      <c r="E19" s="2438">
        <v>627</v>
      </c>
      <c r="F19" s="2439">
        <v>283</v>
      </c>
      <c r="G19" s="3386">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2849</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3"/>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3"/>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0"/>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6">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3"/>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3"/>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4"/>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2">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3"/>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3"/>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4"/>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2">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3"/>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3"/>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4"/>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7">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8"/>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8"/>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9"/>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2">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3"/>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3"/>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4"/>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2">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3">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3">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4">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2">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3">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3">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4">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2">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3">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3">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4">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2">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3">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3">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4">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2">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3">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3">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4">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2">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3">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3">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4">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2">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3">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3">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4">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2">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3">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3">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4">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2">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3">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3">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4">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2">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3">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3">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4">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394" t="s">
        <v>2821</v>
      </c>
      <c r="D1" s="3395"/>
      <c r="E1" s="3395"/>
      <c r="F1" s="3395"/>
      <c r="G1" s="3395"/>
      <c r="H1" s="3395"/>
      <c r="I1" s="3395"/>
      <c r="J1" s="3395"/>
      <c r="K1" s="3395"/>
      <c r="L1" s="3395"/>
      <c r="M1" s="3395"/>
      <c r="N1" s="3395"/>
      <c r="O1" s="3395"/>
      <c r="P1" s="3395"/>
      <c r="Q1" s="3395"/>
      <c r="R1" s="3395"/>
      <c r="S1" s="3396"/>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8"/>
      <c r="B4" s="3066" t="s">
        <v>1595</v>
      </c>
      <c r="C4" s="3066"/>
      <c r="D4" s="3066"/>
      <c r="E4" s="1678"/>
    </row>
    <row r="5" spans="1:5" ht="16.5" thickTop="1">
      <c r="A5" s="1676"/>
      <c r="B5" s="3064" t="s">
        <v>1587</v>
      </c>
      <c r="C5" s="1679" t="s">
        <v>1588</v>
      </c>
      <c r="D5" s="959">
        <f ca="1">结果表!H101</f>
        <v>53096</v>
      </c>
      <c r="E5" s="1676"/>
    </row>
    <row r="6" spans="1:5" ht="15.75">
      <c r="A6" s="1676"/>
      <c r="B6" s="3064"/>
      <c r="C6" s="1679" t="s">
        <v>1589</v>
      </c>
      <c r="D6" s="959" t="str">
        <f ca="1">NUMBERSTRING(INT(D5*10000),2)&amp;"元整"</f>
        <v>伍亿叁仟零玖拾陆万元整</v>
      </c>
      <c r="E6" s="1676"/>
    </row>
    <row r="7" spans="1:5" ht="15.75">
      <c r="A7" s="1676"/>
      <c r="B7" s="3069"/>
      <c r="C7" s="1680" t="s">
        <v>1590</v>
      </c>
      <c r="D7" s="960">
        <f ca="1">结果表!H102</f>
        <v>7076</v>
      </c>
      <c r="E7" s="1676"/>
    </row>
    <row r="8" spans="1:5" ht="15.75">
      <c r="A8" s="1676"/>
      <c r="B8" s="3070" t="str">
        <f>结果表!E103</f>
        <v>2.估价师知悉的法定优先受偿款</v>
      </c>
      <c r="C8" s="1681" t="s">
        <v>1591</v>
      </c>
      <c r="D8" s="960">
        <f>结果表!H103</f>
        <v>0</v>
      </c>
      <c r="E8" s="1676"/>
    </row>
    <row r="9" spans="1:5" ht="15.75">
      <c r="A9" s="1676"/>
      <c r="B9" s="307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3" t="str">
        <f>结果表!E107</f>
        <v>3.房地产抵押价值</v>
      </c>
      <c r="C13" s="1684" t="s">
        <v>1588</v>
      </c>
      <c r="D13" s="962">
        <f ca="1">结果表!H107</f>
        <v>53096</v>
      </c>
      <c r="E13" s="1676"/>
    </row>
    <row r="14" spans="1:5" ht="15.75">
      <c r="A14" s="1676"/>
      <c r="B14" s="3064"/>
      <c r="C14" s="1679" t="s">
        <v>1589</v>
      </c>
      <c r="D14" s="959" t="str">
        <f ca="1">NUMBERSTRING(INT(D13*10000),2)&amp;"元整"</f>
        <v>伍亿叁仟零玖拾陆万元整</v>
      </c>
      <c r="E14" s="1676"/>
    </row>
    <row r="15" spans="1:5" ht="15">
      <c r="A15" s="1676"/>
      <c r="B15" s="3069"/>
      <c r="C15" s="1680" t="s">
        <v>1599</v>
      </c>
      <c r="D15" s="968">
        <f ca="1">结果表!H108</f>
        <v>7076</v>
      </c>
      <c r="E15" s="1676"/>
    </row>
    <row r="16" spans="1:5" ht="15">
      <c r="A16" s="1676"/>
      <c r="B16" s="3070" t="str">
        <f>结果表!E109</f>
        <v>——</v>
      </c>
      <c r="C16" s="1684" t="s">
        <v>1600</v>
      </c>
      <c r="D16" s="1685" t="str">
        <f>结果表!H109</f>
        <v>——</v>
      </c>
      <c r="E16" s="1676"/>
    </row>
    <row r="17" spans="1:5" ht="15.75">
      <c r="A17" s="1676"/>
      <c r="B17" s="3071"/>
      <c r="C17" s="1679" t="s">
        <v>1601</v>
      </c>
      <c r="D17" s="959" t="e">
        <f>NUMBERSTRING(INT(D16*10000),2)&amp;"元整"</f>
        <v>#VALUE!</v>
      </c>
      <c r="E17" s="1676"/>
    </row>
    <row r="18" spans="1:5" ht="15">
      <c r="A18" s="1676"/>
      <c r="B18" s="3072"/>
      <c r="C18" s="1680" t="s">
        <v>1590</v>
      </c>
      <c r="D18" s="968" t="str">
        <f>结果表!H110</f>
        <v>——</v>
      </c>
      <c r="E18" s="1676"/>
    </row>
    <row r="19" spans="1:5" ht="15.75">
      <c r="A19" s="1676"/>
      <c r="B19" s="3063" t="str">
        <f>结果表!E111</f>
        <v>——</v>
      </c>
      <c r="C19" s="1684" t="s">
        <v>1588</v>
      </c>
      <c r="D19" s="960" t="str">
        <f>结果表!H111</f>
        <v>——</v>
      </c>
      <c r="E19" s="1676"/>
    </row>
    <row r="20" spans="1:5" ht="15.75">
      <c r="A20" s="1676"/>
      <c r="B20" s="3064"/>
      <c r="C20" s="1679" t="s">
        <v>1601</v>
      </c>
      <c r="D20" s="959" t="e">
        <f>NUMBERSTRING(INT(D19*10000),2)&amp;"元整"</f>
        <v>#VALUE!</v>
      </c>
      <c r="E20" s="1676"/>
    </row>
    <row r="21" spans="1:5" ht="15.75" thickBot="1">
      <c r="A21" s="1676"/>
      <c r="B21" s="306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60922</v>
      </c>
      <c r="C2" s="2" t="s">
        <v>133</v>
      </c>
      <c r="D2" s="205"/>
      <c r="E2" s="205"/>
      <c r="F2" s="205"/>
      <c r="G2" s="205"/>
    </row>
    <row r="3" spans="1:7" s="206" customFormat="1" ht="18" customHeight="1" thickBot="1">
      <c r="A3" s="209" t="s">
        <v>85</v>
      </c>
      <c r="B3" s="210">
        <f ca="1">ROUND(B2*10000/'数据-汇总表'!E3,0)</f>
        <v>8119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1501</v>
      </c>
      <c r="D10" s="954">
        <f>'数据-汇总表'!E6</f>
        <v>75038.94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1501</v>
      </c>
      <c r="D19" s="958">
        <f>'数据-汇总表'!E3</f>
        <v>75038.94</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1779</v>
      </c>
      <c r="D22" s="241">
        <f ca="1">C26</f>
        <v>8.0000000000000004E-4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1642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120</v>
      </c>
      <c r="D24" s="244"/>
      <c r="E24" s="244"/>
      <c r="F24" s="245"/>
      <c r="G24" s="246" t="s">
        <v>109</v>
      </c>
    </row>
    <row r="25" spans="1:7" s="220" customFormat="1" ht="24">
      <c r="A25" s="888" t="s">
        <v>793</v>
      </c>
      <c r="B25" s="221" t="s">
        <v>1026</v>
      </c>
      <c r="C25" s="1265">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2639</v>
      </c>
      <c r="D27" s="241">
        <f>C29</f>
        <v>2.3E-3</v>
      </c>
      <c r="E27" s="242" t="s">
        <v>126</v>
      </c>
      <c r="F27" s="252">
        <f>'数据-取费表'!Q16</f>
        <v>0.13</v>
      </c>
      <c r="G27" s="253" t="s">
        <v>1037</v>
      </c>
    </row>
    <row r="28" spans="1:7" s="220" customFormat="1" ht="13.5" customHeight="1">
      <c r="A28" s="888" t="s">
        <v>794</v>
      </c>
      <c r="B28" s="254" t="s">
        <v>1030</v>
      </c>
      <c r="C28" s="255">
        <f>ROUND((C5+C19+C20)*F27*'数据-取费表'!B21/'数据-取费表'!B20,0)</f>
        <v>2639</v>
      </c>
      <c r="D28" s="241"/>
      <c r="E28" s="242"/>
      <c r="F28" s="252"/>
      <c r="G28" s="253"/>
    </row>
    <row r="29" spans="1:7" s="220" customFormat="1" ht="13.5" customHeight="1">
      <c r="A29" s="888" t="s">
        <v>792</v>
      </c>
      <c r="B29" s="254" t="s">
        <v>1031</v>
      </c>
      <c r="C29" s="244">
        <f>ROUND(C21*F27*'数据-取费表'!B21/'数据-取费表'!B20,4)</f>
        <v>2.3E-3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29203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24559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21998</v>
      </c>
      <c r="D34" s="223"/>
      <c r="E34" s="226"/>
      <c r="F34" s="263">
        <f>IF('数据-取费表'!B24=0,1,'数据-取费表'!N16)</f>
        <v>0.9</v>
      </c>
      <c r="G34" s="225" t="s">
        <v>116</v>
      </c>
    </row>
    <row r="35" spans="1:7" ht="13.5" customHeight="1">
      <c r="A35" s="888" t="s">
        <v>796</v>
      </c>
      <c r="B35" s="221" t="s">
        <v>60</v>
      </c>
      <c r="C35" s="226">
        <f>ROUND(C34*F35,0)</f>
        <v>880</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1351</v>
      </c>
      <c r="D37" s="223">
        <f>'数据-汇总表'!E3</f>
        <v>75038.94</v>
      </c>
      <c r="E37" s="255">
        <f>'数据-取费表'!B35</f>
        <v>200</v>
      </c>
      <c r="F37" s="265"/>
      <c r="G37" s="267" t="s">
        <v>119</v>
      </c>
    </row>
    <row r="38" spans="1:7" ht="13.5" customHeight="1">
      <c r="A38" s="888" t="s">
        <v>799</v>
      </c>
      <c r="B38" s="221" t="s">
        <v>63</v>
      </c>
      <c r="C38" s="226">
        <f>ROUND(C34*F38,0)</f>
        <v>330</v>
      </c>
      <c r="D38" s="226"/>
      <c r="E38" s="226"/>
      <c r="F38" s="265">
        <f>'数据-取费表'!B36</f>
        <v>1.4999999999999999E-2</v>
      </c>
      <c r="G38" s="225" t="s">
        <v>117</v>
      </c>
    </row>
    <row r="39" spans="1:7" s="220" customFormat="1" ht="13.5" customHeight="1">
      <c r="A39" s="885" t="s">
        <v>783</v>
      </c>
      <c r="B39" s="216" t="s">
        <v>104</v>
      </c>
      <c r="C39" s="238">
        <f>ROUND(C33*F20,0)</f>
        <v>491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978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959</v>
      </c>
      <c r="D42" s="244"/>
      <c r="E42" s="244"/>
      <c r="F42" s="245"/>
      <c r="G42" s="3251" t="s">
        <v>121</v>
      </c>
    </row>
    <row r="43" spans="1:7" ht="13.5" customHeight="1">
      <c r="A43" s="888" t="s">
        <v>792</v>
      </c>
      <c r="B43" s="221" t="s">
        <v>1032</v>
      </c>
      <c r="C43" s="244">
        <f ca="1">ROUND(IF('数据-取费表'!B22&lt;=1,C39*F22*'数据-取费表'!B21/2,C39*(POWER((1+F22),'数据-取费表'!B21/2)-1)),0)</f>
        <v>19</v>
      </c>
      <c r="D43" s="244"/>
      <c r="E43" s="244"/>
      <c r="F43" s="245"/>
      <c r="G43" s="3252"/>
    </row>
    <row r="44" spans="1:7" ht="13.5" customHeight="1">
      <c r="A44" s="888" t="s">
        <v>793</v>
      </c>
      <c r="B44" s="221" t="s">
        <v>1034</v>
      </c>
      <c r="C44" s="244">
        <f ca="1">ROUND(IF('数据-取费表'!B22&lt;=1,C40*F22*'数据-取费表'!B21/2,C40*(POWER((1+F22),'数据-取费表'!B21/2)-1)),4)</f>
        <v>8.0000000000000004E-4</v>
      </c>
      <c r="D44" s="244"/>
      <c r="E44" s="244"/>
      <c r="F44" s="245"/>
      <c r="G44" s="3253"/>
    </row>
    <row r="45" spans="1:7" s="220" customFormat="1" ht="13.5" customHeight="1">
      <c r="A45" s="885" t="s">
        <v>786</v>
      </c>
      <c r="B45" s="250" t="s">
        <v>112</v>
      </c>
      <c r="C45" s="251">
        <f>C46</f>
        <v>3257</v>
      </c>
      <c r="D45" s="241">
        <f>C47</f>
        <v>2.5999999999999999E-3</v>
      </c>
      <c r="E45" s="242" t="s">
        <v>129</v>
      </c>
      <c r="F45" s="252"/>
      <c r="G45" s="253" t="s">
        <v>1040</v>
      </c>
    </row>
    <row r="46" spans="1:7" s="220" customFormat="1" ht="13.5" customHeight="1">
      <c r="A46" s="888" t="s">
        <v>794</v>
      </c>
      <c r="B46" s="254" t="s">
        <v>1033</v>
      </c>
      <c r="C46" s="255">
        <f>ROUND((C33+C39)*F27,0)</f>
        <v>3257</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31719</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31719</v>
      </c>
      <c r="D51" s="238"/>
      <c r="E51" s="238"/>
      <c r="F51" s="270"/>
      <c r="G51" s="240" t="s">
        <v>64</v>
      </c>
    </row>
    <row r="52" spans="1:7" s="214" customFormat="1" ht="16.5" thickBot="1">
      <c r="A52" s="271" t="s">
        <v>65</v>
      </c>
      <c r="B52" s="272"/>
      <c r="C52" s="273">
        <f ca="1">C31+C51</f>
        <v>60922</v>
      </c>
      <c r="D52" s="272"/>
      <c r="E52" s="272"/>
      <c r="F52" s="272"/>
      <c r="G52" s="274"/>
    </row>
    <row r="55" spans="1:7" ht="15">
      <c r="B55" s="276" t="s">
        <v>66</v>
      </c>
      <c r="C55" s="277"/>
    </row>
    <row r="56" spans="1:7">
      <c r="B56" s="279" t="s">
        <v>67</v>
      </c>
      <c r="C56" s="280">
        <f ca="1">ROUND(C51/C52,3)</f>
        <v>0.52100000000000002</v>
      </c>
    </row>
    <row r="57" spans="1:7">
      <c r="B57" s="279" t="s">
        <v>68</v>
      </c>
      <c r="C57" s="281">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44315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3056</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1606</v>
      </c>
      <c r="B2" s="3074" t="s">
        <v>1607</v>
      </c>
      <c r="C2" s="3074" t="s">
        <v>1608</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75"/>
      <c r="B3" s="3075"/>
      <c r="C3" s="3075"/>
      <c r="D3" s="963" t="s">
        <v>1603</v>
      </c>
      <c r="E3" s="963" t="s">
        <v>1609</v>
      </c>
      <c r="F3" s="963" t="s">
        <v>1603</v>
      </c>
      <c r="G3" s="963" t="s">
        <v>1604</v>
      </c>
      <c r="H3" s="963" t="s">
        <v>1603</v>
      </c>
      <c r="I3" s="963" t="s">
        <v>1604</v>
      </c>
    </row>
    <row r="4" spans="1:9" ht="60">
      <c r="A4" s="1690" t="str">
        <f>项目基本情况!S2</f>
        <v>北京市通州区于家务回族乡通州国际种业科技园区A03地块研发中心项目出让国有建设用地使用权及在建建筑物房地产</v>
      </c>
      <c r="B4" s="963">
        <f>项目基本情况!C17</f>
        <v>75038.94</v>
      </c>
      <c r="C4" s="963">
        <f>项目基本情况!C18</f>
        <v>17679.96</v>
      </c>
      <c r="D4" s="963">
        <f ca="1">结果表!D118</f>
        <v>22460</v>
      </c>
      <c r="E4" s="963">
        <f ca="1">结果表!E118</f>
        <v>2993</v>
      </c>
      <c r="F4" s="963">
        <f ca="1">结果表!F118</f>
        <v>30636</v>
      </c>
      <c r="G4" s="963">
        <f ca="1">结果表!G118</f>
        <v>4083</v>
      </c>
      <c r="H4" s="963">
        <f ca="1">结果表!H118</f>
        <v>53096</v>
      </c>
      <c r="I4" s="963">
        <f ca="1">结果表!I118</f>
        <v>7076</v>
      </c>
    </row>
    <row r="5" spans="1:9" ht="30" customHeight="1">
      <c r="A5" s="3075" t="s">
        <v>1605</v>
      </c>
      <c r="B5" s="3075"/>
      <c r="C5" s="3075"/>
      <c r="D5" s="3076" t="str">
        <f ca="1">结果表!D119</f>
        <v>贰亿贰仟肆佰陆拾万元整</v>
      </c>
      <c r="E5" s="3076"/>
      <c r="F5" s="3076" t="str">
        <f ca="1">结果表!F119</f>
        <v>叁亿零陆佰叁拾陆万元整</v>
      </c>
      <c r="G5" s="3076"/>
      <c r="H5" s="3076" t="str">
        <f ca="1">结果表!H119</f>
        <v>伍亿叁仟零玖拾陆万元整</v>
      </c>
      <c r="I5" s="3076"/>
    </row>
    <row r="6" spans="1:9" ht="15.75">
      <c r="A6" s="3077" t="str">
        <f>结果表!A120</f>
        <v>估价师知悉的法定优先受偿款</v>
      </c>
      <c r="B6" s="3077"/>
      <c r="C6" s="3077"/>
      <c r="D6" s="3077">
        <f>结果表!D120</f>
        <v>0</v>
      </c>
      <c r="E6" s="3077"/>
      <c r="F6" s="3077"/>
      <c r="G6" s="3077"/>
      <c r="H6" s="3077"/>
      <c r="I6" s="3077"/>
    </row>
    <row r="7" spans="1:9" ht="15">
      <c r="A7" s="3075" t="s">
        <v>1605</v>
      </c>
      <c r="B7" s="3075"/>
      <c r="C7" s="3075"/>
      <c r="D7" s="3078" t="str">
        <f>结果表!D121</f>
        <v>零元整</v>
      </c>
      <c r="E7" s="3079"/>
      <c r="F7" s="3079"/>
      <c r="G7" s="3079"/>
      <c r="H7" s="3079"/>
      <c r="I7" s="3080"/>
    </row>
    <row r="8" spans="1:9" ht="15.75">
      <c r="A8" s="3077" t="str">
        <f>结果表!A122</f>
        <v>房地产抵押价值</v>
      </c>
      <c r="B8" s="3077"/>
      <c r="C8" s="3077"/>
      <c r="D8" s="3077">
        <f ca="1">结果表!D122</f>
        <v>53096</v>
      </c>
      <c r="E8" s="3077"/>
      <c r="F8" s="3077"/>
      <c r="G8" s="3077"/>
      <c r="H8" s="3077"/>
      <c r="I8" s="3077"/>
    </row>
    <row r="9" spans="1:9" ht="15">
      <c r="A9" s="3075" t="s">
        <v>1605</v>
      </c>
      <c r="B9" s="3075"/>
      <c r="C9" s="3075"/>
      <c r="D9" s="3076" t="str">
        <f ca="1">结果表!D123</f>
        <v>伍亿叁仟零玖拾陆万元整</v>
      </c>
      <c r="E9" s="3076"/>
      <c r="F9" s="3076"/>
      <c r="G9" s="3076"/>
      <c r="H9" s="3076"/>
      <c r="I9" s="3076"/>
    </row>
    <row r="10" spans="1:9" ht="15.75">
      <c r="A10" s="3077" t="str">
        <f>结果表!A124</f>
        <v/>
      </c>
      <c r="B10" s="3077"/>
      <c r="C10" s="3077"/>
      <c r="D10" s="3077" t="str">
        <f>结果表!D124</f>
        <v>——</v>
      </c>
      <c r="E10" s="3077"/>
      <c r="F10" s="3077"/>
      <c r="G10" s="3077"/>
      <c r="H10" s="3077"/>
      <c r="I10" s="3077"/>
    </row>
    <row r="11" spans="1:9" ht="15">
      <c r="A11" s="3075" t="s">
        <v>1605</v>
      </c>
      <c r="B11" s="3075"/>
      <c r="C11" s="3075"/>
      <c r="D11" s="3076" t="e">
        <f>结果表!D125</f>
        <v>#VALUE!</v>
      </c>
      <c r="E11" s="3076"/>
      <c r="F11" s="3076"/>
      <c r="G11" s="3076"/>
      <c r="H11" s="3076"/>
      <c r="I11" s="3076"/>
    </row>
    <row r="12" spans="1:9" ht="15.75">
      <c r="A12" s="3077" t="str">
        <f>结果表!A126</f>
        <v/>
      </c>
      <c r="B12" s="3077"/>
      <c r="C12" s="3077"/>
      <c r="D12" s="3077" t="str">
        <f>结果表!D126</f>
        <v>——</v>
      </c>
      <c r="E12" s="3077"/>
      <c r="F12" s="3077"/>
      <c r="G12" s="3077"/>
      <c r="H12" s="3077"/>
      <c r="I12" s="3077"/>
    </row>
    <row r="13" spans="1:9" ht="15.75" thickBot="1">
      <c r="A13" s="3081" t="s">
        <v>1605</v>
      </c>
      <c r="B13" s="3081"/>
      <c r="C13" s="3081"/>
      <c r="D13" s="3082" t="e">
        <f>结果表!D127</f>
        <v>#VALUE!</v>
      </c>
      <c r="E13" s="3082"/>
      <c r="F13" s="3082"/>
      <c r="G13" s="3082"/>
      <c r="H13" s="3082"/>
      <c r="I13" s="3082"/>
    </row>
    <row r="14" spans="1:9" ht="15" thickTop="1">
      <c r="A14" s="3083" t="s">
        <v>1610</v>
      </c>
      <c r="B14" s="3083"/>
      <c r="C14" s="3083"/>
      <c r="D14" s="3083"/>
      <c r="E14" s="3083"/>
      <c r="F14" s="3083"/>
      <c r="G14" s="3083"/>
      <c r="H14" s="3083"/>
      <c r="I14" s="308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4" t="s">
        <v>1627</v>
      </c>
      <c r="B1" s="3084"/>
      <c r="C1" s="3084"/>
      <c r="D1" s="3084"/>
    </row>
    <row r="2" spans="1:4" ht="18">
      <c r="A2" s="3085" t="s">
        <v>1611</v>
      </c>
      <c r="B2" s="3085"/>
      <c r="C2" s="3085"/>
      <c r="D2" s="3085"/>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崔锴</v>
      </c>
      <c r="B5" s="1696">
        <f ca="1">项目基本情况!E4</f>
        <v>1120100036</v>
      </c>
      <c r="C5" s="1699"/>
      <c r="D5" s="1698" t="s">
        <v>1616</v>
      </c>
    </row>
    <row r="6" spans="1:4" ht="18">
      <c r="A6" s="3085" t="s">
        <v>1617</v>
      </c>
      <c r="B6" s="3085"/>
      <c r="C6" s="3085"/>
      <c r="D6" s="308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6"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7" t="str">
        <f>IF(项目基本情况!B8="抵押","4.本次评估估价师所知悉的法定优先受偿款情况说明如下：","——")</f>
        <v>4.本次评估估价师所知悉的法定优先受偿款情况说明如下：</v>
      </c>
      <c r="B14" s="3088"/>
      <c r="C14" s="3088"/>
      <c r="D14" s="3088"/>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90" t="s">
        <v>1621</v>
      </c>
      <c r="B16" s="3090"/>
      <c r="C16" s="3090"/>
      <c r="D16" s="3090"/>
    </row>
    <row r="17" spans="1:4" ht="144" customHeight="1">
      <c r="A17" s="3090" t="s">
        <v>1622</v>
      </c>
      <c r="B17" s="3090"/>
      <c r="C17" s="3090"/>
      <c r="D17" s="3090"/>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1623</v>
      </c>
      <c r="B22" s="3092"/>
      <c r="C22" s="3092"/>
      <c r="D22" s="309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9">
        <v>42551</v>
      </c>
      <c r="D31" s="30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8" t="s">
        <v>1634</v>
      </c>
      <c r="B15" s="3093" t="s">
        <v>136</v>
      </c>
      <c r="C15" s="3094"/>
    </row>
    <row r="16" spans="1:7" ht="13.5">
      <c r="A16" s="3099"/>
      <c r="B16" s="3093" t="s">
        <v>69</v>
      </c>
      <c r="C16" s="3094"/>
    </row>
    <row r="17" spans="1:3" ht="13.5">
      <c r="A17" s="3099"/>
      <c r="B17" s="3096" t="s">
        <v>1635</v>
      </c>
      <c r="C17" s="1717" t="s">
        <v>1634</v>
      </c>
    </row>
    <row r="18" spans="1:3" ht="13.5">
      <c r="A18" s="3099"/>
      <c r="B18" s="3096"/>
      <c r="C18" s="1717" t="s">
        <v>1636</v>
      </c>
    </row>
    <row r="19" spans="1:3" ht="13.5">
      <c r="A19" s="3099"/>
      <c r="B19" s="3096"/>
      <c r="C19" s="1717" t="s">
        <v>1637</v>
      </c>
    </row>
    <row r="20" spans="1:3" ht="13.5">
      <c r="A20" s="3100"/>
      <c r="B20" s="3095" t="s">
        <v>1638</v>
      </c>
      <c r="C20" s="3094"/>
    </row>
    <row r="21" spans="1:3" ht="13.5">
      <c r="A21" s="1718" t="s">
        <v>1639</v>
      </c>
      <c r="B21" s="1719"/>
      <c r="C21" s="1720"/>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7" t="s">
        <v>1645</v>
      </c>
    </row>
    <row r="26" spans="1:3" ht="13.5">
      <c r="A26" s="3097"/>
      <c r="B26" s="3096"/>
      <c r="C26" s="1717" t="s">
        <v>1646</v>
      </c>
    </row>
    <row r="27" spans="1:3" ht="13.5">
      <c r="A27" s="3097"/>
      <c r="B27" s="3096"/>
      <c r="C27" s="1717" t="s">
        <v>1647</v>
      </c>
    </row>
    <row r="28" spans="1:3" ht="13.5">
      <c r="A28" s="3097"/>
      <c r="B28" s="3096"/>
      <c r="C28" s="1717" t="s">
        <v>1648</v>
      </c>
    </row>
    <row r="29" spans="1:3" ht="13.5">
      <c r="A29" s="3097"/>
      <c r="B29" s="3096"/>
      <c r="C29" s="1717" t="s">
        <v>1649</v>
      </c>
    </row>
    <row r="30" spans="1:3" ht="13.5">
      <c r="A30" s="3097"/>
      <c r="B30" s="3096"/>
      <c r="C30" s="1717" t="s">
        <v>1650</v>
      </c>
    </row>
    <row r="31" spans="1:3" ht="13.5">
      <c r="A31" s="3097"/>
      <c r="B31" s="3096"/>
      <c r="C31" s="1717" t="s">
        <v>1651</v>
      </c>
    </row>
    <row r="32" spans="1:3" ht="13.5">
      <c r="A32" s="3097"/>
      <c r="B32" s="3096"/>
      <c r="C32" s="1717" t="s">
        <v>1652</v>
      </c>
    </row>
    <row r="33" spans="1:3" ht="13.5">
      <c r="A33" s="3097"/>
      <c r="B33" s="309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44323</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f ca="1">IF(C6&lt;B2,"已过期",1120050019)</f>
        <v>1120050019</v>
      </c>
      <c r="C6" s="2568">
        <v>44395</v>
      </c>
      <c r="D6" s="2569" t="str">
        <f t="shared" ca="1" si="0"/>
        <v>王鹏（注册号：1120050019）</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f ca="1">IF(C9&lt;B2,"已过期",1120060040)</f>
        <v>1120060040</v>
      </c>
      <c r="C9" s="2573">
        <v>44554</v>
      </c>
      <c r="D9" s="2569" t="str">
        <f t="shared" ca="1" si="0"/>
        <v>陈颖（注册号：1120060040）</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f ca="1">IF(C13&lt;B2,"已过期",1120020033)</f>
        <v>1120020033</v>
      </c>
      <c r="C13" s="2568">
        <v>44339</v>
      </c>
      <c r="D13" s="2569" t="str">
        <f t="shared" ca="1" si="0"/>
        <v>刘敬东（注册号：1120020033）</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1" t="s">
        <v>2898</v>
      </c>
      <c r="B17" s="3101"/>
      <c r="C17" s="3101"/>
      <c r="D17" s="3101"/>
      <c r="E17" s="3101"/>
      <c r="F17" s="3101"/>
      <c r="G17" s="3101"/>
      <c r="H17" s="3101"/>
    </row>
    <row r="18" spans="1:8" ht="24" customHeight="1">
      <c r="A18" s="3102" t="s">
        <v>2899</v>
      </c>
      <c r="B18" s="3102"/>
      <c r="C18" s="3102"/>
      <c r="D18" s="2566"/>
      <c r="E18" s="3103" t="s">
        <v>2900</v>
      </c>
      <c r="F18" s="3102"/>
      <c r="G18" s="3102"/>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2021-05-07T01:30:31Z</dcterms:modified>
</cp:coreProperties>
</file>