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2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二、经济预测"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高层比较法" sheetId="21" r:id="rId32"/>
    <sheet name="中高层比较法" sheetId="70" r:id="rId33"/>
    <sheet name="叠拼比较法" sheetId="7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Sheet2" sheetId="69"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叠拼比较法!$A$1:$L$49</definedName>
    <definedName name="_xlnm._FilterDatabase" localSheetId="31" hidden="1">高层比较法!$A$1:$L$49</definedName>
    <definedName name="_xlnm._FilterDatabase" localSheetId="11" hidden="1">'数据-基础表'!$A$12:$AT$572</definedName>
    <definedName name="_xlnm._FilterDatabase" localSheetId="9" hidden="1">项目基本情况!$A$48:$N$48</definedName>
    <definedName name="_xlnm._FilterDatabase" localSheetId="32" hidden="1">中高层比较法!$A$1:$L$49</definedName>
    <definedName name="_xlnm.Print_Area" localSheetId="18">二、经济预测!$A$1:$D$56</definedName>
    <definedName name="_xlnm.Print_Titles" localSheetId="18">二、经济预测!$1:$4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叠拼比较法!$B$88:$M$88</definedName>
    <definedName name="住宅朝向" localSheetId="32">中高层比较法!$B$88:$M$88</definedName>
    <definedName name="住宅朝向">高层比较法!$B$88:$M$88</definedName>
    <definedName name="住宅房型" localSheetId="33">叠拼比较法!$B$118:$M$118</definedName>
    <definedName name="住宅房型" localSheetId="32">中高层比较法!$B$118:$M$118</definedName>
    <definedName name="住宅房型">高层比较法!$B$118:$M$118</definedName>
    <definedName name="住宅公共部分装修" localSheetId="33">叠拼比较法!$B$109:$M$109</definedName>
    <definedName name="住宅公共部分装修" localSheetId="32">中高层比较法!$B$109:$M$109</definedName>
    <definedName name="住宅公共部分装修">高层比较法!$B$109:$M$109</definedName>
    <definedName name="住宅基础设施水平" localSheetId="33">叠拼比较法!$B$116:$M$116</definedName>
    <definedName name="住宅基础设施水平" localSheetId="32">中高层比较法!$B$116:$M$116</definedName>
    <definedName name="住宅基础设施水平">高层比较法!$B$116:$M$116</definedName>
    <definedName name="住宅建筑结构" localSheetId="33">叠拼比较法!$B$105:$M$105</definedName>
    <definedName name="住宅建筑结构" localSheetId="32">中高层比较法!$B$105:$M$105</definedName>
    <definedName name="住宅建筑结构">高层比较法!$B$105:$M$105</definedName>
    <definedName name="住宅建筑类型" localSheetId="33">叠拼比较法!$B$100:$M$100</definedName>
    <definedName name="住宅建筑类型" localSheetId="32">中高层比较法!$B$100:$M$100</definedName>
    <definedName name="住宅建筑类型">高层比较法!$B$100:$M$100</definedName>
    <definedName name="住宅建筑品质" localSheetId="33">叠拼比较法!$B$107:$M$107</definedName>
    <definedName name="住宅建筑品质" localSheetId="32">中高层比较法!$B$107:$M$107</definedName>
    <definedName name="住宅建筑品质">高层比较法!$B$107:$M$107</definedName>
    <definedName name="住宅交易情况" localSheetId="33">叠拼比较法!$A$61:$M$61</definedName>
    <definedName name="住宅交易情况" localSheetId="32">中高层比较法!$A$61:$M$61</definedName>
    <definedName name="住宅交易情况">高层比较法!$A$61:$M$61</definedName>
    <definedName name="住宅楼层" localSheetId="33">叠拼比较法!$B$86:$M$86</definedName>
    <definedName name="住宅楼层" localSheetId="32">中高层比较法!$B$86:$M$86</definedName>
    <definedName name="住宅楼层">高层比较法!$B$86:$M$86</definedName>
    <definedName name="住宅内部装修" localSheetId="33">叠拼比较法!$B$122:$M$122</definedName>
    <definedName name="住宅内部装修" localSheetId="32">中高层比较法!$B$122:$M$122</definedName>
    <definedName name="住宅内部装修">高层比较法!$B$122:$M$122</definedName>
    <definedName name="住宅物业管理" localSheetId="33">叠拼比较法!$B$114:$M$114</definedName>
    <definedName name="住宅物业管理" localSheetId="32">中高层比较法!$B$114:$M$114</definedName>
    <definedName name="住宅物业管理">高层比较法!$B$114:$M$114</definedName>
    <definedName name="住宅用途" localSheetId="33">叠拼比较法!$B$63:$M$63</definedName>
    <definedName name="住宅用途" localSheetId="32">中高层比较法!$B$63:$M$63</definedName>
    <definedName name="住宅用途">高层比较法!$B$63:$M$63</definedName>
    <definedName name="住宅主力户型面积" localSheetId="33">叠拼比较法!$B$120:$M$120</definedName>
    <definedName name="住宅主力户型面积" localSheetId="32">中高层比较法!$B$120:$M$120</definedName>
    <definedName name="住宅主力户型面积">高层比较法!$B$120:$M$120</definedName>
    <definedName name="注册房地产估价师">估价师及机构信息!$A$3:$A$24</definedName>
  </definedNames>
  <calcPr calcId="145621"/>
</workbook>
</file>

<file path=xl/calcChain.xml><?xml version="1.0" encoding="utf-8"?>
<calcChain xmlns="http://schemas.openxmlformats.org/spreadsheetml/2006/main">
  <c r="F58" i="72" l="1"/>
  <c r="D55" i="72"/>
  <c r="D54" i="72"/>
  <c r="D53" i="72"/>
  <c r="D49" i="72"/>
  <c r="D48" i="72"/>
  <c r="D47" i="72"/>
  <c r="D46" i="72"/>
  <c r="D45" i="72"/>
  <c r="D44" i="72" s="1"/>
  <c r="D42" i="72"/>
  <c r="D40" i="72"/>
  <c r="D39" i="72"/>
  <c r="D38" i="72"/>
  <c r="D37" i="72"/>
  <c r="D36" i="72"/>
  <c r="D35" i="72"/>
  <c r="D34" i="72"/>
  <c r="D33" i="72"/>
  <c r="D32" i="72"/>
  <c r="D31" i="72"/>
  <c r="D30" i="72"/>
  <c r="D29" i="72"/>
  <c r="D28" i="72"/>
  <c r="D27" i="72"/>
  <c r="D26" i="72"/>
  <c r="D25" i="72"/>
  <c r="D24" i="72"/>
  <c r="D43" i="72" s="1"/>
  <c r="D21" i="72"/>
  <c r="D20" i="72"/>
  <c r="D19" i="72"/>
  <c r="D18" i="72"/>
  <c r="D17" i="72"/>
  <c r="D14" i="72"/>
  <c r="D13" i="72"/>
  <c r="D12" i="72"/>
  <c r="D11" i="72"/>
  <c r="D10" i="72"/>
  <c r="D9" i="72" s="1"/>
  <c r="D7" i="72"/>
  <c r="D5" i="72"/>
  <c r="D8" i="72" l="1"/>
  <c r="D16" i="72"/>
  <c r="D52" i="72"/>
  <c r="D23" i="72"/>
  <c r="U25" i="1"/>
  <c r="D56" i="72" l="1"/>
  <c r="D50" i="72"/>
  <c r="D51" i="72" s="1"/>
  <c r="U24" i="1"/>
  <c r="F120" i="71" l="1"/>
  <c r="E120" i="71"/>
  <c r="D120" i="71"/>
  <c r="C120" i="71"/>
  <c r="C145" i="71"/>
  <c r="K139" i="71" s="1"/>
  <c r="J142" i="71"/>
  <c r="J140" i="71"/>
  <c r="B130" i="71"/>
  <c r="B128" i="71"/>
  <c r="B126" i="71"/>
  <c r="D125" i="71"/>
  <c r="E125" i="71" s="1"/>
  <c r="F125" i="71" s="1"/>
  <c r="G125" i="71" s="1"/>
  <c r="D123" i="71"/>
  <c r="E123" i="71" s="1"/>
  <c r="F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W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C145" i="70"/>
  <c r="K139" i="70" s="1"/>
  <c r="J142" i="70"/>
  <c r="J140" i="70"/>
  <c r="B130" i="70"/>
  <c r="H46" i="70" s="1"/>
  <c r="AB46" i="70" s="1"/>
  <c r="B128" i="70"/>
  <c r="H45" i="70" s="1"/>
  <c r="AB45" i="70" s="1"/>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F46" i="70"/>
  <c r="AA46" i="70" s="1"/>
  <c r="Q45" i="70"/>
  <c r="Z45" i="70" s="1"/>
  <c r="J45" i="70"/>
  <c r="AC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AC15" i="70" s="1"/>
  <c r="H15" i="70"/>
  <c r="AB15" i="70" s="1"/>
  <c r="F15" i="70"/>
  <c r="AA15" i="70" s="1"/>
  <c r="C15" i="70"/>
  <c r="Q14" i="70"/>
  <c r="Z14" i="70" s="1"/>
  <c r="J14" i="70"/>
  <c r="W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AC8" i="70" s="1"/>
  <c r="H8" i="70"/>
  <c r="U8" i="70" s="1"/>
  <c r="F8" i="70"/>
  <c r="AA8" i="70" s="1"/>
  <c r="F44" i="70" l="1"/>
  <c r="AA44" i="70" s="1"/>
  <c r="K143" i="71"/>
  <c r="AC17" i="71"/>
  <c r="H113" i="70"/>
  <c r="H37" i="70"/>
  <c r="AB37" i="70" s="1"/>
  <c r="J37" i="70"/>
  <c r="AC37" i="70" s="1"/>
  <c r="F37" i="70"/>
  <c r="AA37" i="70" s="1"/>
  <c r="G123" i="71"/>
  <c r="H123" i="71" s="1"/>
  <c r="I123" i="71" s="1"/>
  <c r="J123" i="71" s="1"/>
  <c r="K123" i="71" s="1"/>
  <c r="L123" i="71" s="1"/>
  <c r="M123" i="71" s="1"/>
  <c r="J42" i="71"/>
  <c r="AC42" i="71" s="1"/>
  <c r="F42" i="71"/>
  <c r="AA42" i="71" s="1"/>
  <c r="H42" i="71"/>
  <c r="AB42" i="71" s="1"/>
  <c r="AC14" i="70"/>
  <c r="H40" i="70"/>
  <c r="AB40" i="70" s="1"/>
  <c r="K145" i="70"/>
  <c r="S8" i="71"/>
  <c r="W8" i="71"/>
  <c r="K145" i="71"/>
  <c r="U8" i="71"/>
  <c r="U9" i="71"/>
  <c r="S10" i="71"/>
  <c r="W10" i="71"/>
  <c r="U12" i="71"/>
  <c r="S13" i="71"/>
  <c r="W13" i="71"/>
  <c r="U14" i="71"/>
  <c r="W15" i="71"/>
  <c r="S17" i="71"/>
  <c r="W19" i="71"/>
  <c r="S9" i="71"/>
  <c r="W9" i="71"/>
  <c r="U10" i="71"/>
  <c r="S12" i="71"/>
  <c r="W12" i="71"/>
  <c r="U13" i="71"/>
  <c r="S14" i="71"/>
  <c r="W14" i="71"/>
  <c r="S15" i="71"/>
  <c r="S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S43" i="71"/>
  <c r="W43" i="71"/>
  <c r="U44" i="71"/>
  <c r="AA45" i="71"/>
  <c r="S45" i="71"/>
  <c r="AC45" i="71"/>
  <c r="W45" i="71"/>
  <c r="U45"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S46" i="71"/>
  <c r="W46" i="71"/>
  <c r="K141" i="71"/>
  <c r="U46" i="71"/>
  <c r="K144" i="71"/>
  <c r="S8" i="70"/>
  <c r="W8" i="70"/>
  <c r="AB8" i="70"/>
  <c r="S9" i="70"/>
  <c r="W9" i="70"/>
  <c r="U10" i="70"/>
  <c r="S12" i="70"/>
  <c r="W12" i="70"/>
  <c r="U13" i="70"/>
  <c r="S14" i="70"/>
  <c r="W15" i="70"/>
  <c r="AA17" i="70"/>
  <c r="S17" i="70"/>
  <c r="U9" i="70"/>
  <c r="S10" i="70"/>
  <c r="W10" i="70"/>
  <c r="U12" i="70"/>
  <c r="S13" i="70"/>
  <c r="W13" i="70"/>
  <c r="U14" i="70"/>
  <c r="S15" i="70"/>
  <c r="W17" i="70"/>
  <c r="S19" i="70"/>
  <c r="W19" i="70"/>
  <c r="S21" i="70"/>
  <c r="W21" i="70"/>
  <c r="S23" i="70"/>
  <c r="W23" i="70"/>
  <c r="U25" i="70"/>
  <c r="S26" i="70"/>
  <c r="W26" i="70"/>
  <c r="U27" i="70"/>
  <c r="S28" i="70"/>
  <c r="W28" i="70"/>
  <c r="U29" i="70"/>
  <c r="S30" i="70"/>
  <c r="W30" i="70"/>
  <c r="U31" i="70"/>
  <c r="S32" i="70"/>
  <c r="W32" i="70"/>
  <c r="U34" i="70"/>
  <c r="S35" i="70"/>
  <c r="W35" i="70"/>
  <c r="U36" i="70"/>
  <c r="S37" i="70"/>
  <c r="U38" i="70"/>
  <c r="S39" i="70"/>
  <c r="W39" i="70"/>
  <c r="S41" i="70"/>
  <c r="W41" i="70"/>
  <c r="U42" i="70"/>
  <c r="S43" i="70"/>
  <c r="W43" i="70"/>
  <c r="U4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AA45" i="70"/>
  <c r="S45" i="70"/>
  <c r="S44" i="70"/>
  <c r="W44" i="70"/>
  <c r="U45" i="70"/>
  <c r="S46" i="70"/>
  <c r="W46" i="70"/>
  <c r="K141" i="70"/>
  <c r="K143" i="70"/>
  <c r="W45" i="70"/>
  <c r="U46" i="70"/>
  <c r="K144" i="70"/>
  <c r="W37" i="70" l="1"/>
  <c r="U40" i="70"/>
  <c r="U42" i="71"/>
  <c r="C8" i="69" l="1"/>
  <c r="C23" i="6" l="1"/>
  <c r="C22" i="6"/>
  <c r="C21" i="6"/>
  <c r="C20" i="6"/>
  <c r="C19" i="6"/>
  <c r="AL13" i="3"/>
  <c r="C40" i="3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E14" i="67"/>
  <c r="B12" i="67"/>
  <c r="F8" i="67"/>
  <c r="E12" i="67"/>
  <c r="F14" i="67"/>
  <c r="F11" i="67"/>
  <c r="B13" i="67"/>
  <c r="E9" i="67"/>
  <c r="B11" i="67"/>
  <c r="B8" i="67"/>
  <c r="F9" i="67"/>
  <c r="E11" i="67"/>
  <c r="B9" i="67"/>
  <c r="F12" i="67"/>
  <c r="F13" i="67"/>
  <c r="E8" i="67"/>
  <c r="F10" i="67"/>
  <c r="E10" i="67"/>
  <c r="E13"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J6" i="65"/>
  <c r="N4" i="65"/>
  <c r="I5" i="65"/>
  <c r="I7" i="65"/>
  <c r="I4" i="65"/>
  <c r="N5" i="65"/>
  <c r="J7" i="65"/>
  <c r="N6" i="65"/>
  <c r="J4" i="65"/>
  <c r="J5" i="65"/>
  <c r="I6" i="65"/>
  <c r="J3" i="65"/>
  <c r="I3"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Y16" i="59"/>
  <c r="Z16" i="59" s="1"/>
  <c r="AB16" i="59"/>
  <c r="Y17" i="59"/>
  <c r="Z17" i="59" s="1"/>
  <c r="AB17" i="59"/>
  <c r="C12" i="59"/>
  <c r="Y11" i="59"/>
  <c r="Z11" i="59" s="1"/>
  <c r="F12" i="59"/>
  <c r="AB11" i="59"/>
  <c r="B12" i="59"/>
  <c r="X11" i="59"/>
  <c r="X14" i="59"/>
  <c r="AA14" i="59"/>
  <c r="C16" i="59"/>
  <c r="Y15" i="59"/>
  <c r="Z15" i="59" s="1"/>
  <c r="F16" i="59"/>
  <c r="AB15" i="59"/>
  <c r="Y18" i="59"/>
  <c r="Z18" i="59" s="1"/>
  <c r="AB18" i="59"/>
  <c r="B20" i="59"/>
  <c r="B21" i="59" s="1"/>
  <c r="B22" i="59" s="1"/>
  <c r="S22" i="59" s="1"/>
  <c r="X19" i="59"/>
  <c r="E20" i="59"/>
  <c r="E21" i="59" s="1"/>
  <c r="E22" i="59" s="1"/>
  <c r="U22" i="59" s="1"/>
  <c r="AA19" i="59"/>
  <c r="B10" i="59"/>
  <c r="X6" i="59"/>
  <c r="X5" i="59"/>
  <c r="E10" i="59"/>
  <c r="AA6" i="59"/>
  <c r="AA5"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Q27" i="40"/>
  <c r="Z27" i="40" s="1"/>
  <c r="D96" i="40"/>
  <c r="E96" i="40" s="1"/>
  <c r="F27" i="40"/>
  <c r="AA27" i="40" s="1"/>
  <c r="Q31" i="39"/>
  <c r="Z31" i="39" s="1"/>
  <c r="D105" i="39"/>
  <c r="E105" i="39" s="1"/>
  <c r="G20" i="20"/>
  <c r="B85" i="46" s="1"/>
  <c r="C22" i="20"/>
  <c r="B65" i="46" s="1"/>
  <c r="F31" i="39" l="1"/>
  <c r="AA31" i="39" s="1"/>
  <c r="F21" i="21"/>
  <c r="AA21" i="21" s="1"/>
  <c r="F18" i="35"/>
  <c r="AA18" i="35"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J45" i="21" s="1"/>
  <c r="W45" i="21" s="1"/>
  <c r="B126" i="21"/>
  <c r="J44" i="21" s="1"/>
  <c r="AC44" i="21" s="1"/>
  <c r="B98" i="21"/>
  <c r="H31" i="21" s="1"/>
  <c r="U31" i="21" s="1"/>
  <c r="B96" i="21"/>
  <c r="F30" i="21" s="1"/>
  <c r="S30" i="21" s="1"/>
  <c r="B94" i="21"/>
  <c r="J29" i="21" s="1"/>
  <c r="AC29" i="21" s="1"/>
  <c r="B92" i="21"/>
  <c r="H28" i="21" s="1"/>
  <c r="B90" i="21"/>
  <c r="J27" i="21" s="1"/>
  <c r="W27" i="21" s="1"/>
  <c r="B74" i="21"/>
  <c r="F14" i="21" s="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F22" i="6" s="1"/>
  <c r="E22" i="6" s="1"/>
  <c r="P5" i="3"/>
  <c r="Q5" i="3"/>
  <c r="G23" i="6" s="1"/>
  <c r="E23" i="6" s="1"/>
  <c r="R5" i="3"/>
  <c r="S5" i="3"/>
  <c r="T5" i="3"/>
  <c r="U5" i="3"/>
  <c r="V5" i="3"/>
  <c r="W5" i="3"/>
  <c r="X5" i="3"/>
  <c r="Y5" i="3"/>
  <c r="Z5" i="3"/>
  <c r="AA5" i="3"/>
  <c r="AB5" i="3"/>
  <c r="H570" i="3"/>
  <c r="G570" i="3" s="1"/>
  <c r="H571" i="3"/>
  <c r="G571" i="3" s="1"/>
  <c r="H572" i="3"/>
  <c r="G572" i="3" s="1"/>
  <c r="F5" i="3"/>
  <c r="H34" i="21"/>
  <c r="U34" i="21" s="1"/>
  <c r="F43" i="21"/>
  <c r="S43" i="21" s="1"/>
  <c r="H38" i="21"/>
  <c r="AB38" i="21" s="1"/>
  <c r="H43" i="21"/>
  <c r="AB43" i="21" s="1"/>
  <c r="F32" i="21"/>
  <c r="S32" i="21" s="1"/>
  <c r="F38" i="21"/>
  <c r="S38" i="21" s="1"/>
  <c r="F36" i="21"/>
  <c r="S36" i="21" s="1"/>
  <c r="H35" i="21"/>
  <c r="AB35" i="21" s="1"/>
  <c r="J8" i="21"/>
  <c r="AC8" i="21" s="1"/>
  <c r="H8" i="21"/>
  <c r="H10" i="21"/>
  <c r="U10" i="21" s="1"/>
  <c r="J34" i="21"/>
  <c r="W34" i="21" s="1"/>
  <c r="H36" i="21"/>
  <c r="U36" i="21" s="1"/>
  <c r="F35" i="21"/>
  <c r="AA35" i="21" s="1"/>
  <c r="J10" i="21"/>
  <c r="AC10" i="21" s="1"/>
  <c r="H26" i="21"/>
  <c r="F19" i="21"/>
  <c r="AA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U31" i="35"/>
  <c r="W31" i="35"/>
  <c r="U34" i="35"/>
  <c r="F36" i="34"/>
  <c r="S36" i="34" s="1"/>
  <c r="W39" i="34"/>
  <c r="H39" i="33"/>
  <c r="AB39" i="33" s="1"/>
  <c r="F26" i="33"/>
  <c r="AA26" i="33" s="1"/>
  <c r="U33" i="33"/>
  <c r="S40" i="33"/>
  <c r="S33" i="33"/>
  <c r="U38" i="33"/>
  <c r="H39" i="37"/>
  <c r="AB39" i="37" s="1"/>
  <c r="AB27" i="35"/>
  <c r="S10" i="40"/>
  <c r="W10" i="40"/>
  <c r="S11" i="40"/>
  <c r="U11" i="40"/>
  <c r="S36" i="40"/>
  <c r="U36" i="40"/>
  <c r="S40" i="39"/>
  <c r="S36" i="39"/>
  <c r="AC35" i="21"/>
  <c r="C23" i="39"/>
  <c r="U36" i="39"/>
  <c r="H32" i="33"/>
  <c r="AB32" i="33"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S44" i="34" s="1"/>
  <c r="J10" i="35"/>
  <c r="W10" i="35" s="1"/>
  <c r="AL5" i="3"/>
  <c r="BQ13" i="3"/>
  <c r="J14" i="21"/>
  <c r="W14" i="21" s="1"/>
  <c r="H14" i="21"/>
  <c r="U14" i="21" s="1"/>
  <c r="F28" i="21"/>
  <c r="AA28" i="21" s="1"/>
  <c r="H30" i="21"/>
  <c r="U30" i="21" s="1"/>
  <c r="J30" i="2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J27" i="33"/>
  <c r="AC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U30" i="33"/>
  <c r="J36" i="37"/>
  <c r="AC36" i="37" s="1"/>
  <c r="AB28" i="36"/>
  <c r="U46" i="21"/>
  <c r="S28" i="21"/>
  <c r="AB14" i="21"/>
  <c r="AC14" i="21"/>
  <c r="S46" i="33"/>
  <c r="U36" i="37"/>
  <c r="AC13" i="36"/>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AZ558" i="3" s="1"/>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79"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C12" i="35"/>
  <c r="W23" i="35"/>
  <c r="AC23" i="37"/>
  <c r="U39" i="37"/>
  <c r="AC8" i="37"/>
  <c r="S25" i="37"/>
  <c r="AC36" i="34"/>
  <c r="AB8" i="34"/>
  <c r="AA13" i="33"/>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G116" i="3"/>
  <c r="BA118" i="3"/>
  <c r="BL119" i="3"/>
  <c r="AZ119" i="3" s="1"/>
  <c r="G120" i="3"/>
  <c r="BA122" i="3"/>
  <c r="BL123" i="3"/>
  <c r="AZ123" i="3" s="1"/>
  <c r="G124" i="3"/>
  <c r="BA126" i="3"/>
  <c r="AZ126" i="3" s="1"/>
  <c r="BL127" i="3"/>
  <c r="AZ127" i="3" s="1"/>
  <c r="G128" i="3"/>
  <c r="BA130" i="3"/>
  <c r="AZ130" i="3" s="1"/>
  <c r="BL131" i="3"/>
  <c r="G132" i="3"/>
  <c r="BA134" i="3"/>
  <c r="BL135" i="3"/>
  <c r="AZ135" i="3"/>
  <c r="G136" i="3"/>
  <c r="BA138" i="3"/>
  <c r="BL139" i="3"/>
  <c r="AZ139" i="3" s="1"/>
  <c r="G140" i="3"/>
  <c r="BA142" i="3"/>
  <c r="AZ142" i="3"/>
  <c r="BL143" i="3"/>
  <c r="G144" i="3"/>
  <c r="BA146" i="3"/>
  <c r="AZ146" i="3"/>
  <c r="BL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70" i="3"/>
  <c r="AZ74" i="3"/>
  <c r="AZ78"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AZ358" i="3" s="1"/>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7" i="3"/>
  <c r="AZ241" i="3"/>
  <c r="AZ309" i="3"/>
  <c r="AZ321" i="3"/>
  <c r="AZ333" i="3"/>
  <c r="AZ341" i="3"/>
  <c r="AZ353" i="3"/>
  <c r="AZ363" i="3"/>
  <c r="G368" i="3"/>
  <c r="BA370" i="3"/>
  <c r="AZ370" i="3" s="1"/>
  <c r="BL371" i="3"/>
  <c r="AZ371" i="3" s="1"/>
  <c r="G372" i="3"/>
  <c r="BA374" i="3"/>
  <c r="AZ374" i="3" s="1"/>
  <c r="BL375" i="3"/>
  <c r="G376" i="3"/>
  <c r="BA378" i="3"/>
  <c r="AZ378" i="3" s="1"/>
  <c r="BL379" i="3"/>
  <c r="G380" i="3"/>
  <c r="BA382" i="3"/>
  <c r="BL383" i="3"/>
  <c r="G384" i="3"/>
  <c r="AZ253" i="3"/>
  <c r="AZ257" i="3"/>
  <c r="AZ375" i="3"/>
  <c r="AZ383" i="3"/>
  <c r="AZ274" i="3"/>
  <c r="AZ278" i="3"/>
  <c r="AZ290" i="3"/>
  <c r="AZ295" i="3"/>
  <c r="AZ385" i="3"/>
  <c r="AZ434" i="3"/>
  <c r="AZ442" i="3"/>
  <c r="AZ446" i="3"/>
  <c r="AZ459" i="3"/>
  <c r="AZ463" i="3"/>
  <c r="AZ475" i="3"/>
  <c r="AZ479" i="3"/>
  <c r="H7" i="48"/>
  <c r="H113" i="46"/>
  <c r="H17" i="46"/>
  <c r="F33" i="46"/>
  <c r="F35" i="46"/>
  <c r="F37" i="46"/>
  <c r="H16" i="48"/>
  <c r="H9" i="48"/>
  <c r="H8" i="48"/>
  <c r="C12" i="46"/>
  <c r="AA43" i="21"/>
  <c r="U43" i="21"/>
  <c r="AA13" i="40"/>
  <c r="E78" i="40"/>
  <c r="F78" i="40" s="1"/>
  <c r="G78" i="40" s="1"/>
  <c r="H78" i="40" s="1"/>
  <c r="I78" i="40" s="1"/>
  <c r="J78" i="40" s="1"/>
  <c r="K78" i="40" s="1"/>
  <c r="L78" i="40" s="1"/>
  <c r="M78" i="40" s="1"/>
  <c r="R16" i="4"/>
  <c r="P16" i="4"/>
  <c r="G4" i="4"/>
  <c r="S37" i="34"/>
  <c r="J16" i="35"/>
  <c r="W16" i="35" s="1"/>
  <c r="AC26" i="36"/>
  <c r="W25" i="35"/>
  <c r="AZ300" i="3"/>
  <c r="AZ322" i="3"/>
  <c r="H11" i="37"/>
  <c r="AB11" i="37" s="1"/>
  <c r="AA30" i="33"/>
  <c r="AA36" i="37"/>
  <c r="S42" i="33"/>
  <c r="U32" i="33"/>
  <c r="AB17" i="37"/>
  <c r="AZ508" i="3"/>
  <c r="AA45" i="33"/>
  <c r="AC10" i="36"/>
  <c r="AC14" i="37"/>
  <c r="S25" i="35"/>
  <c r="AC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J19" i="39"/>
  <c r="W19" i="39" s="1"/>
  <c r="F43" i="39"/>
  <c r="S43" i="39" s="1"/>
  <c r="H43" i="39"/>
  <c r="U43" i="39" s="1"/>
  <c r="J43" i="39"/>
  <c r="AC43" i="39" s="1"/>
  <c r="F99" i="37"/>
  <c r="G99" i="37" s="1"/>
  <c r="F33" i="37" s="1"/>
  <c r="U25" i="35"/>
  <c r="U31" i="34"/>
  <c r="AC40" i="37"/>
  <c r="W40" i="37"/>
  <c r="W27" i="33"/>
  <c r="AC45" i="21"/>
  <c r="AA44" i="34"/>
  <c r="AB29" i="35"/>
  <c r="U29" i="35"/>
  <c r="AC19" i="33"/>
  <c r="W19" i="33"/>
  <c r="U43" i="34"/>
  <c r="AB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AZ530" i="3" s="1"/>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AZ481" i="3" s="1"/>
  <c r="BA481" i="3"/>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9" i="3"/>
  <c r="B41" i="1"/>
  <c r="J42" i="40"/>
  <c r="AC42" i="40" s="1"/>
  <c r="J40" i="40"/>
  <c r="AC40" i="40" s="1"/>
  <c r="J34" i="40"/>
  <c r="AC34" i="40" s="1"/>
  <c r="H16" i="40"/>
  <c r="AB16" i="40" s="1"/>
  <c r="H14" i="40"/>
  <c r="U14" i="40" s="1"/>
  <c r="F32" i="40"/>
  <c r="AA32" i="40" s="1"/>
  <c r="AZ441" i="3"/>
  <c r="AZ444" i="3"/>
  <c r="M1" i="46"/>
  <c r="M6" i="46"/>
  <c r="M10" i="46"/>
  <c r="N2" i="46"/>
  <c r="N5" i="46"/>
  <c r="F58" i="46" s="1"/>
  <c r="F47" i="46"/>
  <c r="H49" i="46" s="1"/>
  <c r="N7" i="46"/>
  <c r="AZ461" i="3"/>
  <c r="AZ466" i="3"/>
  <c r="AZ477" i="3"/>
  <c r="AZ388" i="3"/>
  <c r="AZ215" i="3"/>
  <c r="AZ220" i="3"/>
  <c r="AZ231" i="3"/>
  <c r="AZ239" i="3"/>
  <c r="AZ244" i="3"/>
  <c r="AZ255" i="3"/>
  <c r="AZ260" i="3"/>
  <c r="AZ273" i="3"/>
  <c r="AZ276" i="3"/>
  <c r="AZ289" i="3"/>
  <c r="AZ292" i="3"/>
  <c r="AZ124" i="3"/>
  <c r="AZ140" i="3"/>
  <c r="AZ152" i="3"/>
  <c r="M7" i="46"/>
  <c r="M11" i="46"/>
  <c r="N3" i="46"/>
  <c r="N6" i="46"/>
  <c r="N10" i="46"/>
  <c r="AZ167" i="3"/>
  <c r="AZ180" i="3"/>
  <c r="AZ32" i="3"/>
  <c r="AZ48" i="3"/>
  <c r="AZ71" i="3"/>
  <c r="AZ99" i="3"/>
  <c r="AZ112" i="3"/>
  <c r="H47" i="46"/>
  <c r="J13" i="40"/>
  <c r="W13" i="40" s="1"/>
  <c r="AB14" i="40"/>
  <c r="W40" i="40"/>
  <c r="F34" i="44"/>
  <c r="F27" i="43"/>
  <c r="F66" i="9"/>
  <c r="P72" i="9" s="1"/>
  <c r="F71" i="9"/>
  <c r="F72" i="9"/>
  <c r="AB32" i="40"/>
  <c r="AC47" i="39"/>
  <c r="S47" i="39"/>
  <c r="AB25" i="39"/>
  <c r="U37" i="34"/>
  <c r="AB37" i="34"/>
  <c r="AC41" i="40"/>
  <c r="W41" i="40"/>
  <c r="U41" i="40"/>
  <c r="J23" i="40"/>
  <c r="AC23" i="40" s="1"/>
  <c r="F23" i="40"/>
  <c r="S23" i="40" s="1"/>
  <c r="AC15" i="40"/>
  <c r="AB16" i="39"/>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86" i="3"/>
  <c r="AZ504" i="3"/>
  <c r="AZ529" i="3"/>
  <c r="AZ537" i="3"/>
  <c r="AZ548" i="3"/>
  <c r="AB37" i="39"/>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AA37" i="39"/>
  <c r="W29" i="35"/>
  <c r="AC39" i="39"/>
  <c r="AA39" i="39"/>
  <c r="U34"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S46" i="34"/>
  <c r="U14" i="34"/>
  <c r="U12" i="34"/>
  <c r="F17" i="34"/>
  <c r="AA17" i="34" s="1"/>
  <c r="J17" i="34"/>
  <c r="AC17" i="34" s="1"/>
  <c r="H11" i="34"/>
  <c r="AB11" i="34" s="1"/>
  <c r="J35" i="33"/>
  <c r="W35" i="33" s="1"/>
  <c r="S32" i="33"/>
  <c r="AC15" i="33"/>
  <c r="H11" i="33"/>
  <c r="U11" i="33" s="1"/>
  <c r="H10" i="33"/>
  <c r="U10" i="33" s="1"/>
  <c r="J10" i="33"/>
  <c r="AC10" i="33" s="1"/>
  <c r="AC13" i="40"/>
  <c r="J11" i="34"/>
  <c r="W11" i="34" s="1"/>
  <c r="AC36" i="33"/>
  <c r="F25" i="40"/>
  <c r="AA25" i="40" s="1"/>
  <c r="J11" i="33"/>
  <c r="W11" i="33" s="1"/>
  <c r="H33" i="37"/>
  <c r="AB33" i="37" s="1"/>
  <c r="AC15" i="34"/>
  <c r="W23" i="40"/>
  <c r="AP11" i="1"/>
  <c r="J51" i="15"/>
  <c r="B11" i="1"/>
  <c r="E11" i="1" s="1"/>
  <c r="K11" i="1"/>
  <c r="M11" i="1" s="1"/>
  <c r="B9" i="1"/>
  <c r="E9" i="1" s="1"/>
  <c r="B7" i="1"/>
  <c r="E7" i="1" s="1"/>
  <c r="C20" i="43"/>
  <c r="E2" i="65"/>
  <c r="AZ526" i="3" l="1"/>
  <c r="AZ534" i="3"/>
  <c r="AZ542" i="3"/>
  <c r="AC30" i="21"/>
  <c r="W30" i="21"/>
  <c r="W28" i="34"/>
  <c r="AC28" i="34"/>
  <c r="S17" i="34"/>
  <c r="W35" i="40"/>
  <c r="AZ489" i="3"/>
  <c r="AZ507" i="3"/>
  <c r="AZ515" i="3"/>
  <c r="AZ523" i="3"/>
  <c r="AZ547" i="3"/>
  <c r="AZ549" i="3"/>
  <c r="AZ567" i="3"/>
  <c r="AZ373" i="3"/>
  <c r="AZ365" i="3"/>
  <c r="AZ347" i="3"/>
  <c r="W41" i="34"/>
  <c r="AC41" i="34"/>
  <c r="AA39" i="33"/>
  <c r="S39" i="33"/>
  <c r="S23" i="37"/>
  <c r="AA23" i="37"/>
  <c r="AC31" i="34"/>
  <c r="W31" i="34"/>
  <c r="AA45" i="21"/>
  <c r="S45" i="21"/>
  <c r="W37" i="33"/>
  <c r="AC37" i="33"/>
  <c r="U13" i="21"/>
  <c r="AB13" i="21"/>
  <c r="AB9" i="33"/>
  <c r="U9" i="33"/>
  <c r="AC24" i="35"/>
  <c r="W24" i="35"/>
  <c r="J17" i="40"/>
  <c r="F86" i="40"/>
  <c r="G86" i="40" s="1"/>
  <c r="AZ379" i="3"/>
  <c r="AZ361" i="3"/>
  <c r="AZ345" i="3"/>
  <c r="AZ329" i="3"/>
  <c r="AZ305" i="3"/>
  <c r="AZ303" i="3"/>
  <c r="AZ20" i="3"/>
  <c r="AZ514" i="3"/>
  <c r="AZ524" i="3"/>
  <c r="AZ546" i="3"/>
  <c r="AZ543" i="3"/>
  <c r="AZ502" i="3"/>
  <c r="AZ550" i="3"/>
  <c r="AZ556" i="3"/>
  <c r="AZ560" i="3"/>
  <c r="F27" i="33"/>
  <c r="S27" i="33" s="1"/>
  <c r="H45" i="21"/>
  <c r="U45" i="21" s="1"/>
  <c r="F29" i="21"/>
  <c r="S29" i="21" s="1"/>
  <c r="F13" i="21"/>
  <c r="AA13" i="21" s="1"/>
  <c r="AB8" i="36"/>
  <c r="U29" i="36"/>
  <c r="C29" i="39"/>
  <c r="S8" i="21"/>
  <c r="W33" i="33"/>
  <c r="AC27" i="35"/>
  <c r="G27" i="6"/>
  <c r="BA570" i="3"/>
  <c r="AZ570" i="3" s="1"/>
  <c r="BI5" i="3"/>
  <c r="H42" i="21"/>
  <c r="AB42" i="21" s="1"/>
  <c r="F34" i="35"/>
  <c r="J9" i="36"/>
  <c r="AC9" i="36" s="1"/>
  <c r="H26" i="37"/>
  <c r="AB26" i="37" s="1"/>
  <c r="G569" i="3"/>
  <c r="G564" i="3"/>
  <c r="G555" i="3"/>
  <c r="G543" i="3"/>
  <c r="G535" i="3"/>
  <c r="G528" i="3"/>
  <c r="G520" i="3"/>
  <c r="G511" i="3"/>
  <c r="G500" i="3"/>
  <c r="G490" i="3"/>
  <c r="G482"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BA572" i="3"/>
  <c r="AZ572" i="3" s="1"/>
  <c r="BF5" i="3"/>
  <c r="K145" i="21"/>
  <c r="AZ398" i="3"/>
  <c r="AZ414" i="3"/>
  <c r="AZ443" i="3"/>
  <c r="AZ462" i="3"/>
  <c r="AZ478" i="3"/>
  <c r="AZ216" i="3"/>
  <c r="AZ219" i="3"/>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G150" i="3"/>
  <c r="G152" i="3"/>
  <c r="G153" i="3"/>
  <c r="G156" i="3"/>
  <c r="BL156" i="3"/>
  <c r="BA158" i="3"/>
  <c r="AZ158" i="3" s="1"/>
  <c r="BL159" i="3"/>
  <c r="AZ159" i="3" s="1"/>
  <c r="BA160" i="3"/>
  <c r="AZ160" i="3" s="1"/>
  <c r="BL161" i="3"/>
  <c r="AZ161" i="3" s="1"/>
  <c r="BA163" i="3"/>
  <c r="AZ163" i="3" s="1"/>
  <c r="BA164" i="3"/>
  <c r="AZ164" i="3" s="1"/>
  <c r="BL165" i="3"/>
  <c r="AZ165" i="3" s="1"/>
  <c r="G169" i="3"/>
  <c r="AZ291" i="3"/>
  <c r="AZ294" i="3"/>
  <c r="AZ129" i="3"/>
  <c r="AZ156" i="3"/>
  <c r="AZ172" i="3"/>
  <c r="G172" i="3"/>
  <c r="BL172" i="3"/>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28" i="3"/>
  <c r="AZ34" i="3"/>
  <c r="AZ37" i="3"/>
  <c r="AZ44" i="3"/>
  <c r="AZ50" i="3"/>
  <c r="AZ53" i="3"/>
  <c r="AZ60" i="3"/>
  <c r="E26" i="57"/>
  <c r="I10" i="57"/>
  <c r="G59" i="3"/>
  <c r="G60" i="3"/>
  <c r="BL60" i="3"/>
  <c r="BA61" i="3"/>
  <c r="AZ61" i="3" s="1"/>
  <c r="BL63" i="3"/>
  <c r="AZ63" i="3" s="1"/>
  <c r="BA64" i="3"/>
  <c r="AZ64" i="3" s="1"/>
  <c r="BL66" i="3"/>
  <c r="AZ66" i="3" s="1"/>
  <c r="G68" i="3"/>
  <c r="BL68" i="3"/>
  <c r="G70" i="3"/>
  <c r="G71" i="3"/>
  <c r="G72" i="3"/>
  <c r="BL72" i="3"/>
  <c r="G74" i="3"/>
  <c r="G75" i="3"/>
  <c r="BL75" i="3"/>
  <c r="G77" i="3"/>
  <c r="BL77" i="3"/>
  <c r="AZ77" i="3" s="1"/>
  <c r="BL79" i="3"/>
  <c r="AZ79" i="3" s="1"/>
  <c r="G81" i="3"/>
  <c r="BL81" i="3"/>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AZ532" i="3"/>
  <c r="G9" i="12"/>
  <c r="D3" i="35"/>
  <c r="F9" i="12"/>
  <c r="K9" i="1"/>
  <c r="M9" i="1" s="1"/>
  <c r="K8" i="1"/>
  <c r="M8" i="1" s="1"/>
  <c r="O8" i="1" s="1"/>
  <c r="P8" i="1" s="1"/>
  <c r="D3" i="71"/>
  <c r="E9" i="12"/>
  <c r="E32" i="6"/>
  <c r="C9" i="12"/>
  <c r="D3" i="21"/>
  <c r="D3" i="70"/>
  <c r="K7" i="1"/>
  <c r="M7" i="1" s="1"/>
  <c r="O7" i="1" s="1"/>
  <c r="P7" i="1" s="1"/>
  <c r="D9" i="12"/>
  <c r="S9" i="21"/>
  <c r="AA9" i="21"/>
  <c r="AB36" i="35"/>
  <c r="U36" i="35"/>
  <c r="W33" i="36"/>
  <c r="AC33" i="36"/>
  <c r="W26" i="37"/>
  <c r="AC26" i="37"/>
  <c r="AZ392" i="3"/>
  <c r="AZ397" i="3"/>
  <c r="AZ408" i="3"/>
  <c r="AZ413" i="3"/>
  <c r="AZ424" i="3"/>
  <c r="AZ484" i="3"/>
  <c r="S12" i="21"/>
  <c r="AA12" i="21"/>
  <c r="AA14" i="21"/>
  <c r="S14" i="21"/>
  <c r="AB28" i="21"/>
  <c r="U28" i="21"/>
  <c r="H113" i="21"/>
  <c r="F37" i="21"/>
  <c r="S37" i="21" s="1"/>
  <c r="J37" i="21"/>
  <c r="W37" i="21" s="1"/>
  <c r="H37" i="21"/>
  <c r="U37" i="21" s="1"/>
  <c r="AA28" i="33"/>
  <c r="S28" i="33"/>
  <c r="AC9" i="34"/>
  <c r="W9" i="34"/>
  <c r="U45" i="33"/>
  <c r="AB45" i="33"/>
  <c r="U27" i="37"/>
  <c r="AB27" i="37"/>
  <c r="J30" i="40"/>
  <c r="AC30" i="40" s="1"/>
  <c r="H100" i="40"/>
  <c r="I100" i="40" s="1"/>
  <c r="J100" i="40" s="1"/>
  <c r="K100" i="40" s="1"/>
  <c r="L100" i="40" s="1"/>
  <c r="M100" i="40" s="1"/>
  <c r="U11" i="37"/>
  <c r="AB13" i="33"/>
  <c r="AC14" i="34"/>
  <c r="U32" i="34"/>
  <c r="AB46" i="39"/>
  <c r="U30" i="40"/>
  <c r="AA34" i="33"/>
  <c r="AB23" i="40"/>
  <c r="W15" i="39"/>
  <c r="AA40" i="21"/>
  <c r="AA29" i="35"/>
  <c r="S33" i="40"/>
  <c r="AC14" i="40"/>
  <c r="S45" i="34"/>
  <c r="AC27" i="37"/>
  <c r="W44" i="33"/>
  <c r="AB35" i="35"/>
  <c r="AB45" i="34"/>
  <c r="AC11" i="36"/>
  <c r="AC29" i="33"/>
  <c r="W37" i="37"/>
  <c r="AA36" i="35"/>
  <c r="AB15" i="37"/>
  <c r="U12" i="37"/>
  <c r="AA36" i="21"/>
  <c r="AC45" i="33"/>
  <c r="S27" i="37"/>
  <c r="AB43" i="33"/>
  <c r="AB30" i="21"/>
  <c r="S46" i="21"/>
  <c r="AB31" i="21"/>
  <c r="AB40" i="37"/>
  <c r="W46" i="33"/>
  <c r="AA38" i="37"/>
  <c r="H26" i="33"/>
  <c r="U26" i="33" s="1"/>
  <c r="F44" i="21"/>
  <c r="AA44" i="21" s="1"/>
  <c r="J28" i="21"/>
  <c r="AC28" i="21" s="1"/>
  <c r="BL13" i="3"/>
  <c r="W40" i="33"/>
  <c r="U9" i="34"/>
  <c r="AA39" i="37"/>
  <c r="H16" i="35"/>
  <c r="U16" i="35" s="1"/>
  <c r="S10" i="36"/>
  <c r="U24" i="36"/>
  <c r="AC24" i="36"/>
  <c r="AA12" i="33"/>
  <c r="W8" i="21"/>
  <c r="W38" i="33"/>
  <c r="S34" i="34"/>
  <c r="W36" i="35"/>
  <c r="H12" i="21"/>
  <c r="J19" i="21"/>
  <c r="W19" i="21" s="1"/>
  <c r="H39" i="21"/>
  <c r="AB39" i="21" s="1"/>
  <c r="H9" i="21"/>
  <c r="AB9" i="21" s="1"/>
  <c r="J9" i="21"/>
  <c r="AC9" i="21" s="1"/>
  <c r="F39" i="21"/>
  <c r="AA39" i="21" s="1"/>
  <c r="F34" i="21"/>
  <c r="AA34" i="21" s="1"/>
  <c r="H5" i="3"/>
  <c r="W41" i="33"/>
  <c r="F9" i="34"/>
  <c r="AA9" i="34" s="1"/>
  <c r="F12" i="35"/>
  <c r="F26" i="37"/>
  <c r="AA26" i="37" s="1"/>
  <c r="C92" i="9"/>
  <c r="J42" i="39"/>
  <c r="AC42" i="39" s="1"/>
  <c r="F42" i="39"/>
  <c r="AZ432" i="3"/>
  <c r="AZ287" i="3"/>
  <c r="H42" i="39"/>
  <c r="AB42" i="39" s="1"/>
  <c r="A14" i="55"/>
  <c r="B65" i="63" s="1"/>
  <c r="AZ451" i="3"/>
  <c r="AZ457" i="3"/>
  <c r="AZ470" i="3"/>
  <c r="AZ473" i="3"/>
  <c r="AZ318" i="3"/>
  <c r="AZ334" i="3"/>
  <c r="AZ350" i="3"/>
  <c r="AZ208" i="3"/>
  <c r="AZ211" i="3"/>
  <c r="AZ224" i="3"/>
  <c r="AZ227" i="3"/>
  <c r="AZ240" i="3"/>
  <c r="AZ243" i="3"/>
  <c r="AZ256" i="3"/>
  <c r="AZ275" i="3"/>
  <c r="AZ279" i="3"/>
  <c r="AZ113" i="3"/>
  <c r="AZ116" i="3"/>
  <c r="AZ132" i="3"/>
  <c r="AZ145" i="3"/>
  <c r="AZ148" i="3"/>
  <c r="AZ25" i="3"/>
  <c r="AZ30" i="3"/>
  <c r="AZ41" i="3"/>
  <c r="AZ46" i="3"/>
  <c r="AZ57" i="3"/>
  <c r="AZ62" i="3"/>
  <c r="AZ65" i="3"/>
  <c r="BA21" i="3"/>
  <c r="AZ21" i="3" s="1"/>
  <c r="G24" i="3"/>
  <c r="AZ68" i="3"/>
  <c r="AZ72" i="3"/>
  <c r="AZ75" i="3"/>
  <c r="AZ81" i="3"/>
  <c r="AZ92" i="3"/>
  <c r="AZ97" i="3"/>
  <c r="AZ108" i="3"/>
  <c r="I21" i="57"/>
  <c r="D1" i="57" s="1"/>
  <c r="E10" i="57" s="1"/>
  <c r="C42" i="1"/>
  <c r="C27" i="43" s="1"/>
  <c r="C7" i="70"/>
  <c r="C58" i="70" s="1"/>
  <c r="C7" i="71"/>
  <c r="C58" i="71" s="1"/>
  <c r="W27" i="39"/>
  <c r="U27" i="39"/>
  <c r="C18" i="9"/>
  <c r="D18" i="9" s="1"/>
  <c r="M44" i="9" s="1"/>
  <c r="A30" i="64"/>
  <c r="A30" i="51"/>
  <c r="AB20" i="35"/>
  <c r="AC16" i="35"/>
  <c r="AB16" i="35"/>
  <c r="S10" i="35"/>
  <c r="AB13" i="35"/>
  <c r="S19" i="21"/>
  <c r="H19" i="21"/>
  <c r="S10" i="21"/>
  <c r="U9" i="21"/>
  <c r="U42" i="21"/>
  <c r="AC40" i="21"/>
  <c r="AA38" i="21"/>
  <c r="AB10" i="21"/>
  <c r="W42" i="21"/>
  <c r="U40" i="21"/>
  <c r="U38" i="21"/>
  <c r="AB36" i="21"/>
  <c r="S35" i="21"/>
  <c r="W14" i="39"/>
  <c r="AP10" i="1"/>
  <c r="G10" i="1"/>
  <c r="F9" i="1"/>
  <c r="G9" i="1" s="1"/>
  <c r="BJ5" i="3"/>
  <c r="BH5" i="3"/>
  <c r="G15" i="3"/>
  <c r="G14" i="3"/>
  <c r="W33" i="39"/>
  <c r="S33" i="39"/>
  <c r="AB29" i="39"/>
  <c r="S23" i="39"/>
  <c r="W43" i="39"/>
  <c r="A2" i="55"/>
  <c r="B55" i="63" s="1"/>
  <c r="A11" i="55"/>
  <c r="B62" i="63"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13" i="15"/>
  <c r="L48" i="15"/>
  <c r="M26" i="44"/>
  <c r="M9" i="15"/>
  <c r="F43" i="44"/>
  <c r="F26" i="15"/>
  <c r="F38" i="44"/>
  <c r="F40" i="15"/>
  <c r="M29" i="44"/>
  <c r="F36" i="15"/>
  <c r="F8" i="15"/>
  <c r="M10" i="44"/>
  <c r="M8" i="15"/>
  <c r="M31" i="44"/>
  <c r="F9" i="15"/>
  <c r="F9" i="44"/>
  <c r="F8" i="44"/>
  <c r="M30" i="44"/>
  <c r="F10" i="44"/>
  <c r="F18" i="44"/>
  <c r="F40" i="44"/>
  <c r="M11" i="44"/>
  <c r="J17" i="44"/>
  <c r="F28" i="44"/>
  <c r="F11" i="44"/>
  <c r="F45" i="44"/>
  <c r="F15" i="44"/>
  <c r="L48" i="44"/>
  <c r="F39" i="44"/>
  <c r="M28" i="44"/>
  <c r="F38" i="15"/>
  <c r="L49" i="44"/>
  <c r="M24" i="15"/>
  <c r="M6" i="15"/>
  <c r="M8" i="44"/>
  <c r="F37" i="15"/>
  <c r="M25" i="44"/>
  <c r="M24" i="44"/>
  <c r="H74" i="46" l="1"/>
  <c r="H73" i="46"/>
  <c r="H76" i="46"/>
  <c r="C7" i="46"/>
  <c r="S34" i="21"/>
  <c r="U39" i="21"/>
  <c r="W9" i="21"/>
  <c r="AA27" i="33"/>
  <c r="AA34" i="35"/>
  <c r="S34" i="35"/>
  <c r="C31" i="43"/>
  <c r="D58" i="70"/>
  <c r="E58" i="70" s="1"/>
  <c r="F58" i="70" s="1"/>
  <c r="G58" i="70" s="1"/>
  <c r="H58" i="70" s="1"/>
  <c r="I58" i="70" s="1"/>
  <c r="J58" i="70" s="1"/>
  <c r="K58" i="70" s="1"/>
  <c r="L58" i="70" s="1"/>
  <c r="M58" i="70" s="1"/>
  <c r="N58" i="70" s="1"/>
  <c r="O58" i="70" s="1"/>
  <c r="F7" i="70"/>
  <c r="J7" i="70"/>
  <c r="H7" i="70"/>
  <c r="AA42" i="39"/>
  <c r="S42" i="39"/>
  <c r="AA12" i="35"/>
  <c r="S12" i="35"/>
  <c r="U12" i="21"/>
  <c r="AB12" i="21"/>
  <c r="E413" i="3"/>
  <c r="C33" i="71"/>
  <c r="C33" i="21"/>
  <c r="C33" i="70"/>
  <c r="D58" i="71"/>
  <c r="E58" i="71" s="1"/>
  <c r="F58" i="71" s="1"/>
  <c r="G58" i="71" s="1"/>
  <c r="H58" i="71" s="1"/>
  <c r="I58" i="71" s="1"/>
  <c r="J58" i="71" s="1"/>
  <c r="K58" i="71" s="1"/>
  <c r="L58" i="71" s="1"/>
  <c r="M58" i="71" s="1"/>
  <c r="N58" i="71" s="1"/>
  <c r="O58" i="71" s="1"/>
  <c r="F7" i="71"/>
  <c r="J7" i="71"/>
  <c r="H7" i="71"/>
  <c r="AC23" i="21"/>
  <c r="AB19" i="21"/>
  <c r="U19" i="21"/>
  <c r="AB11" i="46"/>
  <c r="AB13" i="46" s="1"/>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F50" i="15"/>
  <c r="F63" i="15"/>
  <c r="F67" i="15"/>
  <c r="L56" i="15"/>
  <c r="J57" i="15"/>
  <c r="J55" i="15" s="1"/>
  <c r="J58" i="15" s="1"/>
  <c r="Q51" i="15" s="1"/>
  <c r="F65" i="15"/>
  <c r="G66" i="36"/>
  <c r="J18" i="36"/>
  <c r="AE8" i="1"/>
  <c r="AE7" i="1"/>
  <c r="AE6" i="1"/>
  <c r="M19" i="44"/>
  <c r="F33" i="44"/>
  <c r="F31" i="15"/>
  <c r="F58" i="15"/>
  <c r="M17" i="15"/>
  <c r="F42" i="15"/>
  <c r="J15" i="15"/>
  <c r="C18" i="44"/>
  <c r="F46" i="44"/>
  <c r="M23" i="15"/>
  <c r="F16" i="15"/>
  <c r="M27" i="15"/>
  <c r="L47" i="15"/>
  <c r="M26" i="15"/>
  <c r="M22" i="15"/>
  <c r="F6" i="15"/>
  <c r="M28" i="15"/>
  <c r="F43" i="15"/>
  <c r="AE9" i="1"/>
  <c r="J36" i="15"/>
  <c r="F7" i="15"/>
  <c r="M29" i="15"/>
  <c r="Q72" i="15" l="1"/>
  <c r="L58" i="15"/>
  <c r="Q74" i="15" s="1"/>
  <c r="L59" i="15"/>
  <c r="Q75" i="15" s="1"/>
  <c r="C6" i="15"/>
  <c r="C10" i="15" s="1"/>
  <c r="F49" i="15"/>
  <c r="C48" i="15" s="1"/>
  <c r="M7" i="15"/>
  <c r="J6" i="15" s="1"/>
  <c r="J5" i="15" s="1"/>
  <c r="J18" i="15" s="1"/>
  <c r="F70" i="15"/>
  <c r="AC7" i="71"/>
  <c r="W7" i="71"/>
  <c r="H33" i="21"/>
  <c r="J33" i="21"/>
  <c r="F33" i="21"/>
  <c r="AC7" i="70"/>
  <c r="W7" i="70"/>
  <c r="AB7" i="71"/>
  <c r="U7" i="71"/>
  <c r="AA7" i="71"/>
  <c r="S7" i="71"/>
  <c r="H33" i="70"/>
  <c r="J33" i="70"/>
  <c r="F33" i="70"/>
  <c r="H33" i="71"/>
  <c r="J33" i="71"/>
  <c r="F33" i="71"/>
  <c r="AB7" i="70"/>
  <c r="U7" i="70"/>
  <c r="AA7" i="70"/>
  <c r="S7"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41" i="15"/>
  <c r="L52" i="44"/>
  <c r="C16" i="15"/>
  <c r="F7" i="67"/>
  <c r="Q61" i="15" l="1"/>
  <c r="F68" i="15"/>
  <c r="C5" i="15"/>
  <c r="C32" i="15" s="1"/>
  <c r="Q62" i="15"/>
  <c r="AC33" i="71"/>
  <c r="W33" i="71"/>
  <c r="S33" i="70"/>
  <c r="AA33" i="70"/>
  <c r="AB33" i="70"/>
  <c r="U33" i="70"/>
  <c r="W33" i="21"/>
  <c r="AC33" i="21"/>
  <c r="AA33" i="71"/>
  <c r="S33" i="71"/>
  <c r="AB33" i="71"/>
  <c r="U33" i="71"/>
  <c r="AC33" i="70"/>
  <c r="W33" i="70"/>
  <c r="AA33" i="21"/>
  <c r="S33" i="21"/>
  <c r="U33" i="21"/>
  <c r="AB33" i="2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C19" i="44"/>
  <c r="E7" i="67"/>
  <c r="C17" i="15"/>
  <c r="C38"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8" i="15" l="1"/>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09" i="9" l="1"/>
  <c r="C110" i="9" s="1"/>
  <c r="C13" i="39"/>
  <c r="J13" i="39" s="1"/>
  <c r="C11" i="71"/>
  <c r="C11" i="21"/>
  <c r="C11" i="70"/>
  <c r="H13" i="39"/>
  <c r="C28" i="44"/>
  <c r="C31" i="44" s="1"/>
  <c r="C35" i="44" s="1"/>
  <c r="I5" i="6"/>
  <c r="C26" i="15"/>
  <c r="C29" i="15" s="1"/>
  <c r="J59" i="15" s="1"/>
  <c r="J60" i="15" s="1"/>
  <c r="C23" i="12"/>
  <c r="C19" i="43"/>
  <c r="C22" i="43" s="1"/>
  <c r="C21" i="43" s="1"/>
  <c r="K67" i="40"/>
  <c r="L65" i="40"/>
  <c r="K72" i="39"/>
  <c r="L70" i="39"/>
  <c r="F13" i="39" l="1"/>
  <c r="AA13" i="39" s="1"/>
  <c r="H11" i="70"/>
  <c r="F11" i="70"/>
  <c r="J11" i="70"/>
  <c r="H11" i="71"/>
  <c r="J11" i="71"/>
  <c r="F11" i="71"/>
  <c r="F11" i="21"/>
  <c r="J11" i="21"/>
  <c r="H11" i="21"/>
  <c r="AC13" i="39"/>
  <c r="W13" i="39"/>
  <c r="AB13" i="39"/>
  <c r="U13" i="3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3" i="39" l="1"/>
  <c r="W11" i="21"/>
  <c r="AC11" i="21"/>
  <c r="V48" i="21" s="1"/>
  <c r="I48" i="21" s="1"/>
  <c r="S11" i="71"/>
  <c r="AA11" i="71"/>
  <c r="R48" i="71" s="1"/>
  <c r="AB11" i="71"/>
  <c r="T48" i="71" s="1"/>
  <c r="G48" i="71" s="1"/>
  <c r="U11" i="71"/>
  <c r="AA11" i="70"/>
  <c r="R48" i="70" s="1"/>
  <c r="S11" i="70"/>
  <c r="U11" i="21"/>
  <c r="AB11" i="21"/>
  <c r="T48" i="21" s="1"/>
  <c r="G48" i="21" s="1"/>
  <c r="S11" i="21"/>
  <c r="AA11" i="21"/>
  <c r="R48" i="21" s="1"/>
  <c r="AC11" i="71"/>
  <c r="V48" i="71" s="1"/>
  <c r="I48" i="71" s="1"/>
  <c r="I52" i="71" s="1"/>
  <c r="J52" i="71" s="1"/>
  <c r="W11" i="71"/>
  <c r="AC11" i="70"/>
  <c r="V48" i="70" s="1"/>
  <c r="I48" i="70" s="1"/>
  <c r="W11" i="70"/>
  <c r="AB11" i="70"/>
  <c r="T48" i="70" s="1"/>
  <c r="G48" i="70" s="1"/>
  <c r="G52" i="70" s="1"/>
  <c r="H52" i="70" s="1"/>
  <c r="U11"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R49" i="21" l="1"/>
  <c r="E48" i="21"/>
  <c r="G53" i="21"/>
  <c r="H53" i="21" s="1"/>
  <c r="G52" i="21"/>
  <c r="H52" i="21" s="1"/>
  <c r="E48" i="71"/>
  <c r="R49" i="71"/>
  <c r="I52" i="21"/>
  <c r="J52" i="21" s="1"/>
  <c r="I53" i="21"/>
  <c r="J53" i="21" s="1"/>
  <c r="G53" i="70"/>
  <c r="H53" i="70" s="1"/>
  <c r="I52" i="70"/>
  <c r="J52" i="70" s="1"/>
  <c r="E48" i="70"/>
  <c r="R49" i="70"/>
  <c r="G52" i="71"/>
  <c r="H52" i="71" s="1"/>
  <c r="G53" i="71"/>
  <c r="H5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0" l="1"/>
  <c r="C49" i="70"/>
  <c r="B3" i="70" s="1"/>
  <c r="C48" i="71"/>
  <c r="C49" i="71"/>
  <c r="B3" i="71" s="1"/>
  <c r="E53" i="21"/>
  <c r="F53" i="21" s="1"/>
  <c r="E52" i="21"/>
  <c r="F52" i="21" s="1"/>
  <c r="I53" i="70"/>
  <c r="J53" i="70" s="1"/>
  <c r="E52" i="70"/>
  <c r="F52" i="70" s="1"/>
  <c r="E53" i="70"/>
  <c r="F53" i="70" s="1"/>
  <c r="I53" i="71"/>
  <c r="J53" i="71" s="1"/>
  <c r="E52" i="71"/>
  <c r="F52" i="71" s="1"/>
  <c r="E53" i="71"/>
  <c r="F53" i="71" s="1"/>
  <c r="C48" i="21"/>
  <c r="C49" i="21"/>
  <c r="B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1"/>
  <c r="E10" i="12" s="1"/>
  <c r="E8" i="12"/>
  <c r="D8" i="12"/>
  <c r="B2" i="70"/>
  <c r="D10"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B2" i="35" l="1"/>
  <c r="G10" i="12" l="1"/>
  <c r="C6" i="12" s="1"/>
  <c r="C24" i="12" s="1"/>
  <c r="C35" i="12" s="1"/>
  <c r="C33" i="12" s="1"/>
  <c r="B3" i="35"/>
  <c r="G8" i="12" s="1"/>
  <c r="C28" i="12" l="1"/>
  <c r="C26" i="12" s="1"/>
  <c r="C29" i="12"/>
  <c r="C31" i="12" l="1"/>
  <c r="C30" i="12" s="1"/>
  <c r="C36" i="12" s="1"/>
  <c r="B2" i="12" s="1"/>
  <c r="B5" i="12" s="1"/>
  <c r="D19" i="9"/>
  <c r="B4" i="12" l="1"/>
  <c r="B3" i="12"/>
  <c r="D22" i="9"/>
  <c r="L44" i="9"/>
  <c r="G19" i="9"/>
  <c r="C32" i="9" s="1"/>
  <c r="D21" i="9"/>
  <c r="D20" i="9"/>
  <c r="G22" i="9" l="1"/>
  <c r="G20" i="9"/>
  <c r="G21" i="9"/>
  <c r="N43" i="9"/>
  <c r="O38" i="9"/>
  <c r="C33" i="9"/>
  <c r="C35" i="9"/>
  <c r="F42" i="9" s="1"/>
  <c r="C42" i="9"/>
  <c r="C34" i="9"/>
  <c r="O43" i="9"/>
  <c r="M38" i="9" l="1"/>
  <c r="K27" i="9" s="1"/>
  <c r="E42" i="9"/>
  <c r="P5" i="54" s="1"/>
  <c r="B46" i="63" s="1"/>
  <c r="K25" i="9"/>
  <c r="K26" i="9"/>
  <c r="D14" i="66"/>
  <c r="N68" i="9"/>
  <c r="C44" i="9"/>
  <c r="R5" i="54"/>
  <c r="B48" i="63" s="1"/>
  <c r="D63" i="9"/>
  <c r="D73" i="9" s="1"/>
  <c r="N73" i="9" s="1"/>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97" i="9" l="1"/>
  <c r="C98" i="9" s="1"/>
  <c r="E98" i="9" s="1"/>
  <c r="E99" i="9" s="1"/>
  <c r="C6" i="66"/>
  <c r="D6" i="66"/>
  <c r="C5" i="66"/>
  <c r="D5" i="66"/>
  <c r="M86" i="9"/>
  <c r="N86" i="9" s="1"/>
  <c r="M88" i="9"/>
  <c r="N88" i="9" s="1"/>
  <c r="M85" i="9"/>
  <c r="N85" i="9" s="1"/>
  <c r="M84" i="9"/>
  <c r="N84" i="9" s="1"/>
  <c r="M87" i="9"/>
  <c r="N87" i="9" s="1"/>
  <c r="M83" i="9"/>
  <c r="N83" i="9" s="1"/>
  <c r="K29" i="9"/>
  <c r="K30" i="9" s="1"/>
  <c r="R6" i="54"/>
  <c r="B50" i="63" s="1"/>
  <c r="C113" i="9"/>
  <c r="N89" i="9" l="1"/>
  <c r="O89" i="9" s="1"/>
  <c r="C99" i="9"/>
  <c r="C114" i="9"/>
  <c r="E114" i="9" s="1"/>
  <c r="E115" i="9" s="1"/>
  <c r="C115" i="9" l="1"/>
  <c r="D76" i="9" s="1"/>
  <c r="D74" i="9" s="1"/>
  <c r="N74" i="9" s="1"/>
  <c r="O77" i="9" s="1"/>
  <c r="O78" i="9" s="1"/>
  <c r="Q77" i="9" l="1"/>
  <c r="O79" i="9"/>
  <c r="O81" i="9" s="1"/>
  <c r="C46" i="9"/>
  <c r="O80" i="9" l="1"/>
  <c r="K33" i="9"/>
  <c r="O41" i="9"/>
  <c r="R8" i="54" s="1"/>
  <c r="B54" i="63" s="1"/>
  <c r="E46" i="9"/>
  <c r="F46" i="9"/>
  <c r="I14" i="66"/>
  <c r="B8" i="66" s="1"/>
  <c r="D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<sst xmlns="http://schemas.openxmlformats.org/spreadsheetml/2006/main" count="7970" uniqueCount="3245">
  <si>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</si>
  <si>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</si>
  <si>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</si>
  <si>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</si>
  <si>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</si>
  <si>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</si>
  <si>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</si>
  <si>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</si>
  <si>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</si>
  <si>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</si>
  <si>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</si>
  <si>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</si>
  <si>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</si>
  <si>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</si>
  <si>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</si>
  <si>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</si>
  <si>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</si>
  <si>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</si>
  <si>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</si>
  <si>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</si>
  <si>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</si>
  <si>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</si>
  <si>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</si>
  <si>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</si>
  <si>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</si>
  <si>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</si>
  <si>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</si>
  <si>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</si>
  <si>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</si>
  <si>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</si>
  <si>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</si>
  <si>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</si>
  <si>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</si>
  <si>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</si>
  <si>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</si>
  <si>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</si>
  <si>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</si>
  <si>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</si>
  <si>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</si>
  <si>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</si>
  <si>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</si>
  <si>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</si>
  <si>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</si>
  <si>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</si>
  <si>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</si>
  <si>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</si>
  <si>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</si>
  <si>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</si>
  <si>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</si>
  <si>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</si>
  <si>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</si>
  <si>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</si>
  <si>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</si>
  <si>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</si>
  <si>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</si>
  <si>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</si>
  <si>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</si>
  <si>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</si>
  <si>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</si>
  <si>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</si>
  <si>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</si>
  <si>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</si>
  <si>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</si>
  <si>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</si>
  <si>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</si>
  <si>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</si>
  <si>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</si>
  <si>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</si>
  <si>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</si>
  <si>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</si>
  <si>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</si>
  <si>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</si>
  <si>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</si>
  <si>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</si>
  <si>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</si>
  <si>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</si>
  <si>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</si>
  <si>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</si>
  <si>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</si>
  <si>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</si>
  <si>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</si>
  <si>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</si>
  <si>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</si>
  <si>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</si>
  <si>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</si>
  <si>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</si>
  <si>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</si>
  <si>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</si>
  <si>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</si>
  <si>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</si>
  <si>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</si>
  <si>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</si>
  <si>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</si>
  <si>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</si>
  <si>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</si>
  <si>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</si>
  <si>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</si>
  <si>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</si>
  <si>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</si>
  <si>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</si>
  <si>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</si>
  <si>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</si>
  <si>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</si>
  <si>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</si>
  <si>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</si>
  <si>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</si>
  <si>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</si>
  <si>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</si>
  <si>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</si>
  <si>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</si>
  <si>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</si>
  <si>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</si>
  <si>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</si>
  <si>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</si>
  <si>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</si>
  <si>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</si>
  <si>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</si>
  <si>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</si>
  <si>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</si>
  <si>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</si>
  <si>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</si>
  <si>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</si>
  <si>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</si>
  <si>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</si>
  <si>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</si>
  <si>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</si>
  <si>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</si>
  <si>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</si>
  <si>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</si>
  <si>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</si>
  <si>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</si>
  <si>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</si>
  <si>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</si>
  <si>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</si>
  <si>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</si>
  <si>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</si>
  <si>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</si>
  <si>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</si>
  <si>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</si>
  <si>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</si>
  <si>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</si>
  <si>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</si>
  <si>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</si>
  <si>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</si>
  <si>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</si>
  <si>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</si>
  <si>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</si>
  <si>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</si>
  <si>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</si>
  <si>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</si>
  <si>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</si>
  <si>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</si>
  <si>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</si>
  <si>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</si>
  <si>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</si>
  <si>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</si>
  <si>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</si>
  <si>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</si>
  <si>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</si>
  <si>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</si>
  <si>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</si>
  <si>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</si>
  <si>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</si>
  <si>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</si>
  <si>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</si>
  <si>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</si>
  <si>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</si>
  <si>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</si>
  <si>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</si>
  <si>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</si>
  <si>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</si>
  <si>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</si>
  <si>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</si>
  <si>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</si>
  <si>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</si>
  <si>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</si>
  <si>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</si>
  <si>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</si>
  <si>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</si>
  <si>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</si>
  <si>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</si>
  <si>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</si>
  <si>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</si>
  <si>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</si>
  <si>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</si>
  <si>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</si>
  <si>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</si>
  <si>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</si>
  <si>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</si>
  <si>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</si>
  <si>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</si>
  <si>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</si>
  <si>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</si>
  <si>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</si>
  <si>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</si>
  <si>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</si>
  <si>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</si>
  <si>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</si>
  <si>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</si>
  <si>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</si>
  <si>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</si>
  <si>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</si>
  <si>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</si>
  <si>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</si>
  <si>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</si>
  <si>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</si>
  <si>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</si>
  <si>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</si>
  <si>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</si>
  <si>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</si>
  <si>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</si>
  <si>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</si>
  <si>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</si>
  <si>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</si>
  <si>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</si>
  <si>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</si>
  <si>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</si>
  <si>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</si>
  <si>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</si>
  <si>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</si>
  <si>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</si>
  <si>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</si>
  <si>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</si>
  <si>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</si>
  <si>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</si>
  <si>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</si>
  <si>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</si>
  <si>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</si>
  <si>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</si>
  <si>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</si>
  <si>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</si>
  <si>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</si>
  <si>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</si>
  <si>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</si>
  <si>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</si>
  <si>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</si>
  <si>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</si>
  <si>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</si>
  <si>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</si>
  <si>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</si>
  <si>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</si>
  <si>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</si>
  <si>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</si>
  <si>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</si>
  <si>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</si>
  <si>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</si>
  <si>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</si>
  <si>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</si>
  <si>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</si>
  <si>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</si>
  <si>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</si>
  <si>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</si>
  <si>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</si>
  <si>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</si>
  <si>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</si>
  <si>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</si>
  <si>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</si>
  <si>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</si>
  <si>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</si>
  <si>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</si>
  <si>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</si>
  <si>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</si>
  <si>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</si>
  <si>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</si>
  <si>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</si>
  <si>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</si>
  <si>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</si>
  <si>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</si>
  <si>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</si>
  <si>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</si>
  <si>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</si>
  <si>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</si>
  <si>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</si>
  <si>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</si>
  <si>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</si>
  <si>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</si>
  <si>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</si>
  <si>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</si>
  <si>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</si>
  <si>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</si>
  <si>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</si>
  <si>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</si>
  <si>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</si>
  <si>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</si>
  <si>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</si>
  <si>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</si>
  <si>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</si>
  <si>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</si>
  <si>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</si>
  <si>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</si>
  <si>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</si>
  <si>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</si>
  <si>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</si>
  <si>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</si>
  <si>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</si>
  <si>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</si>
  <si>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</si>
  <si>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</si>
  <si>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</si>
  <si>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</si>
  <si>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</si>
  <si>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</si>
  <si>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</si>
  <si>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</si>
  <si>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</si>
  <si>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</si>
  <si>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</si>
  <si>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</si>
  <si>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</si>
  <si>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</si>
  <si>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</si>
  <si>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</si>
  <si>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</si>
  <si>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</si>
  <si>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</si>
  <si>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</si>
  <si>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</si>
  <si>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</si>
  <si>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</si>
  <si>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</si>
  <si>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</si>
  <si>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</si>
  <si>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</si>
  <si>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</si>
  <si>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</si>
  <si>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</si>
  <si>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</si>
  <si>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</si>
  <si>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</si>
  <si>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</si>
  <si>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</si>
  <si>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</si>
  <si>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</si>
  <si>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</si>
  <si>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</si>
  <si>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</si>
  <si>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</si>
  <si>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</si>
  <si>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</si>
  <si>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</si>
  <si>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</si>
  <si>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</si>
  <si>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</si>
  <si>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</si>
  <si>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</si>
  <si>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</si>
  <si>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</si>
  <si>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</si>
  <si>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</si>
  <si>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</si>
  <si>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</si>
  <si>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</si>
  <si>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</si>
  <si>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</si>
  <si>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</si>
  <si>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</si>
  <si>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</si>
  <si>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</si>
  <si>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</si>
  <si>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</si>
  <si>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</si>
  <si>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</si>
  <si>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</si>
  <si>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</si>
  <si>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</si>
  <si>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</si>
  <si>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</si>
  <si>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</si>
  <si>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</si>
  <si>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</si>
  <si>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</si>
  <si>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</si>
  <si>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</si>
  <si>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</si>
  <si>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</si>
  <si>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</si>
  <si>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</si>
  <si>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</si>
  <si>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</si>
  <si>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</si>
  <si>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</si>
  <si>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</si>
  <si>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</si>
  <si>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</si>
  <si>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</si>
  <si>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</si>
  <si>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</si>
  <si>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</si>
  <si>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</si>
  <si>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</si>
  <si>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</si>
  <si>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</si>
  <si>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</si>
  <si>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</si>
  <si>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</si>
  <si>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</si>
  <si>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</si>
  <si>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</si>
  <si>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</si>
  <si>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</si>
  <si>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</si>
  <si>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</si>
  <si>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</si>
  <si>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</si>
  <si>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</si>
  <si>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</si>
  <si>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</si>
  <si>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</si>
  <si>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</si>
  <si>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</si>
  <si>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</si>
  <si>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</si>
  <si>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</si>
  <si>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</si>
  <si>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</si>
  <si>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</si>
  <si>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</si>
  <si>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</si>
  <si>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</si>
  <si>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</si>
  <si>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</si>
  <si>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</si>
  <si>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</si>
  <si>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</si>
  <si>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</si>
  <si>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</si>
  <si>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</si>
  <si>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</si>
  <si>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</si>
  <si>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</si>
  <si>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</si>
  <si>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</si>
  <si>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</si>
  <si>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</si>
  <si>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</si>
  <si>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</si>
  <si>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</si>
  <si>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</si>
  <si>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</si>
  <si>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</si>
  <si>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</si>
  <si>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</si>
  <si>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</si>
  <si>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</si>
  <si>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</si>
  <si>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</si>
  <si>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</si>
  <si>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</si>
  <si>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</si>
  <si>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</si>
  <si>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</si>
  <si>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</si>
  <si>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</si>
  <si>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</si>
  <si>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</si>
  <si>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</si>
  <si>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</si>
  <si>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</si>
  <si>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</si>
  <si>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</si>
  <si>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</si>
  <si>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</si>
  <si>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</si>
  <si>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</si>
  <si>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</si>
  <si>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</si>
  <si>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</si>
  <si>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</si>
  <si>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</si>
  <si>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</si>
  <si>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</si>
  <si>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</si>
  <si>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</si>
  <si>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</si>
  <si>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</si>
  <si>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</si>
  <si>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</si>
  <si>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</si>
  <si>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</si>
  <si>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</si>
  <si>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</si>
  <si>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</si>
  <si>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</si>
  <si>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</si>
  <si>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</si>
  <si>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</si>
  <si>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</si>
  <si>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</si>
  <si>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</si>
  <si>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</si>
  <si>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</si>
  <si>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</si>
  <si>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</si>
  <si>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</si>
  <si>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</si>
  <si>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</si>
  <si>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</si>
  <si>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</si>
  <si>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</si>
  <si>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</si>
  <si>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</si>
  <si>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</si>
  <si>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</si>
  <si>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</si>
  <si>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</si>
  <si>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</si>
  <si>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</si>
  <si>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</si>
  <si>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</si>
  <si>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</si>
  <si>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</si>
  <si>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</si>
  <si>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</si>
  <si>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</si>
  <si>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</si>
  <si>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</si>
  <si>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</si>
  <si>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</si>
  <si>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</si>
  <si>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</si>
  <si>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</si>
  <si>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</si>
  <si>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</si>
  <si>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</si>
  <si>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</si>
  <si>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</si>
  <si>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</si>
  <si>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</si>
  <si>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</si>
  <si>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</si>
  <si>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</si>
  <si>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</si>
  <si>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</si>
  <si>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</si>
  <si>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</si>
  <si>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</si>
  <si>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</si>
  <si>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</si>
  <si>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</si>
  <si>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</si>
  <si>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</si>
  <si>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</si>
  <si>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</si>
  <si>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</si>
  <si>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</si>
  <si>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</si>
  <si>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</si>
  <si>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</si>
  <si>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</si>
  <si>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</si>
  <si>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</si>
  <si>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</si>
  <si>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</si>
  <si>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</si>
  <si>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</si>
  <si>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</si>
  <si>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</si>
  <si>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</si>
  <si>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</si>
  <si>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</si>
  <si>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</si>
  <si>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</si>
  <si>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</si>
  <si>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</si>
  <si>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</si>
  <si>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</si>
  <si>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</si>
  <si>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</si>
  <si>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</si>
  <si>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</si>
  <si>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</si>
  <si>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</si>
  <si>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</si>
  <si>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</si>
  <si>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</si>
  <si>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</si>
  <si>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</si>
  <si>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</si>
  <si>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</si>
  <si>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</si>
  <si>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</si>
  <si>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</si>
  <si>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</si>
  <si>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</si>
  <si>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</si>
  <si>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</si>
  <si>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</si>
  <si>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</si>
  <si>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</si>
  <si>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</si>
  <si>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</si>
  <si>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</si>
  <si>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</si>
  <si>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</si>
  <si>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</si>
  <si>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</si>
  <si>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</si>
  <si>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</si>
  <si>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</si>
  <si>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</si>
  <si>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</si>
  <si>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</si>
  <si>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</si>
  <si>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</si>
  <si>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</si>
  <si>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</si>
  <si>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</si>
  <si>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</si>
  <si>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</si>
  <si>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</si>
  <si>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</si>
  <si>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</si>
  <si>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</si>
  <si>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</si>
  <si>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</si>
  <si>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</si>
  <si>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</si>
  <si>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</si>
  <si>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</si>
  <si>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</si>
  <si>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</si>
  <si>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</si>
  <si>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</si>
  <si>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</si>
  <si>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</si>
  <si>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</si>
  <si>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</si>
  <si>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</si>
  <si>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</si>
  <si>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</si>
  <si>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</si>
  <si>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</si>
  <si>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</si>
  <si>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</si>
  <si>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</si>
  <si>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</si>
  <si>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</si>
  <si>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</si>
  <si>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</si>
  <si>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</si>
  <si>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</si>
  <si>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</si>
  <si>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</si>
  <si>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</si>
  <si>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</si>
  <si>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</si>
  <si>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</si>
  <si>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</si>
  <si>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</si>
  <si>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</si>
  <si>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</si>
  <si>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</si>
  <si>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</si>
  <si>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</si>
  <si>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</si>
  <si>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</si>
  <si>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</si>
  <si>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</si>
  <si>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</si>
  <si>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</si>
  <si>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</si>
  <si>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</si>
  <si>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</si>
  <si>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</si>
  <si>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</si>
  <si>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</si>
  <si>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</si>
  <si>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</si>
  <si>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</si>
  <si>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</si>
  <si>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</si>
  <si>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</si>
  <si>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</si>
  <si>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</si>
  <si>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</si>
  <si>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</si>
  <si>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</si>
  <si>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</si>
  <si>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</si>
  <si>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</si>
  <si>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</si>
  <si>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</si>
  <si>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</si>
  <si>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</si>
  <si>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</si>
  <si>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</si>
  <si>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</si>
  <si>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</si>
  <si>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</si>
  <si>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</si>
  <si>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</si>
  <si>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</si>
  <si>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</si>
  <si>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</si>
  <si>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</si>
  <si>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</si>
  <si>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</si>
  <si>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</si>
  <si>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</si>
  <si>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</si>
  <si>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</si>
  <si>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</si>
  <si>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</si>
  <si>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</si>
  <si>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</si>
  <si>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</si>
  <si>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</si>
  <si>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</si>
  <si>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</si>
  <si>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</si>
  <si>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</si>
  <si>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</si>
  <si>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</si>
  <si>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</si>
  <si>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</si>
  <si>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</si>
  <si>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</si>
  <si>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</si>
  <si>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</si>
  <si>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</si>
  <si>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</si>
  <si>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</si>
  <si>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</si>
  <si>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</si>
  <si>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</si>
  <si>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</si>
  <si>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</si>
  <si>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</si>
  <si>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</si>
  <si>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</si>
  <si>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</si>
  <si>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</si>
  <si>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</si>
  <si>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</si>
  <si>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</si>
  <si>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</si>
  <si>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</si>
  <si>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</si>
  <si>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</si>
  <si>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</si>
  <si>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</si>
  <si>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</si>
  <si>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</si>
  <si>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</si>
  <si>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</si>
  <si>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</si>
  <si>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</si>
  <si>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</si>
  <si>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</si>
  <si>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</si>
  <si>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</si>
  <si>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</si>
  <si>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</si>
  <si>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</si>
  <si>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</si>
  <si>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</si>
  <si>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</si>
  <si>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</si>
  <si>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</si>
  <si>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</si>
  <si>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</si>
  <si>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</si>
  <si>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</si>
  <si>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</si>
  <si>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</si>
  <si>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</si>
  <si>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</si>
  <si>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</si>
  <si>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</si>
  <si>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</si>
  <si>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</si>
  <si>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</si>
  <si>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</si>
  <si>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</si>
  <si>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</si>
  <si>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</si>
  <si>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</si>
  <si>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</si>
  <si>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</si>
  <si>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</si>
  <si>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</si>
  <si>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</si>
  <si>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</si>
  <si>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</si>
  <si>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</si>
  <si>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</si>
  <si>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</si>
  <si>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</si>
  <si>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</si>
  <si>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</si>
  <si>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</si>
  <si>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</si>
  <si>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</si>
  <si>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</si>
  <si>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</si>
  <si>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</si>
  <si>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</si>
  <si>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</si>
  <si>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</si>
  <si>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</si>
  <si>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</si>
  <si>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</si>
  <si>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</si>
  <si>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</si>
  <si>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</si>
  <si>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</si>
  <si>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</si>
  <si>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</si>
  <si>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</si>
  <si>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</si>
  <si>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</si>
  <si>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</si>
  <si>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</si>
  <si>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</si>
  <si>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</si>
  <si>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</si>
  <si>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</si>
  <si>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</si>
  <si>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</si>
  <si>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</si>
  <si>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</si>
  <si>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</si>
  <si>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</si>
  <si>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</si>
  <si>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</si>
  <si>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</si>
  <si>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</si>
  <si>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</si>
  <si>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</si>
  <si>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</si>
  <si>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</si>
  <si>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</si>
  <si>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</si>
  <si>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</si>
  <si>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</si>
  <si>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</si>
  <si>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</si>
  <si>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</si>
  <si>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</si>
  <si>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</si>
  <si>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</si>
  <si>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</si>
  <si>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</si>
  <si>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</si>
  <si>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</si>
  <si>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</si>
  <si>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</si>
  <si>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</si>
  <si>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</si>
  <si>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</si>
  <si>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</si>
  <si>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</si>
  <si>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</si>
  <si>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</si>
  <si>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</si>
  <si>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</si>
  <si>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</si>
  <si>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</si>
  <si>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</si>
  <si>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</si>
  <si>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</si>
  <si>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</si>
  <si>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</si>
  <si>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</si>
  <si>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</si>
  <si>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</si>
  <si>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</si>
  <si>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</si>
  <si>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</si>
  <si>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</si>
  <si>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</si>
  <si>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</si>
  <si>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</si>
  <si>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</si>
  <si>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</si>
  <si>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</si>
  <si>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</si>
  <si>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</si>
  <si>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</si>
  <si>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</si>
  <si>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</si>
  <si>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</si>
  <si>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</si>
  <si>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</si>
  <si>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</si>
  <si>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</si>
  <si>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</si>
  <si>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</si>
  <si>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</si>
  <si>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</si>
  <si>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</si>
  <si>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</si>
  <si>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</si>
  <si>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</si>
  <si>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</si>
  <si>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</si>
  <si>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</si>
  <si>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</si>
  <si>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</si>
  <si>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</si>
  <si>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</si>
  <si>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</si>
  <si>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</si>
  <si>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</si>
  <si>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</si>
  <si>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</si>
  <si>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</si>
  <si>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</si>
  <si>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</si>
  <si>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</si>
  <si>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</si>
  <si>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</si>
  <si>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</si>
  <si>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</si>
  <si>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</si>
  <si>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</si>
  <si>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</si>
  <si>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</si>
  <si>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</si>
  <si>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</si>
  <si>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</si>
  <si>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</si>
  <si>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</si>
  <si>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</si>
  <si>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</si>
  <si>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</si>
  <si>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</si>
  <si>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</si>
  <si>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</si>
  <si>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</si>
  <si>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</si>
  <si>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</si>
  <si>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</si>
  <si>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</si>
  <si>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</si>
  <si>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</si>
  <si>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</si>
  <si>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</si>
  <si>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</si>
  <si>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</si>
  <si>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</si>
  <si>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</si>
  <si>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</si>
  <si>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</si>
  <si>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</si>
  <si>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</si>
  <si>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</si>
  <si>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</si>
  <si>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</si>
  <si>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</si>
  <si>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</si>
  <si>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</si>
  <si>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</si>
  <si>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</si>
  <si>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</si>
  <si>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</si>
  <si>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</si>
  <si>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</si>
  <si>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</si>
  <si>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</si>
  <si>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</si>
  <si>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</si>
  <si>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</si>
  <si>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</si>
  <si>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</si>
  <si>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</si>
  <si>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</si>
  <si>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</si>
  <si>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</si>
  <si>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</si>
  <si>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</si>
  <si>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</si>
  <si>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</si>
  <si>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</si>
  <si>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</si>
  <si>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</si>
  <si>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</si>
  <si>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</si>
  <si>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</si>
  <si>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</si>
  <si>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</si>
  <si>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</si>
  <si>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</si>
  <si>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</si>
  <si>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</si>
  <si>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</si>
  <si>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</si>
  <si>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</si>
  <si>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</si>
  <si>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</si>
  <si>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</si>
  <si>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</si>
  <si>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</si>
  <si>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</si>
  <si>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</si>
  <si>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</si>
  <si>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</si>
  <si>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</si>
  <si>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</si>
  <si>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</si>
  <si>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</si>
  <si>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</si>
  <si>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</si>
  <si>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</si>
  <si>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</si>
  <si>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</si>
  <si>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</si>
  <si>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</si>
  <si>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</si>
  <si>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</si>
  <si>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</si>
  <si>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</si>
  <si>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</si>
  <si>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</si>
  <si>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</si>
  <si>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</si>
  <si>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</si>
  <si>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</si>
  <si>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</si>
  <si>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</si>
  <si>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</si>
  <si>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</si>
  <si>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</si>
  <si>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</si>
  <si>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</si>
  <si>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</si>
  <si>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</si>
  <si>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</si>
  <si>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</si>
  <si>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</si>
  <si>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</si>
  <si>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</si>
  <si>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</si>
  <si>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</si>
  <si>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</si>
  <si>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</si>
  <si>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</si>
  <si>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</si>
  <si>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</si>
  <si>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</si>
  <si>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</si>
  <si>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</si>
  <si>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</si>
  <si>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</si>
  <si>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</si>
  <si>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</si>
  <si>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</si>
  <si>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</si>
  <si>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</si>
  <si>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</si>
  <si>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</si>
  <si>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</si>
  <si>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</si>
  <si>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</si>
  <si>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</si>
  <si>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</si>
  <si>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</si>
  <si>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</si>
  <si>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</si>
  <si>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</si>
  <si>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</si>
  <si>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</si>
  <si>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</si>
  <si>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</si>
  <si>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</si>
  <si>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</si>
  <si>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</si>
  <si>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</si>
  <si>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</si>
  <si>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</si>
  <si>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</si>
  <si>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</si>
  <si>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</si>
  <si>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</si>
  <si>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</si>
  <si>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</si>
  <si>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</si>
  <si>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</si>
  <si>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</si>
  <si>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</si>
  <si>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</si>
  <si>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</si>
  <si>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</si>
  <si>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</si>
  <si>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</si>
  <si>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</si>
  <si>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</si>
  <si>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</si>
  <si>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</si>
  <si>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</si>
  <si>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</si>
  <si>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</si>
  <si>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</si>
  <si>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</si>
  <si>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</si>
  <si>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</si>
  <si>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</si>
  <si>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</si>
  <si>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</si>
  <si>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</si>
  <si>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</si>
  <si>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</si>
  <si>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</si>
  <si>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</si>
  <si>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</si>
  <si>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</si>
  <si>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</si>
  <si>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</si>
  <si>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</si>
  <si>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</si>
  <si>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</si>
  <si>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</si>
  <si>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</si>
  <si>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</si>
  <si>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</si>
  <si>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</si>
  <si>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</si>
  <si>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</si>
  <si>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</si>
  <si>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</si>
  <si>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</si>
  <si>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</si>
  <si>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</si>
  <si>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</si>
  <si>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</si>
  <si>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</si>
  <si>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</si>
  <si>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</si>
  <si>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</si>
  <si>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</si>
  <si>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</si>
  <si>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</si>
  <si>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</si>
  <si>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</si>
  <si>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</si>
  <si>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</si>
  <si>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</si>
  <si>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</si>
  <si>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</si>
  <si>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</si>
  <si>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</si>
  <si>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</si>
  <si>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</si>
  <si>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</si>
  <si>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</si>
  <si>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</si>
  <si>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</si>
  <si>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</si>
  <si>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</si>
  <si>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</si>
  <si>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</si>
  <si>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</si>
  <si>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</si>
  <si>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</si>
  <si>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</si>
  <si>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</si>
  <si>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</si>
  <si>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</si>
  <si>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</si>
  <si>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</si>
  <si>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</si>
  <si>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</si>
  <si>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</si>
  <si>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</si>
  <si>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</si>
  <si>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</si>
  <si>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</si>
  <si>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</si>
  <si>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</si>
  <si>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</si>
  <si>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</si>
  <si>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</si>
  <si>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</si>
  <si>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</si>
  <si>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</si>
  <si>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</si>
  <si>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</si>
  <si>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</si>
  <si>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</si>
  <si>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</si>
  <si>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</si>
  <si>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</si>
  <si>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</si>
  <si>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</si>
  <si>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</si>
  <si>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</si>
  <si>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</si>
  <si>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</si>
  <si>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</si>
  <si>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</si>
  <si>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</si>
  <si>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</si>
  <si>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</si>
  <si>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</si>
  <si>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</si>
  <si>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</si>
  <si>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</si>
  <si>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</si>
  <si>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</si>
  <si>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</si>
  <si>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</si>
  <si>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</si>
  <si>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</si>
  <si>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</si>
  <si>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</si>
  <si>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</si>
  <si>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</si>
  <si>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</si>
  <si>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</si>
  <si>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</si>
  <si>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</si>
  <si>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</si>
  <si>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</si>
  <si>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</si>
  <si>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</si>
  <si>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</si>
  <si>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</si>
  <si>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</si>
  <si>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</si>
  <si>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</si>
  <si>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</si>
  <si>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</si>
  <si>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</si>
  <si>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</si>
  <si>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</si>
  <si>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</si>
  <si>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</si>
  <si>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</si>
  <si>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</si>
  <si>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</si>
  <si>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</si>
  <si>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</si>
  <si>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</si>
  <si>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</si>
  <si>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</si>
  <si>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</si>
  <si>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</si>
  <si>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</si>
  <si>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</si>
  <si>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</si>
  <si>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</si>
  <si>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</si>
  <si>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</si>
  <si>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</si>
  <si>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</si>
  <si>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</si>
  <si>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</si>
  <si>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</si>
  <si>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</si>
  <si>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</si>
  <si>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</si>
  <si>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</si>
  <si>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</si>
  <si>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</si>
  <si>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</si>
  <si>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</si>
  <si>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</si>
  <si>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</si>
  <si>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</si>
  <si>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</si>
  <si>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</si>
  <si>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</si>
  <si>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</si>
  <si>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</si>
  <si>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</si>
  <si>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</si>
  <si>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</si>
  <si>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</si>
  <si>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</si>
  <si>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</si>
  <si>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</si>
  <si>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</si>
  <si>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</si>
  <si>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</si>
  <si>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</si>
  <si>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</si>
  <si>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</si>
  <si>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</si>
  <si>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</si>
  <si>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</si>
  <si>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</si>
  <si>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</si>
  <si>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</si>
  <si>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</si>
  <si>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</si>
  <si>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</si>
  <si>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</si>
  <si>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</si>
  <si>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</si>
  <si>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</si>
  <si>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</si>
  <si>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</si>
  <si>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</si>
  <si>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</si>
  <si>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</si>
  <si>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</si>
  <si>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</si>
  <si>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</si>
  <si>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</si>
  <si>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</si>
  <si>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</si>
  <si>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</si>
  <si>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</si>
  <si>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</si>
  <si>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</si>
  <si>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</si>
  <si>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</si>
  <si>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</si>
  <si>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</si>
  <si>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</si>
  <si>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</si>
  <si>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</si>
  <si>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</si>
  <si>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</si>
  <si>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</si>
  <si>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</si>
  <si>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</si>
  <si>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</si>
  <si>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</si>
  <si>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</si>
  <si>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</si>
  <si>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</si>
  <si>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</si>
  <si>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</si>
  <si>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</si>
  <si>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</si>
  <si>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</si>
  <si>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</si>
  <si>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</si>
  <si>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</si>
  <si>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</si>
  <si>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</si>
  <si>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</si>
  <si>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</si>
  <si>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</si>
  <si>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</si>
  <si>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</si>
  <si>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</si>
  <si>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</si>
  <si>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</si>
  <si>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</si>
  <si>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</si>
  <si>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</si>
  <si>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</si>
  <si>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</si>
  <si>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</si>
  <si>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</si>
  <si>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</si>
  <si>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</si>
  <si>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</si>
  <si>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</si>
  <si>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</si>
  <si>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</si>
  <si>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</si>
  <si>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</si>
  <si>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</si>
  <si>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</si>
  <si>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</si>
  <si>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</si>
  <si>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</si>
  <si>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</si>
  <si>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</si>
  <si>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</si>
  <si>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</si>
  <si>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</si>
  <si>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</si>
  <si>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</si>
  <si>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</si>
  <si>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</si>
  <si>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</si>
  <si>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</si>
  <si>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</si>
  <si>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</si>
  <si>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</si>
  <si>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</si>
  <si>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</si>
  <si>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</si>
  <si>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</si>
  <si>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</si>
  <si>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</si>
  <si>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</si>
  <si>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</si>
  <si>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</si>
  <si>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</si>
  <si>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</si>
  <si>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</si>
  <si>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</si>
  <si>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</si>
  <si>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</si>
  <si>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</si>
  <si>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</si>
  <si>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</si>
  <si>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</si>
  <si>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</si>
  <si>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</si>
  <si>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</si>
  <si>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</si>
  <si>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</si>
  <si>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</si>
  <si>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</si>
  <si>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</si>
  <si>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</si>
  <si>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</si>
  <si>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</si>
  <si>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</si>
  <si>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</si>
  <si>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</si>
  <si>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</si>
  <si>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</si>
  <si>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</si>
  <si>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</si>
  <si>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</si>
  <si>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</si>
  <si>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</si>
  <si>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</si>
  <si>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</si>
  <si>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</si>
  <si>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</si>
  <si>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</si>
  <si>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</si>
  <si>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</si>
  <si>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</si>
  <si>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</si>
  <si>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</si>
  <si>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</si>
  <si>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</si>
  <si>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</si>
  <si>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</si>
  <si>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</si>
  <si>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</si>
  <si>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</si>
  <si>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</si>
  <si>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</si>
  <si>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</si>
  <si>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</si>
  <si>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</si>
  <si>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</si>
  <si>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</si>
  <si>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</si>
  <si>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</si>
  <si>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</si>
  <si>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</si>
  <si>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</si>
  <si>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</si>
  <si>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</si>
  <si>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</si>
  <si>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</si>
  <si>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</si>
  <si>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</si>
  <si>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</si>
  <si>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</si>
  <si>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</si>
  <si>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</si>
  <si>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</si>
  <si>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</si>
  <si>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</si>
  <si>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</si>
  <si>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</si>
  <si>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</si>
  <si>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</si>
  <si>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</si>
  <si>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</si>
  <si>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</si>
  <si>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</si>
  <si>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</si>
  <si>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</si>
  <si>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</si>
  <si>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</si>
  <si>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</si>
  <si>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</si>
  <si>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</si>
  <si>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</si>
  <si>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</si>
  <si>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</si>
  <si>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</si>
  <si>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</si>
  <si>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</si>
  <si>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</si>
  <si>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</si>
  <si>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</si>
  <si>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</si>
  <si>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</si>
  <si>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</si>
  <si>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</si>
  <si>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</si>
  <si>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</si>
  <si>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</si>
  <si>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</si>
  <si>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</si>
  <si>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</si>
  <si>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</si>
  <si>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</si>
  <si>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</si>
  <si>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</si>
  <si>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</si>
  <si>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</si>
  <si>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</si>
  <si>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</si>
  <si>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</si>
  <si>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</si>
  <si>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</si>
  <si>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</si>
  <si>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</si>
  <si>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</si>
  <si>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</si>
  <si>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</si>
  <si>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</si>
  <si>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</si>
  <si>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</si>
  <si>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</si>
  <si>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</si>
  <si>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</si>
  <si>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</si>
  <si>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</si>
  <si>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</si>
  <si>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</si>
  <si>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</si>
  <si>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</si>
  <si>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</si>
  <si>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</si>
  <si>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</si>
  <si>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</si>
  <si>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</si>
  <si>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</si>
  <si>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</si>
  <si>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</si>
  <si>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</si>
  <si>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</si>
  <si>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</si>
  <si>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</si>
  <si>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</si>
  <si>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</si>
  <si>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</si>
  <si>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</si>
  <si>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</si>
  <si>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</si>
  <si>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</si>
  <si>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</si>
  <si>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</si>
  <si>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</si>
  <si>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</si>
  <si>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</si>
  <si>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</si>
  <si>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</si>
  <si>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</si>
  <si>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</si>
  <si>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</si>
  <si>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</si>
  <si>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</si>
  <si>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</si>
  <si>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</si>
  <si>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</si>
  <si>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</si>
  <si>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</si>
  <si>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</si>
  <si>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</si>
  <si>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</si>
  <si>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</si>
  <si>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</si>
  <si>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</si>
  <si>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</si>
  <si>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</si>
  <si>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</si>
  <si>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</si>
  <si>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</si>
  <si>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</si>
  <si>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</si>
  <si>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</si>
  <si>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</si>
  <si>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</si>
  <si>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</si>
  <si>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</si>
  <si>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</si>
  <si>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</si>
  <si>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</si>
  <si>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</si>
  <si>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</si>
  <si>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</si>
  <si>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</si>
  <si>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</si>
  <si>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</si>
  <si>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</si>
  <si>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</si>
  <si>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</si>
  <si>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</si>
  <si>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</si>
  <si>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</si>
  <si>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</si>
  <si>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</si>
  <si>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</si>
  <si>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</si>
  <si>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</si>
  <si>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</si>
  <si>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</si>
  <si>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</si>
  <si>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</si>
  <si>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</si>
  <si>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</si>
  <si>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</si>
  <si>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</si>
  <si>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</si>
  <si>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</si>
  <si>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</si>
  <si>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</si>
  <si>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</si>
  <si>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</si>
  <si>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</si>
  <si>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</si>
  <si>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</si>
  <si>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</si>
  <si>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</si>
  <si>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</si>
  <si>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</si>
  <si>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</si>
  <si>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</si>
  <si>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</si>
  <si>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</si>
  <si>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</si>
  <si>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</si>
  <si>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</si>
  <si>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</si>
  <si>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</si>
  <si>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</si>
  <si>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</si>
  <si>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</si>
  <si>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</si>
  <si>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</si>
  <si>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</si>
  <si>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</si>
  <si>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</si>
  <si>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</si>
  <si>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</si>
  <si>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</si>
  <si>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</si>
  <si>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</si>
  <si>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</si>
  <si>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</si>
  <si>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</si>
  <si>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</si>
  <si>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</si>
  <si>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</si>
  <si>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</si>
  <si>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</si>
  <si>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</si>
  <si>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</si>
  <si>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</si>
  <si>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</si>
  <si>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</si>
  <si>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</si>
  <si>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</si>
  <si>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</si>
  <si>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</si>
  <si>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</si>
  <si>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</si>
  <si>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</si>
  <si>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</si>
  <si>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</si>
  <si>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</si>
  <si>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</si>
  <si>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</si>
  <si>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</si>
  <si>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</si>
  <si>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</si>
  <si>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</si>
  <si>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</si>
  <si>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</si>
  <si>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</si>
  <si>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</si>
  <si>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</si>
  <si>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</si>
  <si>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</si>
  <si>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</si>
  <si>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</si>
  <si>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</si>
  <si>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</si>
  <si>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</si>
  <si>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</si>
  <si>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</si>
  <si>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</si>
  <si>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</si>
  <si>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</si>
  <si>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</si>
  <si>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</si>
  <si>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</si>
  <si>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</si>
  <si>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</si>
  <si>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</si>
  <si>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</si>
  <si>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</si>
  <si>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</si>
  <si>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</si>
  <si>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</si>
  <si>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</si>
  <si>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</si>
  <si>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</si>
  <si>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</si>
  <si>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</si>
  <si>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</si>
  <si>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</si>
  <si>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</si>
  <si>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</si>
  <si>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</si>
  <si>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</si>
  <si>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</si>
  <si>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</si>
  <si>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</si>
  <si>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</si>
  <si>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</si>
  <si>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</si>
  <si>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</si>
  <si>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</si>
  <si>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</si>
  <si>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</si>
  <si>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</si>
  <si>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</si>
  <si>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</si>
  <si>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</si>
  <si>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</si>
  <si>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</si>
  <si>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</si>
  <si>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</si>
  <si>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</si>
  <si>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</si>
  <si>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</si>
  <si>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</si>
  <si>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</si>
  <si>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</si>
  <si>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</si>
  <si>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</si>
  <si>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</si>
  <si>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</si>
  <si>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</si>
  <si>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</si>
  <si>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</si>
  <si>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</si>
  <si>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</si>
  <si>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</si>
  <si>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</si>
  <si>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</si>
  <si>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</si>
  <si>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</si>
  <si>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</si>
  <si>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</si>
  <si>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</si>
  <si>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</si>
  <si>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</si>
  <si>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</si>
  <si>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</si>
  <si>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</si>
  <si>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</si>
  <si>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</si>
  <si>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</si>
  <si>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</si>
  <si>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</si>
  <si>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</si>
  <si>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</si>
  <si>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</si>
  <si>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</si>
  <si>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</si>
  <si>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</si>
  <si>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</si>
  <si>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</si>
  <si>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</si>
  <si>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</si>
  <si>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</si>
  <si>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</si>
  <si>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</si>
  <si>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</si>
  <si>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</si>
  <si>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</si>
  <si>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</si>
  <si>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</si>
  <si>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</si>
  <si>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</si>
  <si>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</si>
  <si>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</si>
  <si>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</si>
  <si>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</si>
  <si>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</si>
  <si>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</si>
  <si>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</si>
  <si>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</si>
  <si>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</si>
  <si>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</si>
  <si>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</si>
  <si>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</si>
  <si>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</si>
  <si>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</si>
  <si>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</si>
  <si>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</si>
  <si>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</si>
  <si>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</si>
  <si>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</si>
  <si>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</si>
  <si>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</si>
  <si>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</si>
  <si>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</si>
  <si>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</si>
  <si>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</si>
  <si>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</si>
  <si>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</si>
  <si>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</si>
  <si>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</si>
  <si>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</si>
  <si>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</si>
  <si>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</si>
  <si>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</si>
  <si>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</si>
  <si>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</si>
  <si>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</si>
  <si>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</si>
  <si>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</si>
  <si>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</si>
  <si>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</si>
  <si>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</si>
  <si>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</si>
  <si>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</si>
  <si>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</si>
  <si>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</si>
  <si>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</si>
  <si>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</si>
  <si>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</si>
  <si>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</si>
  <si>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</si>
  <si>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</si>
  <si>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</si>
  <si>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</si>
  <si>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</si>
  <si>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</si>
  <si>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</si>
  <si>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</si>
  <si>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</si>
  <si>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</si>
  <si>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</si>
  <si>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</si>
  <si>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</si>
  <si>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</si>
  <si>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</si>
  <si>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</si>
  <si>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</si>
  <si>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</si>
  <si>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</si>
  <si>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</si>
  <si>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</si>
  <si>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</si>
  <si>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</si>
  <si>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</si>
  <si>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</si>
  <si>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</si>
  <si>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</si>
  <si>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</si>
  <si>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</si>
  <si>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</si>
  <si>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</si>
  <si>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</si>
  <si>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</si>
  <si>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</si>
  <si>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</si>
  <si>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</si>
  <si>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</si>
  <si>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</si>
  <si>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</si>
  <si>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</si>
  <si>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</si>
  <si>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</si>
  <si>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</si>
  <si>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</si>
  <si>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</si>
  <si>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</si>
  <si>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</si>
  <si>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</si>
  <si>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</si>
  <si>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</si>
  <si>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</si>
  <si>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</si>
  <si>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</si>
  <si>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</si>
  <si>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</si>
  <si>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</si>
  <si>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</si>
  <si>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</si>
  <si>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</si>
  <si>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</si>
  <si>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</si>
  <si>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</si>
  <si>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</si>
  <si>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</si>
  <si>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</si>
  <si>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</si>
  <si>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</si>
  <si>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</si>
  <si>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</si>
  <si>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</si>
  <si>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</si>
  <si>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</si>
  <si>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</si>
  <si>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</si>
  <si>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</si>
  <si>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</si>
  <si>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</si>
  <si>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</si>
  <si>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</si>
  <si>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</si>
  <si>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</si>
  <si>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</si>
  <si>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</si>
  <si>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</si>
  <si>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</si>
  <si>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</si>
  <si>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</si>
  <si>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</si>
  <si>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</si>
  <si>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</si>
  <si>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</si>
  <si>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</si>
  <si>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</si>
  <si>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</si>
  <si>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</si>
  <si>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</si>
  <si>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</si>
  <si>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</si>
  <si>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</si>
  <si>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</si>
  <si>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</si>
  <si>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</si>
  <si>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</si>
  <si>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</si>
  <si>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</si>
  <si>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</si>
  <si>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</si>
  <si>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</si>
  <si>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</si>
  <si>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</si>
  <si>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</si>
  <si>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</si>
  <si>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</si>
  <si>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</si>
  <si>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</si>
  <si>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</si>
  <si>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</si>
  <si>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</si>
  <si>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</si>
  <si>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</si>
  <si>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</si>
  <si>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</si>
  <si>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</si>
  <si>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</si>
  <si>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</si>
  <si>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</si>
  <si>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</si>
  <si>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</si>
  <si>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</si>
  <si>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</si>
  <si>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</si>
  <si>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</si>
  <si>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</si>
  <si>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</si>
  <si>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</si>
  <si>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</si>
  <si>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</si>
  <si>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</si>
  <si>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</si>
  <si>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</si>
  <si>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</si>
  <si>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</si>
  <si>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</si>
  <si>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</si>
  <si>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</si>
  <si>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</si>
  <si>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</si>
  <si>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</si>
  <si>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</si>
  <si>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</si>
  <si>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</si>
  <si>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</si>
  <si>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</si>
  <si>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</si>
  <si>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</si>
  <si>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</si>
  <si>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</si>
  <si>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</si>
  <si>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</si>
  <si>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</si>
  <si>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</si>
  <si>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</si>
  <si>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</si>
  <si>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</si>
  <si>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</si>
  <si>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</si>
  <si>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</si>
  <si>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</si>
  <si>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</si>
  <si>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</si>
  <si>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</si>
  <si>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</si>
  <si>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</si>
  <si>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</si>
  <si>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</si>
  <si>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</si>
  <si>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</si>
  <si>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</si>
  <si>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</si>
  <si>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</si>
  <si>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</si>
  <si>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</si>
  <si>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</si>
  <si>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</si>
  <si>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</si>
  <si>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</si>
  <si>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</si>
  <si>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</si>
  <si>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</si>
  <si>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</si>
  <si>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</si>
  <si>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</si>
  <si>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</si>
  <si>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</si>
  <si>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</si>
  <si>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</si>
  <si>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</si>
  <si>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</si>
  <si>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</si>
  <si>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</si>
  <si>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</si>
  <si>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</si>
  <si>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</si>
  <si>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</si>
  <si>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</si>
  <si>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</si>
  <si>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</si>
  <si>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</si>
  <si>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</si>
  <si>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</si>
  <si>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</si>
  <si>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</si>
  <si>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</si>
  <si>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</si>
  <si>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</si>
  <si>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</si>
  <si>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</si>
  <si>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</si>
  <si>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</si>
  <si>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</si>
  <si>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</si>
  <si>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</si>
  <si>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</si>
  <si>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</si>
  <si>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</si>
  <si>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</si>
  <si>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</si>
  <si>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</si>
  <si>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</si>
  <si>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</si>
  <si>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</si>
  <si>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</si>
  <si>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</si>
  <si>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</si>
  <si>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</si>
  <si>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</si>
  <si>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</si>
  <si>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</si>
  <si>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</si>
  <si>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</si>
  <si>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</si>
  <si>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</si>
  <si>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</si>
  <si>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</si>
  <si>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</si>
  <si>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</si>
  <si>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</si>
  <si>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</si>
  <si>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</si>
  <si>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</si>
  <si>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</si>
  <si>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</si>
  <si>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</si>
  <si>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</si>
  <si>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</si>
  <si>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</si>
  <si>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</si>
  <si>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</si>
  <si>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</si>
  <si>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</si>
  <si>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</si>
  <si>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</si>
  <si>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</si>
  <si>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</si>
  <si>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</si>
  <si>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</si>
  <si>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</si>
  <si>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</si>
  <si>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</si>
  <si>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</si>
  <si>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</si>
  <si>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</si>
  <si>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</si>
  <si>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</si>
  <si>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</si>
  <si>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</si>
  <si>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</si>
  <si>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</si>
  <si>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</si>
  <si>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</si>
  <si>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</si>
  <si>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</si>
  <si>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</si>
  <si>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</si>
  <si>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</si>
  <si>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</si>
  <si>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</si>
  <si>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</si>
  <si>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</si>
  <si>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</si>
  <si>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</si>
  <si>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</si>
  <si>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</si>
  <si>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</si>
  <si>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</si>
  <si>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</si>
  <si>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</si>
  <si>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</si>
  <si>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</si>
  <si>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</si>
  <si>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</si>
  <si>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</si>
  <si>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</si>
  <si>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</si>
  <si>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</si>
  <si>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</si>
  <si>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</si>
  <si>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</si>
  <si>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</si>
  <si>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</si>
  <si>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</si>
  <si>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</si>
  <si>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</si>
  <si>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</si>
  <si>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</si>
  <si>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</si>
  <si>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</si>
  <si>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</si>
  <si>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</si>
  <si>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</si>
  <si>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</si>
  <si>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</si>
  <si>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</si>
  <si>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</si>
  <si>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</si>
  <si>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</si>
  <si>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</si>
  <si>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</si>
  <si>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</si>
  <si>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</si>
  <si>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</si>
  <si>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</si>
  <si>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</si>
  <si>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</si>
  <si>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</si>
  <si>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</si>
  <si>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</si>
  <si>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</si>
  <si>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</si>
  <si>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</si>
  <si>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</si>
  <si>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</si>
  <si>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</si>
  <si>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</si>
  <si>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</si>
  <si>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</si>
  <si>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</si>
  <si>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</si>
  <si>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</si>
  <si>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</si>
  <si>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</si>
  <si>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</si>
  <si>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</si>
  <si>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</si>
  <si>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</si>
  <si>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</si>
  <si>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</si>
  <si>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</si>
  <si>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</si>
  <si>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</si>
  <si>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</si>
  <si>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</si>
  <si>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</si>
  <si>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</si>
  <si>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</si>
  <si>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</si>
  <si>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</si>
  <si>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</si>
  <si>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</si>
  <si>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</si>
  <si>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</si>
  <si>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</si>
  <si>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</si>
  <si>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</si>
  <si>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</si>
  <si>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</si>
  <si>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</si>
  <si>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</si>
  <si>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</si>
  <si>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</si>
  <si>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</si>
  <si>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</si>
  <si>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</si>
  <si>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</si>
  <si>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</si>
  <si>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</si>
  <si>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</si>
  <si>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</si>
  <si>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</si>
  <si>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</si>
  <si>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</si>
  <si>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</si>
  <si>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</si>
  <si>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</si>
  <si>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</si>
  <si>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</si>
  <si>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</si>
  <si>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</si>
  <si>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</si>
  <si>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</si>
  <si>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</si>
  <si>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</si>
  <si>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</si>
  <si>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</si>
  <si>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</si>
  <si>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</si>
  <si>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</si>
  <si>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</si>
  <si>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</si>
  <si>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</si>
  <si>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</si>
  <si>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</si>
  <si>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</si>
  <si>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</si>
  <si>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</si>
  <si>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</si>
  <si>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</si>
  <si>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</si>
  <si>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</si>
  <si>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</si>
  <si>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</si>
  <si>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</si>
  <si>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</si>
  <si>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</si>
  <si>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</si>
  <si>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</si>
  <si>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</si>
  <si>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</si>
  <si>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</si>
  <si>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</si>
  <si>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</si>
  <si>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</si>
  <si>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</si>
  <si>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</si>
  <si>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</si>
  <si>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</si>
  <si>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</si>
  <si>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</si>
  <si>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</si>
  <si>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</si>
  <si>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</si>
  <si>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</si>
  <si>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</si>
  <si>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</si>
  <si>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</si>
  <si>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</si>
  <si>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</si>
  <si>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</si>
  <si>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</si>
  <si>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</si>
  <si>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</si>
  <si>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</si>
  <si>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</si>
  <si>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</si>
  <si>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</si>
  <si>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</si>
  <si>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</si>
  <si>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</si>
  <si>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</si>
  <si>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</si>
  <si>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</si>
  <si>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</si>
  <si>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</si>
  <si>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</si>
  <si>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</si>
  <si>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</si>
  <si>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</si>
  <si>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</si>
  <si>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</si>
  <si>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</si>
  <si>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</si>
  <si>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</si>
  <si>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</si>
  <si>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</si>
  <si>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</si>
  <si>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</si>
  <si>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</si>
  <si>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</si>
  <si>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</si>
  <si>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</si>
  <si>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</si>
  <si>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</si>
  <si>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</si>
  <si>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</si>
  <si>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</si>
  <si>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</si>
  <si>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</si>
  <si>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</si>
  <si>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</si>
  <si>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</si>
  <si>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</si>
  <si>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</si>
  <si>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</si>
  <si>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</si>
  <si>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</si>
  <si>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</si>
  <si>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</si>
  <si>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</si>
  <si>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</si>
  <si>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</si>
  <si>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</si>
  <si>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</si>
  <si>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</si>
  <si>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</si>
  <si>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</si>
  <si>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</si>
  <si>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</si>
  <si>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</si>
  <si>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</si>
  <si>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</si>
  <si>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</si>
  <si>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</si>
  <si>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</si>
  <si>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</si>
  <si>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</si>
  <si>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</si>
  <si>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</si>
  <si>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</si>
  <si>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</si>
  <si>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</si>
  <si>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</si>
  <si>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</si>
  <si>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</si>
  <si>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</si>
  <si>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</si>
  <si>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</si>
  <si>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</si>
  <si>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</si>
  <si>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</si>
  <si>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</si>
  <si>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</si>
  <si>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</si>
  <si>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</si>
  <si>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</si>
  <si>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</si>
  <si>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</si>
  <si>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</si>
  <si>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</si>
  <si>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</si>
  <si>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</si>
  <si>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</si>
  <si>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</si>
  <si>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</si>
  <si>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</si>
  <si>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</si>
  <si>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</si>
  <si>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</si>
  <si>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</si>
  <si>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</si>
  <si>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</si>
  <si>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</si>
  <si>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</si>
  <si>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</si>
  <si>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</si>
  <si>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</si>
  <si>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</si>
  <si>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</si>
  <si>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</si>
  <si>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</si>
  <si>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</si>
  <si>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</si>
  <si>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</si>
  <si>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</si>
  <si>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</si>
  <si>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</si>
  <si>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</si>
  <si>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</si>
  <si>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</si>
  <si>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</si>
  <si>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</si>
  <si>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</si>
  <si>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</si>
  <si>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</si>
  <si>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</si>
  <si>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</si>
  <si>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</si>
  <si>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</si>
  <si>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</si>
  <si>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</si>
  <si>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</si>
  <si>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</si>
  <si>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</si>
  <si>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</si>
  <si>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</si>
  <si>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</si>
  <si>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</si>
  <si>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</si>
  <si>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</si>
  <si>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</si>
  <si>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</si>
  <si>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</si>
  <si>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</si>
  <si>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</si>
  <si>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</si>
  <si>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</si>
  <si>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</si>
  <si>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</si>
  <si>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</si>
  <si>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</si>
  <si>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</si>
  <si>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</si>
  <si>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</si>
  <si>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</si>
  <si>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</si>
  <si>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</si>
  <si>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</si>
  <si>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</si>
  <si>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</si>
  <si>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</si>
  <si>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</si>
  <si>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</si>
  <si>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</si>
  <si>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</si>
  <si>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</si>
  <si>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</si>
  <si>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</si>
  <si>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</si>
  <si>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</si>
  <si>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</si>
  <si>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</si>
  <si>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</si>
  <si>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</si>
  <si>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</si>
  <si>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</si>
  <si>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</si>
  <si>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</si>
  <si>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</si>
  <si>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</si>
  <si>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</si>
  <si>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</si>
  <si>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</si>
  <si>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</si>
  <si>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</si>
  <si>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</si>
  <si>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</si>
  <si>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</si>
  <si>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</si>
  <si>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</si>
  <si>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</si>
  <si>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</si>
  <si>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</si>
  <si>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</si>
  <si>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</si>
  <si>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</si>
  <si>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</si>
  <si>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</si>
  <si>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</si>
  <si>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</si>
  <si>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</si>
  <si>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</si>
  <si>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</si>
  <si>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</si>
  <si>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</si>
  <si>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</si>
  <si>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</si>
  <si>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</si>
  <si>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</si>
  <si>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</si>
  <si>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</si>
  <si>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</si>
  <si>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</si>
  <si>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</si>
  <si>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</si>
  <si>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</si>
  <si>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</si>
  <si>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</si>
  <si>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</si>
  <si>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</si>
  <si>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</si>
  <si>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</si>
  <si>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</si>
  <si>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</si>
  <si>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</si>
  <si>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</si>
  <si>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</si>
  <si>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</si>
  <si>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</si>
  <si>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</si>
  <si>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</si>
  <si>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</si>
  <si>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</si>
  <si>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</si>
  <si>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</si>
  <si>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</si>
  <si>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</si>
  <si>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</si>
  <si>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</si>
  <si>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</si>
  <si>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</si>
  <si>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</si>
  <si>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</si>
  <si>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</si>
  <si>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</si>
  <si>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</si>
  <si>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</si>
  <si>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</si>
  <si>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</si>
  <si>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</si>
  <si>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</si>
  <si>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</si>
  <si>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</si>
  <si>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</si>
  <si>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</si>
  <si>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</si>
  <si>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</si>
  <si>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</si>
  <si>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</si>
  <si>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</si>
  <si>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</si>
  <si>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</si>
  <si>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</si>
  <si>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</si>
  <si>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</si>
  <si>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</si>
  <si>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</si>
  <si>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</si>
  <si>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</si>
  <si>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</si>
  <si>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</si>
  <si>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</si>
  <si>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</si>
  <si>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</si>
  <si>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</si>
  <si>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</si>
  <si>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</si>
  <si>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</si>
  <si>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</si>
  <si>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</si>
  <si>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</si>
  <si>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</si>
  <si>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</si>
  <si>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</si>
  <si>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</si>
  <si>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</si>
  <si>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</si>
  <si>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</si>
  <si>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</si>
  <si>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</si>
  <si>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</si>
  <si>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</si>
  <si>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</si>
  <si>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</si>
  <si>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</si>
  <si>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</si>
  <si>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</si>
  <si>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</si>
  <si>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</si>
  <si>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</si>
  <si>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</si>
  <si>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</si>
  <si>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</si>
  <si>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</si>
  <si>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</si>
  <si>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</si>
  <si>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</si>
  <si>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</si>
  <si>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</si>
  <si>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</si>
  <si>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</si>
  <si>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</si>
  <si>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</si>
  <si>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</si>
  <si>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</si>
  <si>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</si>
  <si>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</si>
  <si>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</si>
  <si>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</si>
  <si>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</si>
  <si>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</si>
  <si>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</si>
  <si>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</si>
  <si>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</si>
  <si>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</si>
  <si>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</si>
  <si>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</si>
  <si>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</si>
  <si>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</si>
  <si>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</si>
  <si>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</si>
  <si>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</si>
  <si>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</si>
  <si>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</si>
  <si>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</si>
  <si>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</si>
  <si>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</si>
  <si>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</si>
  <si>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</si>
  <si>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</si>
  <si>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</si>
  <si>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</si>
  <si>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</si>
  <si>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</si>
  <si>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</si>
  <si>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</si>
  <si>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</si>
  <si>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</si>
  <si>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</si>
  <si>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</si>
  <si>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</si>
  <si>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</si>
  <si>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</si>
  <si>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</si>
  <si>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</si>
  <si>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</si>
  <si>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</si>
  <si>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</si>
  <si>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</si>
  <si>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</si>
  <si>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</si>
  <si>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</si>
  <si>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</si>
  <si>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</si>
  <si>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</si>
  <si>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</si>
  <si>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</si>
  <si>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</si>
  <si>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</si>
  <si>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</si>
  <si>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</si>
  <si>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</si>
  <si>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</si>
  <si>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</si>
  <si>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</si>
  <si>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</si>
  <si>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</si>
  <si>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</si>
  <si>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</si>
  <si>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</si>
  <si>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</si>
  <si>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</si>
  <si>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</si>
  <si>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</si>
  <si>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</si>
  <si>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</si>
  <si>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</si>
  <si>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</si>
  <si>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</si>
  <si>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</si>
  <si>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</si>
  <si>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</si>
  <si>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</si>
  <si>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</si>
  <si>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</si>
  <si>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</si>
  <si>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</si>
  <si>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</si>
  <si>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</si>
  <si>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</si>
  <si>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</si>
  <si>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</si>
  <si>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</si>
  <si>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</si>
  <si>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</si>
  <si>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</si>
  <si>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</si>
  <si>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</si>
  <si>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</si>
  <si>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</si>
  <si>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</si>
  <si>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</si>
  <si>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</si>
  <si>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</si>
  <si>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</si>
  <si>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</si>
  <si>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</si>
  <si>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</si>
  <si>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</si>
  <si>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</si>
  <si>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</si>
  <si>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</si>
  <si>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</si>
  <si>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</si>
  <si>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</si>
  <si>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</si>
  <si>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</si>
  <si>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</si>
  <si>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</si>
  <si>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</si>
  <si>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</si>
  <si>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</si>
  <si>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</si>
  <si>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</si>
  <si>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</si>
  <si>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</si>
  <si>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</si>
  <si>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</si>
  <si>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</si>
  <si>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</si>
  <si>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</si>
  <si>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</si>
  <si>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</si>
  <si>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</si>
  <si>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</si>
  <si>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</si>
  <si>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</si>
  <si>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</si>
  <si>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</si>
  <si>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</si>
  <si>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</si>
  <si>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</si>
  <si>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</si>
  <si>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</si>
  <si>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</si>
  <si>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</si>
  <si>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</si>
  <si>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</si>
  <si>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</si>
  <si>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</si>
  <si>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</si>
  <si>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</si>
  <si>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</si>
  <si>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</si>
  <si>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</si>
  <si>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</si>
  <si>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</si>
  <si>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</si>
  <si>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</si>
  <si>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</si>
  <si>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</si>
  <si>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</si>
  <si>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</si>
  <si>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</si>
  <si>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</si>
  <si>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</si>
  <si>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</si>
  <si>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</si>
  <si>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</si>
  <si>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</si>
  <si>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</si>
  <si>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</si>
  <si>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</si>
  <si>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</si>
  <si>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</si>
  <si>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</si>
  <si>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</si>
  <si>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</si>
  <si>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</si>
  <si>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</si>
  <si>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</si>
  <si>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</si>
  <si>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</si>
  <si>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</si>
  <si>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</si>
  <si>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</si>
  <si>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</si>
  <si>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</si>
  <si>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</si>
  <si>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</si>
  <si>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</si>
  <si>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</si>
  <si>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</si>
  <si>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</si>
  <si>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</si>
  <si>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</si>
  <si>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</si>
  <si>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</si>
  <si>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</si>
  <si>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</si>
  <si>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</si>
  <si>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</si>
  <si>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</si>
  <si>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</si>
  <si>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</si>
  <si>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</si>
  <si>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</si>
  <si>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</si>
  <si>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</si>
  <si>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</si>
  <si>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</si>
  <si>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</si>
  <si>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</si>
  <si>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</si>
  <si>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</si>
  <si>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</si>
  <si>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</si>
  <si>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</si>
  <si>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</si>
  <si>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</si>
  <si>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</si>
  <si>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</si>
  <si>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</si>
  <si>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</si>
  <si>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</si>
  <si>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</si>
  <si>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</si>
  <si>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</si>
  <si>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</si>
  <si>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</si>
  <si>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</si>
  <si>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</si>
  <si>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</si>
  <si>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</si>
  <si>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</si>
  <si>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</si>
  <si>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</si>
  <si>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</si>
  <si>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</si>
  <si>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</si>
  <si>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</si>
  <si>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</si>
  <si>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</si>
  <si>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</si>
  <si>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</si>
  <si>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</si>
  <si>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</si>
  <si>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</si>
  <si>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</si>
  <si>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</si>
  <si>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</si>
  <si>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</si>
  <si>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</si>
  <si>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</si>
  <si>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</si>
  <si>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</si>
  <si>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</si>
  <si>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</si>
  <si>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</si>
  <si>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</si>
  <si>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</si>
  <si>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</si>
  <si>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</si>
  <si>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</si>
  <si>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</si>
  <si>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</si>
  <si>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</si>
  <si>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</si>
  <si>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</si>
  <si>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</si>
  <si>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</si>
  <si>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</si>
  <si>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</si>
  <si>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</si>
  <si>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</si>
  <si>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</si>
  <si>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</si>
  <si>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</si>
  <si>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</si>
  <si>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</si>
  <si>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</si>
  <si>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</si>
  <si>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</si>
  <si>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</si>
  <si>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</si>
  <si>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</si>
  <si>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</si>
  <si>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</si>
  <si>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</si>
  <si>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</si>
  <si>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</si>
  <si>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</si>
  <si>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</si>
  <si>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</si>
  <si>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</si>
  <si>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</si>
  <si>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</si>
  <si>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</si>
  <si>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</si>
  <si>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</si>
  <si>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</si>
  <si>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</si>
  <si>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</si>
  <si>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</si>
  <si>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</si>
  <si>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</si>
  <si>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</si>
  <si>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</si>
  <si>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</si>
  <si>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</si>
  <si>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</si>
  <si>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</si>
  <si>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</si>
  <si>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</si>
  <si>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</si>
  <si>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</si>
  <si>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</si>
  <si>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</si>
  <si>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</si>
  <si>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</si>
  <si>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</si>
  <si>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</si>
  <si>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</si>
  <si>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</si>
  <si>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</si>
  <si>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</si>
  <si>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</si>
  <si>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</si>
  <si>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</si>
  <si>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</si>
  <si>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</si>
  <si>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</si>
  <si>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</si>
  <si>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</si>
  <si>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</si>
  <si>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</si>
  <si>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</si>
  <si>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</si>
  <si>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</si>
  <si>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</si>
  <si>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</si>
  <si>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</si>
  <si>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</si>
  <si>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</si>
  <si>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</si>
  <si>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</si>
  <si>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</si>
  <si>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</si>
  <si>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</si>
  <si>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</si>
  <si>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</si>
  <si>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</si>
  <si>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</si>
  <si>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</si>
  <si>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</si>
  <si>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</si>
  <si>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</si>
  <si>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</si>
  <si>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</si>
  <si>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</si>
  <si>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</si>
  <si>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</si>
  <si>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</si>
  <si>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</si>
  <si>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</si>
  <si>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</si>
  <si>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</si>
  <si>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</si>
  <si>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</si>
  <si>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</si>
  <si>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</si>
  <si>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</si>
  <si>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</si>
  <si>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</si>
  <si>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</si>
  <si>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</si>
  <si>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</si>
  <si>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</si>
  <si>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</si>
  <si>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</si>
  <si>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</si>
  <si>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</si>
  <si>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</si>
  <si>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</si>
  <si>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</si>
  <si>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</si>
  <si>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</si>
  <si>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</si>
  <si>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</si>
  <si>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五矿国际信托有限公司</t>
    <phoneticPr fontId="6" type="noConversion"/>
  </si>
  <si>
    <t>五矿国际信托有限公司</t>
    <phoneticPr fontId="6" type="noConversion"/>
  </si>
  <si>
    <t>武汉锦联房地产有限公司</t>
    <phoneticPr fontId="6" type="noConversion"/>
  </si>
  <si>
    <t>抵押</t>
  </si>
  <si>
    <t>抵押价格</t>
  </si>
  <si>
    <t>其他：</t>
  </si>
  <si>
    <t>武汉市</t>
    <phoneticPr fontId="6" type="noConversion"/>
  </si>
  <si>
    <t>东湖新技术开发区花城大道以东、土吴路以西、松涛路以南</t>
    <phoneticPr fontId="6" type="noConversion"/>
  </si>
  <si>
    <t>企业</t>
  </si>
  <si>
    <t>《不动产权证书》[鄂（2016）武汉市东开不动产权第0000057号]</t>
    <phoneticPr fontId="6" type="noConversion"/>
  </si>
  <si>
    <t>城镇住宅用地、科教用地</t>
    <phoneticPr fontId="6" type="noConversion"/>
  </si>
  <si>
    <t>城镇住宅用地、科教用地</t>
    <phoneticPr fontId="6" type="noConversion"/>
  </si>
  <si>
    <t>《国有建设用地使用权出让合同》[合同编号：鄂WH（DHK）-2015-00048]及附件、《经济技术指标》</t>
    <phoneticPr fontId="6" type="noConversion"/>
  </si>
  <si>
    <t>一致</t>
  </si>
  <si>
    <t>符合</t>
  </si>
  <si>
    <t>出让</t>
  </si>
  <si>
    <t>《国有建设用地使用权出让合同》[合同编号：鄂WH（DHK）-2015-00048]及附件、《经济技术指标》</t>
    <phoneticPr fontId="3" type="noConversion"/>
  </si>
  <si>
    <t>《不动产权证书》[鄂（2016）武汉市东开不动产权第0000057号]</t>
    <phoneticPr fontId="3" type="noConversion"/>
  </si>
  <si>
    <t>否</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</si>
  <si>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</si>
  <si>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</si>
  <si>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</si>
  <si>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</si>
  <si>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</si>
  <si>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</si>
  <si>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</si>
  <si>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</si>
  <si>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</si>
  <si>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</si>
  <si>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</si>
  <si>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</si>
  <si>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</si>
  <si>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</si>
  <si>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</si>
  <si>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</si>
  <si>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</si>
  <si>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</si>
  <si>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</si>
  <si>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</si>
  <si>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</si>
  <si>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</si>
  <si>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</si>
  <si>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</si>
  <si>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</si>
  <si>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</si>
  <si>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</si>
  <si>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</si>
  <si>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</si>
  <si>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</si>
  <si>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</si>
  <si>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</si>
  <si>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</si>
  <si>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</si>
  <si>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</si>
  <si>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</si>
  <si>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</si>
  <si>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项目全部</t>
  </si>
  <si>
    <t>土地</t>
  </si>
  <si>
    <t>P（2017）057号</t>
    <phoneticPr fontId="3" type="noConversion"/>
  </si>
  <si>
    <t>楼面地价</t>
  </si>
  <si>
    <t>P（2017）167号</t>
    <phoneticPr fontId="3" type="noConversion"/>
  </si>
  <si>
    <t>P（2017）168号</t>
    <phoneticPr fontId="3" type="noConversion"/>
  </si>
  <si>
    <t>叠拼别墅</t>
  </si>
  <si>
    <t>叠拼别墅</t>
    <phoneticPr fontId="3" type="noConversion"/>
  </si>
  <si>
    <t>商业配套</t>
  </si>
  <si>
    <t>商业配套</t>
    <phoneticPr fontId="3" type="noConversion"/>
  </si>
  <si>
    <t>地上</t>
  </si>
  <si>
    <t>平层住宅</t>
  </si>
  <si>
    <t>高层</t>
  </si>
  <si>
    <t>高层住宅</t>
  </si>
  <si>
    <t>高层住宅</t>
    <phoneticPr fontId="3" type="noConversion"/>
  </si>
  <si>
    <t>中高层住宅</t>
  </si>
  <si>
    <t>中高层住宅</t>
    <phoneticPr fontId="3" type="noConversion"/>
  </si>
  <si>
    <t>地下车库</t>
    <phoneticPr fontId="3" type="noConversion"/>
  </si>
  <si>
    <t>地下</t>
  </si>
  <si>
    <t>车库</t>
  </si>
  <si>
    <t>商业</t>
  </si>
  <si>
    <t>住宅</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</si>
  <si>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</si>
  <si>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有</t>
    <phoneticPr fontId="26" type="noConversion"/>
  </si>
  <si>
    <t>无</t>
    <phoneticPr fontId="26" type="noConversion"/>
  </si>
  <si>
    <t>有</t>
    <phoneticPr fontId="26" type="noConversion"/>
  </si>
  <si>
    <t>武汉监测指标情况一览表</t>
  </si>
  <si>
    <t>时间</t>
  </si>
  <si>
    <t>水平值</t>
  </si>
  <si>
    <t>环比增长率</t>
  </si>
  <si>
    <t>指数</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</si>
  <si>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</si>
  <si>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</si>
  <si>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</si>
  <si>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</si>
  <si>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</si>
  <si>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</si>
  <si>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</si>
  <si>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</si>
  <si>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</si>
  <si>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</si>
  <si>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</si>
  <si>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</si>
  <si>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</si>
  <si>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</si>
  <si>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</si>
  <si>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</si>
  <si>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</si>
  <si>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</si>
  <si>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</si>
  <si>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</si>
  <si>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</si>
  <si>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</si>
  <si>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60-70（含）</t>
  </si>
  <si>
    <t>主干道</t>
    <phoneticPr fontId="21" type="noConversion"/>
  </si>
  <si>
    <t>高层</t>
    <phoneticPr fontId="21" type="noConversion"/>
  </si>
  <si>
    <t>中高层</t>
  </si>
  <si>
    <t>中高层</t>
    <phoneticPr fontId="21" type="noConversion"/>
  </si>
  <si>
    <t>叠拼</t>
  </si>
  <si>
    <t>叠拼</t>
    <phoneticPr fontId="21" type="noConversion"/>
  </si>
  <si>
    <t>钢混</t>
  </si>
  <si>
    <t>高档</t>
  </si>
  <si>
    <t>精装修</t>
  </si>
  <si>
    <t>专业</t>
  </si>
  <si>
    <t>平层</t>
  </si>
  <si>
    <t>80-120</t>
    <phoneticPr fontId="21" type="noConversion"/>
  </si>
  <si>
    <t>联投花山郡</t>
    <phoneticPr fontId="3" type="noConversion"/>
  </si>
  <si>
    <t>联投光谷瑞园</t>
    <phoneticPr fontId="3" type="noConversion"/>
  </si>
  <si>
    <t>绿地光谷中心城</t>
    <phoneticPr fontId="3" type="noConversion"/>
  </si>
  <si>
    <t>80-120</t>
    <phoneticPr fontId="21" type="noConversion"/>
  </si>
  <si>
    <t>80-120</t>
    <phoneticPr fontId="21" type="noConversion"/>
  </si>
  <si>
    <t>毛坯</t>
  </si>
  <si>
    <t>85-120</t>
    <phoneticPr fontId="21" type="noConversion"/>
  </si>
  <si>
    <t>售价</t>
  </si>
  <si>
    <t>好</t>
  </si>
  <si>
    <t>和昌光谷未来城</t>
    <phoneticPr fontId="3" type="noConversion"/>
  </si>
  <si>
    <t>双拼</t>
  </si>
  <si>
    <t>双拼</t>
    <phoneticPr fontId="21" type="noConversion"/>
  </si>
  <si>
    <t>土地（套用方法）</t>
  </si>
  <si>
    <t>一层</t>
    <phoneticPr fontId="3" type="noConversion"/>
  </si>
  <si>
    <t>二层</t>
    <phoneticPr fontId="3" type="noConversion"/>
  </si>
  <si>
    <t>押一</t>
  </si>
  <si>
    <t>不动产收益法</t>
  </si>
  <si>
    <t>联投花山郡</t>
    <phoneticPr fontId="3" type="noConversion"/>
  </si>
  <si>
    <t>联投花山郡</t>
    <phoneticPr fontId="3" type="noConversion"/>
  </si>
  <si>
    <t>联投光谷瑞园</t>
    <phoneticPr fontId="3" type="noConversion"/>
  </si>
  <si>
    <t>联投光谷瑞园</t>
    <phoneticPr fontId="3" type="noConversion"/>
  </si>
  <si>
    <t>绿地光谷中心城</t>
    <phoneticPr fontId="3" type="noConversion"/>
  </si>
  <si>
    <t>绿地光谷中心城</t>
    <phoneticPr fontId="3" type="noConversion"/>
  </si>
  <si>
    <t>地下车库</t>
    <phoneticPr fontId="27" type="noConversion"/>
  </si>
  <si>
    <t>精装</t>
  </si>
  <si>
    <t>精装</t>
    <phoneticPr fontId="27" type="noConversion"/>
  </si>
  <si>
    <t>专业</t>
    <phoneticPr fontId="27" type="noConversion"/>
  </si>
  <si>
    <t>平面</t>
  </si>
  <si>
    <t>平面</t>
    <phoneticPr fontId="27" type="noConversion"/>
  </si>
  <si>
    <t>否</t>
    <phoneticPr fontId="27" type="noConversion"/>
  </si>
  <si>
    <t>40-50（含）</t>
  </si>
  <si>
    <t>元/车位</t>
  </si>
  <si>
    <t>地下车库</t>
    <phoneticPr fontId="27" type="noConversion"/>
  </si>
  <si>
    <t>比较法-住宅、综合</t>
  </si>
  <si>
    <t>剩余法-待开发</t>
  </si>
  <si>
    <t>住宅67.61年、商业37.59年、地下车库47.6年</t>
    <phoneticPr fontId="6" type="noConversion"/>
  </si>
  <si>
    <t>按租金收入计税</t>
  </si>
  <si>
    <t>三层</t>
    <phoneticPr fontId="3" type="noConversion"/>
  </si>
  <si>
    <t>溢价</t>
    <phoneticPr fontId="26" type="noConversion"/>
  </si>
  <si>
    <t>有</t>
    <phoneticPr fontId="26" type="noConversion"/>
  </si>
  <si>
    <t>无</t>
    <phoneticPr fontId="26" type="noConversion"/>
  </si>
  <si>
    <t>武汉锦联房地产有限公司</t>
    <phoneticPr fontId="6" type="noConversion"/>
  </si>
  <si>
    <t>东湖新技术开发区花城北路以北、双谷路以西</t>
    <phoneticPr fontId="3" type="noConversion"/>
  </si>
  <si>
    <t>东湖新技术开发区花山大道以西、春和路以南</t>
    <phoneticPr fontId="3" type="noConversion"/>
  </si>
  <si>
    <t>东湖新技术开发区花山大道以东、大长山路以北</t>
    <phoneticPr fontId="3" type="noConversion"/>
  </si>
  <si>
    <r>
      <rPr>
        <sz val="11"/>
        <color indexed="8"/>
        <rFont val="宋体"/>
        <family val="3"/>
        <charset val="134"/>
      </rPr>
      <t>住宅</t>
    </r>
    <r>
      <rPr>
        <sz val="11"/>
        <color indexed="8"/>
        <rFont val="Arial"/>
        <family val="2"/>
      </rPr>
      <t>67.61</t>
    </r>
    <r>
      <rPr>
        <sz val="11"/>
        <color indexed="8"/>
        <rFont val="宋体"/>
        <family val="3"/>
        <charset val="134"/>
      </rPr>
      <t>年、商业</t>
    </r>
    <r>
      <rPr>
        <sz val="11"/>
        <color indexed="8"/>
        <rFont val="Arial"/>
        <family val="2"/>
      </rPr>
      <t>37.59</t>
    </r>
    <r>
      <rPr>
        <sz val="11"/>
        <color indexed="8"/>
        <rFont val="宋体"/>
        <family val="3"/>
        <charset val="134"/>
      </rPr>
      <t>年、科教</t>
    </r>
    <r>
      <rPr>
        <sz val="11"/>
        <color indexed="8"/>
        <rFont val="Arial"/>
        <family val="2"/>
      </rPr>
      <t>47.6</t>
    </r>
    <r>
      <rPr>
        <sz val="11"/>
        <color indexed="8"/>
        <rFont val="宋体"/>
        <family val="3"/>
        <charset val="134"/>
      </rPr>
      <t>年、地下车库</t>
    </r>
    <r>
      <rPr>
        <sz val="11"/>
        <color indexed="8"/>
        <rFont val="Arial"/>
        <family val="2"/>
      </rPr>
      <t>47.6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</si>
  <si>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</si>
  <si>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双面临街</t>
  </si>
  <si>
    <t>光谷澎湃城奥山府</t>
    <phoneticPr fontId="3" type="noConversion"/>
  </si>
  <si>
    <t>国采光立方</t>
    <phoneticPr fontId="3" type="noConversion"/>
  </si>
  <si>
    <t>非个人房产</t>
  </si>
  <si>
    <t>购房发票</t>
  </si>
  <si>
    <t>表二</t>
  </si>
  <si>
    <t>费用名称</t>
  </si>
  <si>
    <t>收费标准及计算方法</t>
  </si>
  <si>
    <t>概算金额（万元）</t>
  </si>
  <si>
    <t>一、</t>
  </si>
  <si>
    <t>征地费用</t>
  </si>
  <si>
    <t>土地款</t>
  </si>
  <si>
    <t>契税</t>
  </si>
  <si>
    <t>二、</t>
  </si>
  <si>
    <t>行政事业性收费与前期工程费用</t>
  </si>
  <si>
    <t>行政事业性收费</t>
  </si>
  <si>
    <t>报批报建费</t>
  </si>
  <si>
    <r>
      <t>1.1</t>
    </r>
    <r>
      <rPr>
        <sz val="10"/>
        <rFont val="宋体"/>
        <family val="3"/>
        <charset val="134"/>
      </rPr>
      <t>.1</t>
    </r>
  </si>
  <si>
    <t>基础设施建设配套费</t>
  </si>
  <si>
    <r>
      <t>1.</t>
    </r>
    <r>
      <rPr>
        <sz val="10"/>
        <rFont val="宋体"/>
        <family val="3"/>
        <charset val="134"/>
      </rPr>
      <t>1.2</t>
    </r>
  </si>
  <si>
    <t>新型墙体基金</t>
  </si>
  <si>
    <t>8元/㎡×总建筑面积（含地下）</t>
  </si>
  <si>
    <r>
      <t>1</t>
    </r>
    <r>
      <rPr>
        <sz val="10"/>
        <rFont val="宋体"/>
        <family val="3"/>
        <charset val="134"/>
      </rPr>
      <t>.1.3</t>
    </r>
  </si>
  <si>
    <t>其他报批报建费</t>
  </si>
  <si>
    <t>65元/㎡×总建筑面积（含地下）</t>
  </si>
  <si>
    <t>定额外专项检测费</t>
  </si>
  <si>
    <t>15元/㎡×总建筑面积（含地下）</t>
  </si>
  <si>
    <t>增容配套费</t>
  </si>
  <si>
    <t>前期工程费</t>
  </si>
  <si>
    <t>三通工程费</t>
  </si>
  <si>
    <t>4.8元/㎡×总建筑面积（含地下）</t>
  </si>
  <si>
    <t>土石方工程</t>
  </si>
  <si>
    <t>28元/㎡×地下室面积×5</t>
  </si>
  <si>
    <t>临时设施</t>
  </si>
  <si>
    <t>9.5元/㎡×总建筑面积（含地下）</t>
  </si>
  <si>
    <t>勘测丈量费</t>
  </si>
  <si>
    <t>规划设计费</t>
  </si>
  <si>
    <t>52元/㎡×总建筑面积（含地下）</t>
  </si>
  <si>
    <t>独立样板房和独立售楼部（含建造和装修）</t>
  </si>
  <si>
    <t>三</t>
  </si>
  <si>
    <t>土建及配套工程费用</t>
  </si>
  <si>
    <t>土建工程</t>
  </si>
  <si>
    <t xml:space="preserve">      基础工程费</t>
  </si>
  <si>
    <t>185元/㎡×总建筑面积（含地下）</t>
  </si>
  <si>
    <t xml:space="preserve">      双拼别墅</t>
  </si>
  <si>
    <t>1400元/㎡×建筑面积</t>
  </si>
  <si>
    <t xml:space="preserve">      高层洋房</t>
  </si>
  <si>
    <t>1080元/㎡×建筑面积</t>
  </si>
  <si>
    <t xml:space="preserve">      商业及配套</t>
  </si>
  <si>
    <t>1400元/㎡×（商业建筑面积+配套建筑面积）</t>
  </si>
  <si>
    <t xml:space="preserve">      地下室</t>
  </si>
  <si>
    <t>1290元/㎡×地下室面积</t>
  </si>
  <si>
    <r>
      <t xml:space="preserve"> </t>
    </r>
    <r>
      <rPr>
        <sz val="10"/>
        <rFont val="宋体"/>
        <family val="3"/>
        <charset val="134"/>
      </rPr>
      <t xml:space="preserve">     </t>
    </r>
    <r>
      <rPr>
        <sz val="10"/>
        <rFont val="宋体"/>
        <family val="3"/>
        <charset val="134"/>
      </rPr>
      <t>门窗工程</t>
    </r>
  </si>
  <si>
    <t>123元/㎡×总建筑面积（含地下）</t>
  </si>
  <si>
    <r>
      <t xml:space="preserve"> </t>
    </r>
    <r>
      <rPr>
        <sz val="10"/>
        <rFont val="宋体"/>
        <family val="3"/>
        <charset val="134"/>
      </rPr>
      <t xml:space="preserve">     </t>
    </r>
    <r>
      <rPr>
        <sz val="10"/>
        <rFont val="宋体"/>
        <family val="3"/>
        <charset val="134"/>
      </rPr>
      <t xml:space="preserve">公共部位装修  </t>
    </r>
  </si>
  <si>
    <t>63元/㎡×高层洋房建筑面积</t>
  </si>
  <si>
    <t xml:space="preserve">      外立面装修</t>
  </si>
  <si>
    <t>71元/㎡×可销售总建筑面积</t>
  </si>
  <si>
    <t xml:space="preserve">      栏杆工程（阳台露台护窗栏杆）</t>
  </si>
  <si>
    <t>20元/㎡×可销售总建筑面积</t>
  </si>
  <si>
    <t>室内精装修工程</t>
  </si>
  <si>
    <t>1000元/㎡×建筑面积</t>
  </si>
  <si>
    <t>主体安装工程</t>
  </si>
  <si>
    <t>主体水暖电消防空调</t>
  </si>
  <si>
    <t>144元/㎡×总建筑面积（含地下）</t>
  </si>
  <si>
    <t>太阳能热水工程</t>
  </si>
  <si>
    <t>29元/㎡×高层建筑面积</t>
  </si>
  <si>
    <t>单体智能化工程</t>
  </si>
  <si>
    <t>14元/㎡×可销售总建筑面积</t>
  </si>
  <si>
    <t>电梯工程</t>
  </si>
  <si>
    <t>53元/㎡×高层建筑面积</t>
  </si>
  <si>
    <t>机械停车位</t>
  </si>
  <si>
    <t>发电机及安装</t>
  </si>
  <si>
    <t>8万×4</t>
  </si>
  <si>
    <t>不可预见费</t>
  </si>
  <si>
    <t>1.5%×（土建工程+室内装修+主体按照）</t>
  </si>
  <si>
    <t>四</t>
  </si>
  <si>
    <t>公共配套等费用</t>
  </si>
  <si>
    <t>景观环境工程</t>
  </si>
  <si>
    <t>165元/㎡×总建筑面积（含地下）</t>
  </si>
  <si>
    <t>社区管网工程</t>
  </si>
  <si>
    <t>289元/㎡×总建筑面积（含地下）</t>
  </si>
  <si>
    <t>公共配套设施</t>
  </si>
  <si>
    <t>141元/㎡×总建筑面积（含地下）</t>
  </si>
  <si>
    <t>开发间接费用</t>
  </si>
  <si>
    <t>开发建设投资合计（不含土地、税费）</t>
  </si>
  <si>
    <t>开发建设投资合计（不含税费）</t>
  </si>
  <si>
    <t>五、</t>
  </si>
  <si>
    <t>期间费用</t>
  </si>
  <si>
    <t>销售费用</t>
  </si>
  <si>
    <t>2.0%×销售额(万元)</t>
  </si>
  <si>
    <t>管理费</t>
  </si>
  <si>
    <t>1.7%×销售额(万元)</t>
  </si>
  <si>
    <t>贷款利息</t>
  </si>
  <si>
    <t>总投资合计（不含税）</t>
  </si>
  <si>
    <r>
      <t>（容积率=2.2，净用地面积＝117985㎡（176</t>
    </r>
    <r>
      <rPr>
        <sz val="10"/>
        <rFont val="宋体"/>
        <family val="3"/>
        <charset val="134"/>
      </rPr>
      <t>亩））</t>
    </r>
    <phoneticPr fontId="3" type="noConversion"/>
  </si>
  <si>
    <r>
      <t>6</t>
    </r>
    <r>
      <rPr>
        <sz val="9"/>
        <rFont val="宋体"/>
        <family val="3"/>
        <charset val="134"/>
      </rPr>
      <t>0</t>
    </r>
    <r>
      <rPr>
        <sz val="9"/>
        <rFont val="宋体"/>
        <family val="3"/>
        <charset val="134"/>
      </rPr>
      <t>元/㎡×总建筑面积（含地下）</t>
    </r>
    <phoneticPr fontId="3" type="noConversion"/>
  </si>
  <si>
    <t>16元/㎡×总建筑面积（含地下）</t>
    <phoneticPr fontId="3" type="noConversion"/>
  </si>
  <si>
    <t>91元/㎡×总建筑面积（含地下）</t>
    <phoneticPr fontId="3" type="noConversion"/>
  </si>
  <si>
    <t>含学校、幼儿园</t>
    <phoneticPr fontId="3" type="noConversion"/>
  </si>
  <si>
    <t>工程建设其他费用</t>
    <phoneticPr fontId="3" type="noConversion"/>
  </si>
  <si>
    <t>该项费用中含维修基金费用：</t>
    <phoneticPr fontId="3" type="noConversion"/>
  </si>
  <si>
    <r>
      <t>成本约为65</t>
    </r>
    <r>
      <rPr>
        <sz val="11"/>
        <color theme="1"/>
        <rFont val="宋体"/>
        <family val="3"/>
        <charset val="134"/>
        <scheme val="minor"/>
      </rPr>
      <t>元/㎡×总建筑面积（含地下）</t>
    </r>
    <phoneticPr fontId="3" type="noConversion"/>
  </si>
  <si>
    <r>
      <t>1</t>
    </r>
    <r>
      <rPr>
        <sz val="9"/>
        <rFont val="宋体"/>
        <family val="3"/>
        <charset val="134"/>
      </rPr>
      <t>00</t>
    </r>
    <r>
      <rPr>
        <sz val="9"/>
        <rFont val="宋体"/>
        <family val="3"/>
        <charset val="134"/>
      </rPr>
      <t>元/㎡×总建筑面积（含地下）</t>
    </r>
    <phoneticPr fontId="3" type="noConversion"/>
  </si>
  <si>
    <t>6亿元开发贷</t>
    <phoneticPr fontId="3"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</si>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</sst>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_ ;_ * \-#,##0_ ;_ * &quot;-&quot;_ ;_ @_ "/>
    <numFmt numFmtId="195" formatCode="_ * #,##0.00_ ;_ * \-#,##0.00_ ;_ * &quot;-&quot;??_ ;_ @_ "/>
    <numFmt numFmtId="196" formatCode="#,##0_);[Red]\(#,##0\)"/>
    <numFmt numFmtId="197" formatCode="_ * #,##0_ ;_ * \-#,##0_ ;_ * &quot;-&quot;??_ ;_ @_ "/>
    <numFmt numFmtId="198" formatCode="_(&quot;$&quot;* #,##0_);_(&quot;$&quot;* \(#,##0\);_(&quot;$&quot;* &quot;-&quot;_);_(@_)"/>
    <numFmt numFmtId="199" formatCode="#\ ##0.00"/>
    <numFmt numFmtId="200" formatCode="#,##0.0_);\(#,##0.0\)"/>
    <numFmt numFmtId="201" formatCode="&quot;$&quot;#,##0.00;[Red]\-&quot;$&quot;#,##0.00"/>
    <numFmt numFmtId="202" formatCode="_(&quot;$&quot;* #,##0.00_);_(&quot;$&quot;* \(#,##0.00\);_(&quot;$&quot;* &quot;-&quot;??_);_(@_)"/>
    <numFmt numFmtId="203" formatCode="#,##0.000_ "/>
    <numFmt numFmtId="204" formatCode="#,##0;\-#,##0;&quot;-&quot;"/>
    <numFmt numFmtId="205" formatCode="mmmm\ d\,\ yyyy"/>
    <numFmt numFmtId="206" formatCode="#,##0.0"/>
    <numFmt numFmtId="207" formatCode="\$#,##0\ ;\(\$#,##0\)"/>
    <numFmt numFmtId="208" formatCode="&quot;$&quot;#,##0;[Red]\-&quot;$&quot;#,##0"/>
    <numFmt numFmtId="209" formatCode="mmm\ dd\,\ yy"/>
    <numFmt numFmtId="210" formatCode="_(&quot;$&quot;* #,##0.0_);_(&quot;$&quot;* \(#,##0.0\);_(&quot;$&quot;* &quot;-&quot;??_);_(@_)"/>
    <numFmt numFmtId="211" formatCode="_(&quot;$&quot;* #,##0_);_(&quot;$&quot;* \(#,##0\);_(&quot;$&quot;* &quot;-&quot;??_);_(@_)"/>
    <numFmt numFmtId="212" formatCode="mm\/dd\/yy_)"/>
    <numFmt numFmtId="213"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s>
  <fonts count="32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8"/>
      <name val="宋体"/>
      <family val="3"/>
      <charset val="134"/>
    </font>
    <font>
      <b/>
      <sz val="18"/>
      <name val="Arial"/>
      <family val="2"/>
    </font>
    <font>
      <sz val="11"/>
      <color indexed="62"/>
      <name val="宋体"/>
      <family val="3"/>
      <charset val="134"/>
    </font>
    <font>
      <b/>
      <sz val="11"/>
      <color indexed="52"/>
      <name val="宋体"/>
      <family val="3"/>
      <charset val="134"/>
    </font>
    <font>
      <sz val="11"/>
      <color indexed="9"/>
      <name val="宋体"/>
      <family val="3"/>
      <charset val="134"/>
    </font>
    <font>
      <sz val="11"/>
      <color indexed="20"/>
      <name val="宋体"/>
      <family val="3"/>
      <charset val="134"/>
    </font>
    <font>
      <b/>
      <sz val="11"/>
      <color indexed="63"/>
      <name val="宋体"/>
      <family val="3"/>
      <charset val="134"/>
    </font>
    <font>
      <sz val="11"/>
      <color indexed="52"/>
      <name val="宋体"/>
      <family val="3"/>
      <charset val="134"/>
    </font>
    <font>
      <b/>
      <sz val="11"/>
      <color indexed="56"/>
      <name val="宋体"/>
      <family val="3"/>
      <charset val="134"/>
    </font>
    <font>
      <b/>
      <sz val="15"/>
      <color indexed="56"/>
      <name val="宋体"/>
      <family val="3"/>
      <charset val="134"/>
    </font>
    <font>
      <b/>
      <sz val="13"/>
      <color indexed="56"/>
      <name val="宋体"/>
      <family val="3"/>
      <charset val="134"/>
    </font>
    <font>
      <b/>
      <sz val="18"/>
      <color indexed="56"/>
      <name val="宋体"/>
      <family val="3"/>
      <charset val="134"/>
    </font>
    <font>
      <sz val="8"/>
      <name val="Arial"/>
      <family val="2"/>
    </font>
    <font>
      <sz val="8"/>
      <color indexed="16"/>
      <name val="Century Schoolbook"/>
      <family val="1"/>
    </font>
    <font>
      <b/>
      <sz val="10"/>
      <name val="MS Sans Serif"/>
      <family val="2"/>
    </font>
    <font>
      <sz val="12"/>
      <name val="Times New Roman"/>
      <family val="1"/>
    </font>
    <font>
      <sz val="12"/>
      <name val="?UAAA?"/>
      <family val="2"/>
    </font>
    <font>
      <i/>
      <sz val="10"/>
      <name val="Times New Roman"/>
      <family val="1"/>
    </font>
    <font>
      <b/>
      <sz val="8"/>
      <color indexed="12"/>
      <name val="Helv"/>
      <family val="2"/>
    </font>
    <font>
      <i/>
      <sz val="11"/>
      <color indexed="23"/>
      <name val="宋体"/>
      <family val="3"/>
      <charset val="134"/>
    </font>
    <font>
      <b/>
      <sz val="11"/>
      <color indexed="9"/>
      <name val="宋体"/>
      <family val="3"/>
      <charset val="134"/>
    </font>
    <font>
      <b/>
      <i/>
      <sz val="10"/>
      <name val="隶书体"/>
      <charset val="134"/>
    </font>
    <font>
      <sz val="9"/>
      <name val="Times New Roman"/>
      <family val="1"/>
    </font>
    <font>
      <sz val="11"/>
      <color indexed="17"/>
      <name val="宋体"/>
      <family val="3"/>
      <charset val="134"/>
    </font>
    <font>
      <sz val="11"/>
      <color indexed="60"/>
      <name val="宋体"/>
      <family val="3"/>
      <charset val="134"/>
    </font>
    <font>
      <sz val="8"/>
      <name val="Century Schoolbook"/>
      <family val="1"/>
    </font>
    <font>
      <sz val="8"/>
      <name val="LinePrinter"/>
      <family val="2"/>
    </font>
    <font>
      <sz val="7"/>
      <name val="Small Fonts"/>
      <family val="2"/>
    </font>
    <font>
      <b/>
      <u/>
      <sz val="8"/>
      <name val="Helv"/>
      <family val="2"/>
    </font>
    <font>
      <sz val="10"/>
      <name val="MS Sans Serif"/>
      <family val="2"/>
    </font>
    <font>
      <b/>
      <sz val="8"/>
      <color indexed="8"/>
      <name val="Helv"/>
      <family val="2"/>
    </font>
    <font>
      <b/>
      <i/>
      <sz val="10"/>
      <name val="Times New Roman"/>
      <family val="1"/>
    </font>
    <font>
      <b/>
      <sz val="8"/>
      <name val="Helv"/>
      <family val="2"/>
    </font>
    <font>
      <b/>
      <i/>
      <sz val="16"/>
      <name val="Helv"/>
      <family val="2"/>
    </font>
    <font>
      <sz val="11"/>
      <name val="蹈框"/>
      <charset val="134"/>
    </font>
    <font>
      <u/>
      <sz val="10"/>
      <color indexed="12"/>
      <name val="MS Sans Serif"/>
      <family val="2"/>
    </font>
    <font>
      <sz val="12"/>
      <name val="바탕체"/>
      <family val="3"/>
      <charset val="134"/>
    </font>
    <font>
      <sz val="10"/>
      <name val="隶书_GB2312"/>
      <charset val="134"/>
    </font>
    <font>
      <sz val="11"/>
      <color rgb="FF9C0006"/>
      <name val="宋体"/>
      <family val="3"/>
      <charset val="134"/>
      <scheme val="minor"/>
    </font>
    <font>
      <u/>
      <sz val="12"/>
      <color theme="10"/>
      <name val="宋体"/>
      <family val="3"/>
      <charset val="134"/>
    </font>
    <font>
      <sz val="11"/>
      <color rgb="FF006100"/>
      <name val="宋体"/>
      <family val="3"/>
      <charset val="134"/>
      <scheme val="minor"/>
    </font>
  </fonts>
  <fills count="4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theme="9" tint="0.39997558519241921"/>
        <bgColor indexed="64"/>
      </patternFill>
    </fill>
    <fill>
      <patternFill patternType="solid">
        <fgColor rgb="FFFFC7CE"/>
        <bgColor indexed="64"/>
      </patternFill>
    </fill>
    <fill>
      <patternFill patternType="solid">
        <fgColor rgb="FFC6EFCE"/>
        <bgColor indexed="64"/>
      </patternFill>
    </fill>
    <fill>
      <patternFill patternType="solid">
        <fgColor theme="0" tint="-9.9978637043366805E-2"/>
        <bgColor indexed="64"/>
      </patternFill>
    </fill>
    <fill>
      <patternFill patternType="solid">
        <fgColor rgb="FFE6E6E6"/>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s>
  <cellStyleXfs count="424">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95"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284" fillId="29" borderId="0" applyNumberFormat="0" applyBorder="0" applyAlignment="0" applyProtection="0">
      <alignment vertical="center"/>
    </xf>
    <xf numFmtId="0" fontId="284" fillId="29" borderId="0" applyNumberFormat="0" applyBorder="0" applyAlignment="0" applyProtection="0">
      <alignment vertical="center"/>
    </xf>
    <xf numFmtId="0" fontId="284" fillId="29" borderId="0" applyNumberFormat="0" applyBorder="0" applyAlignment="0" applyProtection="0">
      <alignment vertical="center"/>
    </xf>
    <xf numFmtId="0" fontId="284" fillId="29" borderId="0" applyNumberFormat="0" applyBorder="0" applyAlignment="0" applyProtection="0">
      <alignment vertical="center"/>
    </xf>
    <xf numFmtId="0" fontId="284" fillId="26" borderId="0" applyNumberFormat="0" applyBorder="0" applyAlignment="0" applyProtection="0">
      <alignment vertical="center"/>
    </xf>
    <xf numFmtId="0" fontId="284" fillId="26" borderId="0" applyNumberFormat="0" applyBorder="0" applyAlignment="0" applyProtection="0">
      <alignment vertical="center"/>
    </xf>
    <xf numFmtId="0" fontId="284" fillId="26" borderId="0" applyNumberFormat="0" applyBorder="0" applyAlignment="0" applyProtection="0">
      <alignment vertical="center"/>
    </xf>
    <xf numFmtId="0" fontId="284" fillId="26" borderId="0" applyNumberFormat="0" applyBorder="0" applyAlignment="0" applyProtection="0">
      <alignment vertical="center"/>
    </xf>
    <xf numFmtId="0" fontId="284" fillId="27" borderId="0" applyNumberFormat="0" applyBorder="0" applyAlignment="0" applyProtection="0">
      <alignment vertical="center"/>
    </xf>
    <xf numFmtId="0" fontId="284" fillId="27" borderId="0" applyNumberFormat="0" applyBorder="0" applyAlignment="0" applyProtection="0">
      <alignment vertical="center"/>
    </xf>
    <xf numFmtId="0" fontId="284" fillId="27" borderId="0" applyNumberFormat="0" applyBorder="0" applyAlignment="0" applyProtection="0">
      <alignment vertical="center"/>
    </xf>
    <xf numFmtId="0" fontId="284" fillId="27"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2" borderId="0" applyNumberFormat="0" applyBorder="0" applyAlignment="0" applyProtection="0">
      <alignment vertical="center"/>
    </xf>
    <xf numFmtId="0" fontId="284" fillId="32" borderId="0" applyNumberFormat="0" applyBorder="0" applyAlignment="0" applyProtection="0">
      <alignment vertical="center"/>
    </xf>
    <xf numFmtId="0" fontId="284" fillId="32" borderId="0" applyNumberFormat="0" applyBorder="0" applyAlignment="0" applyProtection="0">
      <alignment vertical="center"/>
    </xf>
    <xf numFmtId="0" fontId="284" fillId="32" borderId="0" applyNumberFormat="0" applyBorder="0" applyAlignment="0" applyProtection="0">
      <alignment vertical="center"/>
    </xf>
    <xf numFmtId="0" fontId="296" fillId="0" borderId="0">
      <alignment vertical="center"/>
    </xf>
    <xf numFmtId="204" fontId="76" fillId="0" borderId="0" applyFill="0" applyBorder="0" applyAlignment="0">
      <alignment vertical="center"/>
    </xf>
    <xf numFmtId="0" fontId="294" fillId="0" borderId="0" applyNumberFormat="0" applyFill="0" applyBorder="0" applyAlignment="0" applyProtection="0"/>
    <xf numFmtId="195" fontId="32" fillId="0" borderId="0" applyFont="0" applyFill="0" applyBorder="0" applyAlignment="0" applyProtection="0">
      <alignment vertical="center"/>
    </xf>
    <xf numFmtId="3" fontId="32" fillId="0" borderId="0" applyFont="0" applyFill="0" applyBorder="0" applyAlignment="0" applyProtection="0">
      <alignment vertical="center"/>
    </xf>
    <xf numFmtId="206" fontId="43" fillId="0" borderId="0">
      <alignment vertical="center"/>
    </xf>
    <xf numFmtId="207" fontId="32" fillId="0" borderId="0" applyFont="0" applyFill="0" applyBorder="0" applyAlignment="0" applyProtection="0">
      <alignment vertical="center"/>
    </xf>
    <xf numFmtId="205" fontId="43" fillId="0" borderId="0">
      <alignment horizontal="left" vertical="center"/>
    </xf>
    <xf numFmtId="0" fontId="302" fillId="0" borderId="0">
      <alignment horizontal="left" vertical="center"/>
    </xf>
    <xf numFmtId="0" fontId="306" fillId="0" borderId="0">
      <alignment horizontal="left" vertical="center"/>
    </xf>
    <xf numFmtId="2" fontId="32" fillId="0" borderId="0" applyFont="0" applyFill="0" applyBorder="0" applyAlignment="0" applyProtection="0">
      <alignment vertical="center"/>
    </xf>
    <xf numFmtId="0" fontId="292" fillId="33" borderId="0" applyNumberFormat="0" applyBorder="0" applyAlignment="0" applyProtection="0">
      <alignment vertical="center"/>
    </xf>
    <xf numFmtId="0" fontId="97" fillId="0" borderId="37" applyNumberFormat="0" applyAlignment="0" applyProtection="0">
      <alignment horizontal="left" vertical="center"/>
    </xf>
    <xf numFmtId="0" fontId="97" fillId="0" borderId="8">
      <alignment horizontal="left" vertical="center"/>
    </xf>
    <xf numFmtId="0" fontId="281"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310" fillId="0" borderId="0" applyNumberFormat="0" applyAlignment="0">
      <alignment horizontal="left" vertical="center"/>
    </xf>
    <xf numFmtId="0" fontId="297" fillId="0" borderId="0">
      <alignment vertical="center"/>
    </xf>
    <xf numFmtId="0" fontId="292" fillId="34" borderId="2" applyNumberFormat="0" applyBorder="0" applyAlignment="0" applyProtection="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38" fontId="32" fillId="0" borderId="0" applyFont="0" applyFill="0" applyBorder="0" applyAlignment="0" applyProtection="0">
      <alignment vertical="center"/>
    </xf>
    <xf numFmtId="40" fontId="32" fillId="0" borderId="0" applyFont="0" applyFill="0" applyBorder="0" applyAlignment="0" applyProtection="0">
      <alignment vertical="center"/>
    </xf>
    <xf numFmtId="208" fontId="32" fillId="0" borderId="0" applyFont="0" applyFill="0" applyBorder="0" applyAlignment="0" applyProtection="0">
      <alignment vertical="center"/>
    </xf>
    <xf numFmtId="201" fontId="32" fillId="0" borderId="0" applyFont="0" applyFill="0" applyBorder="0" applyAlignment="0" applyProtection="0">
      <alignment vertical="center"/>
    </xf>
    <xf numFmtId="198" fontId="32" fillId="0" borderId="0" applyFont="0" applyFill="0" applyBorder="0" applyAlignment="0" applyProtection="0">
      <alignment vertical="center"/>
    </xf>
    <xf numFmtId="202" fontId="32" fillId="0" borderId="0" applyFont="0" applyFill="0" applyBorder="0" applyAlignment="0" applyProtection="0">
      <alignment vertical="center"/>
    </xf>
    <xf numFmtId="37" fontId="307" fillId="0" borderId="0">
      <alignment vertical="center"/>
    </xf>
    <xf numFmtId="0" fontId="313" fillId="0" borderId="0">
      <alignment vertical="center"/>
    </xf>
    <xf numFmtId="0" fontId="86" fillId="0" borderId="0">
      <alignment vertical="center"/>
    </xf>
    <xf numFmtId="0" fontId="43" fillId="0" borderId="0">
      <alignment horizontal="center" vertical="center"/>
    </xf>
    <xf numFmtId="10" fontId="32" fillId="0" borderId="0" applyFont="0" applyFill="0" applyBorder="0" applyAlignment="0" applyProtection="0">
      <alignment vertical="center"/>
    </xf>
    <xf numFmtId="0" fontId="309" fillId="0" borderId="28" applyNumberFormat="0" applyBorder="0">
      <alignment vertical="center"/>
    </xf>
    <xf numFmtId="199" fontId="298" fillId="0" borderId="0">
      <alignment horizontal="right" vertical="center"/>
    </xf>
    <xf numFmtId="4" fontId="302" fillId="0" borderId="0">
      <alignment horizontal="right" vertical="center"/>
    </xf>
    <xf numFmtId="4" fontId="293" fillId="0" borderId="0">
      <alignment horizontal="right" vertical="center"/>
    </xf>
    <xf numFmtId="0" fontId="294" fillId="0" borderId="0" applyNumberFormat="0" applyFill="0" applyBorder="0" applyAlignment="0" applyProtection="0"/>
    <xf numFmtId="0" fontId="311" fillId="0" borderId="0">
      <alignment horizontal="left" vertical="center"/>
    </xf>
    <xf numFmtId="0" fontId="312" fillId="0" borderId="0">
      <alignment vertical="center"/>
    </xf>
    <xf numFmtId="0" fontId="308" fillId="0" borderId="0">
      <alignment vertical="center"/>
    </xf>
    <xf numFmtId="0" fontId="32" fillId="0" borderId="78" applyNumberFormat="0" applyFont="0" applyFill="0" applyAlignment="0" applyProtection="0">
      <alignment vertical="center"/>
    </xf>
    <xf numFmtId="200" fontId="301" fillId="0" borderId="21">
      <alignment vertical="center"/>
    </xf>
    <xf numFmtId="9" fontId="32" fillId="0" borderId="0" applyFont="0" applyFill="0" applyBorder="0" applyAlignment="0" applyProtection="0">
      <alignment vertical="center"/>
    </xf>
    <xf numFmtId="9" fontId="32" fillId="0" borderId="0" applyFont="0" applyFill="0" applyBorder="0" applyAlignment="0" applyProtection="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81"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0" fontId="289" fillId="0" borderId="156" applyNumberFormat="0" applyFill="0" applyAlignment="0" applyProtection="0">
      <alignment vertical="center"/>
    </xf>
    <xf numFmtId="0" fontId="289" fillId="0" borderId="156" applyNumberFormat="0" applyFill="0" applyAlignment="0" applyProtection="0">
      <alignment vertical="center"/>
    </xf>
    <xf numFmtId="0" fontId="289" fillId="0" borderId="156" applyNumberFormat="0" applyFill="0" applyAlignment="0" applyProtection="0">
      <alignment vertical="center"/>
    </xf>
    <xf numFmtId="0" fontId="289" fillId="0" borderId="156" applyNumberFormat="0" applyFill="0" applyAlignment="0" applyProtection="0">
      <alignment vertical="center"/>
    </xf>
    <xf numFmtId="0" fontId="290" fillId="0" borderId="157" applyNumberFormat="0" applyFill="0" applyAlignment="0" applyProtection="0">
      <alignment vertical="center"/>
    </xf>
    <xf numFmtId="0" fontId="290" fillId="0" borderId="157" applyNumberFormat="0" applyFill="0" applyAlignment="0" applyProtection="0">
      <alignment vertical="center"/>
    </xf>
    <xf numFmtId="0" fontId="290" fillId="0" borderId="157" applyNumberFormat="0" applyFill="0" applyAlignment="0" applyProtection="0">
      <alignment vertical="center"/>
    </xf>
    <xf numFmtId="0" fontId="290" fillId="0" borderId="157" applyNumberFormat="0" applyFill="0" applyAlignment="0" applyProtection="0">
      <alignment vertical="center"/>
    </xf>
    <xf numFmtId="0" fontId="288" fillId="0" borderId="158" applyNumberFormat="0" applyFill="0" applyAlignment="0" applyProtection="0">
      <alignment vertical="center"/>
    </xf>
    <xf numFmtId="0" fontId="288" fillId="0" borderId="158" applyNumberFormat="0" applyFill="0" applyAlignment="0" applyProtection="0">
      <alignment vertical="center"/>
    </xf>
    <xf numFmtId="0" fontId="288" fillId="0" borderId="158" applyNumberFormat="0" applyFill="0" applyAlignment="0" applyProtection="0">
      <alignment vertical="center"/>
    </xf>
    <xf numFmtId="0" fontId="288" fillId="0" borderId="158" applyNumberFormat="0" applyFill="0" applyAlignment="0" applyProtection="0">
      <alignment vertical="center"/>
    </xf>
    <xf numFmtId="0" fontId="288" fillId="0" borderId="0" applyNumberFormat="0" applyFill="0" applyBorder="0" applyAlignment="0" applyProtection="0">
      <alignment vertical="center"/>
    </xf>
    <xf numFmtId="0" fontId="288" fillId="0" borderId="0" applyNumberFormat="0" applyFill="0" applyBorder="0" applyAlignment="0" applyProtection="0">
      <alignment vertical="center"/>
    </xf>
    <xf numFmtId="0" fontId="288" fillId="0" borderId="0" applyNumberFormat="0" applyFill="0" applyBorder="0" applyAlignment="0" applyProtection="0">
      <alignment vertical="center"/>
    </xf>
    <xf numFmtId="0" fontId="288"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4" fontId="305" fillId="0" borderId="0">
      <alignment horizontal="righ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318" fillId="41" borderId="0" applyNumberFormat="0" applyBorder="0" applyAlignment="0" applyProtection="0">
      <alignment vertical="center"/>
    </xf>
    <xf numFmtId="0" fontId="318" fillId="41" borderId="0" applyNumberFormat="0" applyBorder="0" applyAlignment="0" applyProtection="0">
      <alignment vertical="center"/>
    </xf>
    <xf numFmtId="0" fontId="318" fillId="41" borderId="0" applyNumberFormat="0" applyBorder="0" applyAlignment="0" applyProtection="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8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32" fillId="0" borderId="0">
      <alignment vertical="center"/>
    </xf>
    <xf numFmtId="0" fontId="81" fillId="0" borderId="0" applyProtection="0">
      <alignment vertical="center"/>
    </xf>
    <xf numFmtId="0" fontId="81" fillId="0" borderId="0">
      <alignment vertical="center"/>
    </xf>
    <xf numFmtId="0" fontId="81" fillId="0" borderId="0" applyProtection="0">
      <alignment vertical="center"/>
    </xf>
    <xf numFmtId="0" fontId="86" fillId="0" borderId="0">
      <alignment vertical="center"/>
    </xf>
    <xf numFmtId="0" fontId="315"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20" fillId="42" borderId="0" applyNumberFormat="0" applyBorder="0" applyAlignment="0" applyProtection="0">
      <alignment vertical="center"/>
    </xf>
    <xf numFmtId="0" fontId="320" fillId="42" borderId="0" applyNumberFormat="0" applyBorder="0" applyAlignment="0" applyProtection="0">
      <alignment vertical="center"/>
    </xf>
    <xf numFmtId="0" fontId="320" fillId="42" borderId="0" applyNumberFormat="0" applyBorder="0" applyAlignment="0" applyProtection="0">
      <alignment vertical="center"/>
    </xf>
    <xf numFmtId="4" fontId="32" fillId="0" borderId="0" applyFont="0" applyFill="0" applyBorder="0" applyAlignment="0" applyProtection="0">
      <alignment vertical="center"/>
    </xf>
    <xf numFmtId="194" fontId="32" fillId="0" borderId="0" applyFont="0" applyFill="0" applyBorder="0" applyAlignment="0" applyProtection="0">
      <alignment vertical="center"/>
    </xf>
    <xf numFmtId="0" fontId="133" fillId="0" borderId="159" applyNumberFormat="0" applyFill="0" applyAlignment="0" applyProtection="0">
      <alignment vertical="center"/>
    </xf>
    <xf numFmtId="0" fontId="133" fillId="0" borderId="159" applyNumberFormat="0" applyFill="0" applyAlignment="0" applyProtection="0">
      <alignment vertical="center"/>
    </xf>
    <xf numFmtId="0" fontId="133" fillId="0" borderId="159" applyNumberFormat="0" applyFill="0" applyAlignment="0" applyProtection="0">
      <alignment vertical="center"/>
    </xf>
    <xf numFmtId="0" fontId="133" fillId="0" borderId="159" applyNumberFormat="0" applyFill="0" applyAlignment="0" applyProtection="0">
      <alignment vertical="center"/>
    </xf>
    <xf numFmtId="0" fontId="283" fillId="33" borderId="160" applyNumberFormat="0" applyAlignment="0" applyProtection="0">
      <alignment vertical="center"/>
    </xf>
    <xf numFmtId="0" fontId="283" fillId="33" borderId="160" applyNumberFormat="0" applyAlignment="0" applyProtection="0">
      <alignment vertical="center"/>
    </xf>
    <xf numFmtId="0" fontId="283" fillId="33" borderId="160" applyNumberFormat="0" applyAlignment="0" applyProtection="0">
      <alignment vertical="center"/>
    </xf>
    <xf numFmtId="0" fontId="283" fillId="33" borderId="160" applyNumberFormat="0" applyAlignment="0" applyProtection="0">
      <alignment vertical="center"/>
    </xf>
    <xf numFmtId="0" fontId="300" fillId="35" borderId="161" applyNumberFormat="0" applyAlignment="0" applyProtection="0">
      <alignment vertical="center"/>
    </xf>
    <xf numFmtId="0" fontId="300" fillId="35" borderId="161" applyNumberFormat="0" applyAlignment="0" applyProtection="0">
      <alignment vertical="center"/>
    </xf>
    <xf numFmtId="0" fontId="300" fillId="35" borderId="161" applyNumberFormat="0" applyAlignment="0" applyProtection="0">
      <alignment vertical="center"/>
    </xf>
    <xf numFmtId="0" fontId="300" fillId="35" borderId="161" applyNumberFormat="0" applyAlignment="0" applyProtection="0">
      <alignment vertical="center"/>
    </xf>
    <xf numFmtId="0" fontId="299" fillId="0" borderId="0" applyNumberFormat="0" applyFill="0" applyBorder="0" applyAlignment="0" applyProtection="0">
      <alignment vertical="center"/>
    </xf>
    <xf numFmtId="0" fontId="299" fillId="0" borderId="0" applyNumberFormat="0" applyFill="0" applyBorder="0" applyAlignment="0" applyProtection="0">
      <alignment vertical="center"/>
    </xf>
    <xf numFmtId="0" fontId="299" fillId="0" borderId="0" applyNumberFormat="0" applyFill="0" applyBorder="0" applyAlignment="0" applyProtection="0">
      <alignment vertical="center"/>
    </xf>
    <xf numFmtId="0" fontId="299"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87" fillId="0" borderId="162" applyNumberFormat="0" applyFill="0" applyAlignment="0" applyProtection="0">
      <alignment vertical="center"/>
    </xf>
    <xf numFmtId="0" fontId="287" fillId="0" borderId="162" applyNumberFormat="0" applyFill="0" applyAlignment="0" applyProtection="0">
      <alignment vertical="center"/>
    </xf>
    <xf numFmtId="0" fontId="287" fillId="0" borderId="162" applyNumberFormat="0" applyFill="0" applyAlignment="0" applyProtection="0">
      <alignment vertical="center"/>
    </xf>
    <xf numFmtId="0" fontId="287" fillId="0" borderId="162" applyNumberFormat="0" applyFill="0" applyAlignment="0" applyProtection="0">
      <alignment vertical="center"/>
    </xf>
    <xf numFmtId="211" fontId="32" fillId="0" borderId="0" applyFont="0" applyFill="0" applyBorder="0" applyAlignment="0" applyProtection="0">
      <alignment vertical="center"/>
    </xf>
    <xf numFmtId="209" fontId="32" fillId="0" borderId="0" applyFont="0" applyFill="0" applyBorder="0" applyAlignment="0" applyProtection="0">
      <alignment vertical="center"/>
    </xf>
    <xf numFmtId="210" fontId="32" fillId="0" borderId="0" applyFont="0" applyFill="0" applyBorder="0" applyAlignment="0" applyProtection="0">
      <alignment vertical="center"/>
    </xf>
    <xf numFmtId="212" fontId="32" fillId="0" borderId="0" applyFont="0" applyFill="0" applyBorder="0" applyAlignment="0" applyProtection="0">
      <alignment vertical="center"/>
    </xf>
    <xf numFmtId="0" fontId="43" fillId="0" borderId="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0" fontId="32" fillId="0" borderId="0" applyFont="0" applyFill="0" applyBorder="0" applyAlignment="0" applyProtection="0">
      <alignment vertical="center"/>
    </xf>
    <xf numFmtId="0" fontId="32" fillId="0" borderId="0" applyFont="0" applyFill="0" applyBorder="0" applyAlignment="0" applyProtection="0">
      <alignment vertical="center"/>
    </xf>
    <xf numFmtId="195" fontId="32" fillId="0" borderId="0" applyFont="0" applyFill="0" applyBorder="0" applyAlignment="0" applyProtection="0"/>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203" fontId="86" fillId="0" borderId="0" applyFont="0" applyFill="0" applyBorder="0" applyAlignment="0" applyProtection="0"/>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86" fillId="0" borderId="0" applyFont="0" applyFill="0" applyBorder="0" applyAlignment="0" applyProtection="0"/>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81"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0" fontId="314" fillId="0" borderId="0">
      <alignment vertical="center"/>
    </xf>
    <xf numFmtId="0" fontId="284" fillId="36" borderId="0" applyNumberFormat="0" applyBorder="0" applyAlignment="0" applyProtection="0">
      <alignment vertical="center"/>
    </xf>
    <xf numFmtId="0" fontId="284" fillId="36" borderId="0" applyNumberFormat="0" applyBorder="0" applyAlignment="0" applyProtection="0">
      <alignment vertical="center"/>
    </xf>
    <xf numFmtId="0" fontId="284" fillId="36" borderId="0" applyNumberFormat="0" applyBorder="0" applyAlignment="0" applyProtection="0">
      <alignment vertical="center"/>
    </xf>
    <xf numFmtId="0" fontId="284" fillId="36" borderId="0" applyNumberFormat="0" applyBorder="0" applyAlignment="0" applyProtection="0">
      <alignment vertical="center"/>
    </xf>
    <xf numFmtId="0" fontId="284" fillId="4" borderId="0" applyNumberFormat="0" applyBorder="0" applyAlignment="0" applyProtection="0">
      <alignment vertical="center"/>
    </xf>
    <xf numFmtId="0" fontId="284" fillId="4" borderId="0" applyNumberFormat="0" applyBorder="0" applyAlignment="0" applyProtection="0">
      <alignment vertical="center"/>
    </xf>
    <xf numFmtId="0" fontId="284" fillId="4" borderId="0" applyNumberFormat="0" applyBorder="0" applyAlignment="0" applyProtection="0">
      <alignment vertical="center"/>
    </xf>
    <xf numFmtId="0" fontId="284" fillId="4" borderId="0" applyNumberFormat="0" applyBorder="0" applyAlignment="0" applyProtection="0">
      <alignment vertical="center"/>
    </xf>
    <xf numFmtId="0" fontId="284" fillId="37" borderId="0" applyNumberFormat="0" applyBorder="0" applyAlignment="0" applyProtection="0">
      <alignment vertical="center"/>
    </xf>
    <xf numFmtId="0" fontId="284" fillId="37" borderId="0" applyNumberFormat="0" applyBorder="0" applyAlignment="0" applyProtection="0">
      <alignment vertical="center"/>
    </xf>
    <xf numFmtId="0" fontId="284" fillId="37" borderId="0" applyNumberFormat="0" applyBorder="0" applyAlignment="0" applyProtection="0">
      <alignment vertical="center"/>
    </xf>
    <xf numFmtId="0" fontId="284" fillId="37"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8" borderId="0" applyNumberFormat="0" applyBorder="0" applyAlignment="0" applyProtection="0">
      <alignment vertical="center"/>
    </xf>
    <xf numFmtId="0" fontId="284" fillId="38" borderId="0" applyNumberFormat="0" applyBorder="0" applyAlignment="0" applyProtection="0">
      <alignment vertical="center"/>
    </xf>
    <xf numFmtId="0" fontId="284" fillId="38" borderId="0" applyNumberFormat="0" applyBorder="0" applyAlignment="0" applyProtection="0">
      <alignment vertical="center"/>
    </xf>
    <xf numFmtId="0" fontId="284" fillId="38" borderId="0" applyNumberFormat="0" applyBorder="0" applyAlignment="0" applyProtection="0">
      <alignment vertical="center"/>
    </xf>
    <xf numFmtId="0" fontId="304" fillId="39" borderId="0" applyNumberFormat="0" applyBorder="0" applyAlignment="0" applyProtection="0">
      <alignment vertical="center"/>
    </xf>
    <xf numFmtId="0" fontId="304" fillId="39" borderId="0" applyNumberFormat="0" applyBorder="0" applyAlignment="0" applyProtection="0">
      <alignment vertical="center"/>
    </xf>
    <xf numFmtId="0" fontId="304" fillId="39" borderId="0" applyNumberFormat="0" applyBorder="0" applyAlignment="0" applyProtection="0">
      <alignment vertical="center"/>
    </xf>
    <xf numFmtId="0" fontId="304" fillId="39" borderId="0" applyNumberFormat="0" applyBorder="0" applyAlignment="0" applyProtection="0">
      <alignment vertical="center"/>
    </xf>
    <xf numFmtId="0" fontId="286" fillId="33" borderId="163" applyNumberFormat="0" applyAlignment="0" applyProtection="0">
      <alignment vertical="center"/>
    </xf>
    <xf numFmtId="0" fontId="286" fillId="33" borderId="163" applyNumberFormat="0" applyAlignment="0" applyProtection="0">
      <alignment vertical="center"/>
    </xf>
    <xf numFmtId="0" fontId="286" fillId="33" borderId="163" applyNumberFormat="0" applyAlignment="0" applyProtection="0">
      <alignment vertical="center"/>
    </xf>
    <xf numFmtId="0" fontId="286" fillId="33" borderId="163" applyNumberFormat="0" applyAlignment="0" applyProtection="0">
      <alignment vertical="center"/>
    </xf>
    <xf numFmtId="0" fontId="282" fillId="24" borderId="160" applyNumberFormat="0" applyAlignment="0" applyProtection="0">
      <alignment vertical="center"/>
    </xf>
    <xf numFmtId="0" fontId="282" fillId="24" borderId="160" applyNumberFormat="0" applyAlignment="0" applyProtection="0">
      <alignment vertical="center"/>
    </xf>
    <xf numFmtId="0" fontId="282" fillId="24" borderId="160" applyNumberFormat="0" applyAlignment="0" applyProtection="0">
      <alignment vertical="center"/>
    </xf>
    <xf numFmtId="0" fontId="282" fillId="24" borderId="160" applyNumberFormat="0" applyAlignment="0" applyProtection="0">
      <alignment vertical="center"/>
    </xf>
    <xf numFmtId="202" fontId="32" fillId="0" borderId="0" applyFont="0" applyFill="0" applyBorder="0" applyAlignment="0" applyProtection="0">
      <alignment vertical="center"/>
    </xf>
    <xf numFmtId="213" fontId="32" fillId="0" borderId="0" applyFont="0" applyFill="0" applyBorder="0" applyAlignment="0" applyProtection="0">
      <alignment vertical="center"/>
    </xf>
    <xf numFmtId="0" fontId="317" fillId="0" borderId="2" applyNumberFormat="0">
      <alignment vertical="center"/>
    </xf>
    <xf numFmtId="0" fontId="86" fillId="0" borderId="0">
      <alignment vertical="center"/>
    </xf>
    <xf numFmtId="0" fontId="295" fillId="0" borderId="0">
      <alignment vertical="center"/>
    </xf>
    <xf numFmtId="0" fontId="86" fillId="0" borderId="0">
      <alignment vertical="center"/>
    </xf>
    <xf numFmtId="0" fontId="86" fillId="0" borderId="0">
      <alignment vertical="center"/>
    </xf>
    <xf numFmtId="0" fontId="32" fillId="34" borderId="164" applyNumberFormat="0" applyFont="0" applyAlignment="0" applyProtection="0">
      <alignment vertical="center"/>
    </xf>
    <xf numFmtId="0" fontId="32" fillId="34" borderId="164" applyNumberFormat="0" applyFont="0" applyAlignment="0" applyProtection="0">
      <alignment vertical="center"/>
    </xf>
    <xf numFmtId="0" fontId="32" fillId="34" borderId="164" applyNumberFormat="0" applyFont="0" applyAlignment="0" applyProtection="0">
      <alignment vertical="center"/>
    </xf>
    <xf numFmtId="0" fontId="32" fillId="34" borderId="164" applyNumberFormat="0" applyFont="0" applyAlignment="0" applyProtection="0">
      <alignment vertical="center"/>
    </xf>
    <xf numFmtId="38" fontId="32" fillId="0" borderId="0" applyFont="0" applyFill="0" applyBorder="0" applyAlignment="0" applyProtection="0">
      <alignment vertical="center"/>
    </xf>
    <xf numFmtId="40" fontId="32" fillId="0" borderId="0" applyFont="0" applyFill="0" applyBorder="0" applyAlignment="0" applyProtection="0">
      <alignment vertical="center"/>
    </xf>
    <xf numFmtId="0" fontId="32" fillId="0" borderId="0" applyFont="0" applyFill="0" applyBorder="0" applyAlignment="0" applyProtection="0">
      <alignment vertical="center"/>
    </xf>
    <xf numFmtId="0" fontId="32" fillId="0" borderId="0" applyFont="0" applyFill="0" applyBorder="0" applyAlignment="0" applyProtection="0">
      <alignment vertical="center"/>
    </xf>
    <xf numFmtId="0" fontId="316" fillId="0" borderId="0">
      <alignment vertical="center"/>
    </xf>
    <xf numFmtId="0" fontId="32"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32" fillId="0" borderId="0" xfId="423" applyAlignment="1">
      <alignment horizontal="center" vertical="center"/>
    </xf>
    <xf numFmtId="0" fontId="226" fillId="40" borderId="167" xfId="423" applyFont="1" applyFill="1" applyBorder="1" applyAlignment="1">
      <alignment horizontal="center" vertical="center" wrapText="1"/>
    </xf>
    <xf numFmtId="0" fontId="127" fillId="40" borderId="168" xfId="423" applyFont="1" applyFill="1" applyBorder="1" applyAlignment="1">
      <alignment horizontal="center" vertical="center"/>
    </xf>
    <xf numFmtId="0" fontId="234" fillId="40" borderId="168" xfId="423" applyFont="1" applyFill="1" applyBorder="1" applyAlignment="1">
      <alignment horizontal="center" vertical="center"/>
    </xf>
    <xf numFmtId="0" fontId="32" fillId="0" borderId="0" xfId="423" applyAlignment="1"/>
    <xf numFmtId="0" fontId="234" fillId="0" borderId="0" xfId="423" applyFont="1" applyAlignment="1">
      <alignment horizontal="center" vertical="center" wrapText="1"/>
    </xf>
    <xf numFmtId="0" fontId="32" fillId="0" borderId="0" xfId="423" applyAlignment="1">
      <alignment vertical="center"/>
    </xf>
    <xf numFmtId="0" fontId="127" fillId="40" borderId="91" xfId="423" applyFont="1" applyFill="1" applyBorder="1" applyAlignment="1">
      <alignment horizontal="right"/>
    </xf>
    <xf numFmtId="0" fontId="234" fillId="40" borderId="165" xfId="423" applyFont="1" applyFill="1" applyBorder="1" applyAlignment="1">
      <alignment horizontal="center" vertical="center" wrapText="1"/>
    </xf>
    <xf numFmtId="0" fontId="234" fillId="40" borderId="166" xfId="423" applyFont="1" applyFill="1" applyBorder="1" applyAlignment="1">
      <alignment horizontal="center" vertical="center" wrapText="1"/>
    </xf>
    <xf numFmtId="0" fontId="234" fillId="0" borderId="0" xfId="423" applyFont="1" applyBorder="1" applyAlignment="1">
      <alignment horizontal="center" vertical="center" wrapText="1"/>
    </xf>
    <xf numFmtId="0" fontId="234" fillId="40" borderId="169" xfId="423" applyFont="1" applyFill="1" applyBorder="1" applyAlignment="1">
      <alignment vertical="center"/>
    </xf>
    <xf numFmtId="0" fontId="32" fillId="40" borderId="169" xfId="423" applyFill="1" applyBorder="1" applyAlignment="1">
      <alignment vertical="center"/>
    </xf>
    <xf numFmtId="195" fontId="226" fillId="40" borderId="170" xfId="335" applyFont="1" applyFill="1" applyBorder="1" applyAlignment="1">
      <alignment vertical="center"/>
    </xf>
    <xf numFmtId="0" fontId="32" fillId="0" borderId="0" xfId="423" applyBorder="1" applyAlignment="1">
      <alignment vertical="center"/>
    </xf>
    <xf numFmtId="196" fontId="127" fillId="40" borderId="169" xfId="423" applyNumberFormat="1" applyFont="1" applyFill="1" applyBorder="1" applyAlignment="1" applyProtection="1">
      <alignment horizontal="left" vertical="center"/>
    </xf>
    <xf numFmtId="195" fontId="127" fillId="44" borderId="170" xfId="335" applyFont="1" applyFill="1" applyBorder="1" applyAlignment="1">
      <alignment vertical="center"/>
    </xf>
    <xf numFmtId="0" fontId="127" fillId="40" borderId="169" xfId="423" applyFont="1" applyFill="1" applyBorder="1" applyAlignment="1">
      <alignment vertical="center"/>
    </xf>
    <xf numFmtId="10" fontId="3" fillId="40" borderId="169" xfId="423" applyNumberFormat="1" applyFont="1" applyFill="1" applyBorder="1" applyAlignment="1">
      <alignment horizontal="left" vertical="center"/>
    </xf>
    <xf numFmtId="195" fontId="127" fillId="40" borderId="170" xfId="335" applyFont="1" applyFill="1" applyBorder="1" applyAlignment="1">
      <alignment vertical="center"/>
    </xf>
    <xf numFmtId="0" fontId="32" fillId="0" borderId="0" xfId="423" applyBorder="1" applyAlignment="1">
      <alignment horizontal="left" vertical="center"/>
    </xf>
    <xf numFmtId="0" fontId="3" fillId="40" borderId="169" xfId="423" applyFont="1" applyFill="1" applyBorder="1" applyAlignment="1">
      <alignment vertical="center"/>
    </xf>
    <xf numFmtId="0" fontId="226" fillId="40" borderId="168" xfId="423" applyFont="1" applyFill="1" applyBorder="1" applyAlignment="1">
      <alignment horizontal="center" vertical="center"/>
    </xf>
    <xf numFmtId="0" fontId="226" fillId="40" borderId="169" xfId="423" applyFont="1" applyFill="1" applyBorder="1" applyAlignment="1">
      <alignment vertical="center"/>
    </xf>
    <xf numFmtId="0" fontId="3" fillId="40" borderId="169" xfId="423" applyFont="1" applyFill="1" applyBorder="1" applyAlignment="1">
      <alignment vertical="center" wrapText="1"/>
    </xf>
    <xf numFmtId="0" fontId="32" fillId="0" borderId="0" xfId="423" applyFont="1" applyBorder="1" applyAlignment="1">
      <alignment vertical="center"/>
    </xf>
    <xf numFmtId="195" fontId="32" fillId="0" borderId="0" xfId="423" applyNumberFormat="1" applyFont="1" applyBorder="1" applyAlignment="1">
      <alignment vertical="center"/>
    </xf>
    <xf numFmtId="0" fontId="127" fillId="40" borderId="169" xfId="423" applyFont="1" applyFill="1" applyBorder="1" applyAlignment="1">
      <alignment horizontal="left" vertical="center"/>
    </xf>
    <xf numFmtId="0" fontId="127" fillId="0" borderId="0" xfId="423" applyFont="1" applyBorder="1" applyAlignment="1">
      <alignment vertical="center"/>
    </xf>
    <xf numFmtId="195" fontId="127" fillId="43" borderId="170" xfId="335" applyFont="1" applyFill="1" applyBorder="1" applyAlignment="1">
      <alignment vertical="center"/>
    </xf>
    <xf numFmtId="195" fontId="226" fillId="6" borderId="170" xfId="335" applyFont="1" applyFill="1" applyBorder="1" applyAlignment="1">
      <alignment vertical="center"/>
    </xf>
    <xf numFmtId="195" fontId="32" fillId="0" borderId="0" xfId="423" applyNumberFormat="1" applyAlignment="1">
      <alignment vertical="center"/>
    </xf>
    <xf numFmtId="195" fontId="226" fillId="40" borderId="173" xfId="335" applyFont="1" applyFill="1" applyBorder="1" applyAlignment="1">
      <alignment vertical="center"/>
    </xf>
    <xf numFmtId="179" fontId="32" fillId="0" borderId="0" xfId="423" applyNumberFormat="1" applyAlignment="1">
      <alignment vertical="center"/>
    </xf>
    <xf numFmtId="0" fontId="32" fillId="0" borderId="0" xfId="423" applyFont="1" applyAlignment="1">
      <alignment vertical="center"/>
    </xf>
    <xf numFmtId="0" fontId="3" fillId="44" borderId="169" xfId="423" applyFont="1" applyFill="1" applyBorder="1" applyAlignment="1">
      <alignment vertical="center" wrapText="1"/>
    </xf>
    <xf numFmtId="197" fontId="82" fillId="0" borderId="2" xfId="336" applyNumberFormat="1" applyFont="1" applyFill="1" applyBorder="1" applyAlignment="1">
      <alignment horizontal="right" vertical="center" wrapText="1"/>
    </xf>
    <xf numFmtId="197" fontId="82" fillId="10" borderId="2" xfId="336" applyNumberFormat="1" applyFont="1" applyFill="1" applyBorder="1" applyAlignment="1">
      <alignment horizontal="right" vertical="center" wrapText="1"/>
    </xf>
    <xf numFmtId="195" fontId="82" fillId="28" borderId="2" xfId="336" applyFont="1" applyFill="1" applyBorder="1" applyAlignment="1">
      <alignment horizontal="right" vertical="center" wrapText="1"/>
    </xf>
    <xf numFmtId="195" fontId="82" fillId="10" borderId="2" xfId="336" applyNumberFormat="1" applyFont="1" applyFill="1" applyBorder="1" applyAlignment="1">
      <alignment horizontal="right" vertical="center" wrapText="1"/>
    </xf>
    <xf numFmtId="0" fontId="84" fillId="7" borderId="50" xfId="0" applyNumberFormat="1" applyFont="1" applyFill="1" applyBorder="1" applyAlignment="1" applyProtection="1">
      <alignment horizontal="center" vertical="center" wrapText="1"/>
      <protection locked="0"/>
    </xf>
    <xf numFmtId="0" fontId="106" fillId="7"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34" fillId="40" borderId="171" xfId="423" applyFont="1" applyFill="1" applyBorder="1" applyAlignment="1">
      <alignment horizontal="center" vertical="center"/>
    </xf>
    <xf numFmtId="0" fontId="234" fillId="40" borderId="172" xfId="423" applyFont="1" applyFill="1" applyBorder="1" applyAlignment="1">
      <alignment horizontal="center" vertical="center"/>
    </xf>
    <xf numFmtId="0" fontId="280" fillId="40" borderId="0" xfId="423" applyFont="1" applyFill="1" applyAlignment="1">
      <alignment horizontal="center" vertical="center"/>
    </xf>
    <xf numFmtId="0" fontId="127" fillId="40" borderId="0" xfId="423" applyFont="1" applyFill="1" applyBorder="1" applyAlignment="1">
      <alignment horizontal="center" vertical="center"/>
    </xf>
    <xf numFmtId="0" fontId="127" fillId="40" borderId="91" xfId="423" applyFont="1" applyFill="1" applyBorder="1" applyAlignment="1">
      <alignment horizontal="left"/>
    </xf>
    <xf numFmtId="0" fontId="226" fillId="40" borderId="168" xfId="423" applyFont="1" applyFill="1" applyBorder="1" applyAlignment="1">
      <alignment horizontal="center" vertical="center"/>
    </xf>
    <xf numFmtId="0" fontId="226" fillId="40" borderId="169" xfId="423" applyFont="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424">
    <cellStyle name="_1月份工程款更新" xfId="15"/>
    <cellStyle name="_Deferred tax calculation" xfId="16"/>
    <cellStyle name="_Deferred tax calculation_1.1经营活动产生的现金流入及税金支出" xfId="17"/>
    <cellStyle name="_Deferred tax calculation_1.2项目贷款" xfId="18"/>
    <cellStyle name="_Deferred tax calculation_1.2项目贷款071029" xfId="19"/>
    <cellStyle name="_Deferred tax calculation_1.2项目贷款071105" xfId="20"/>
    <cellStyle name="_Deferred tax calculation_1.2项目贷款071112" xfId="21"/>
    <cellStyle name="_Deferred tax calculation_按公司汇总" xfId="22"/>
    <cellStyle name="_Deferred tax calculation_编制资金预算(按公司)20071214" xfId="23"/>
    <cellStyle name="_Deferred tax calculation_项目工程款预算表" xfId="24"/>
    <cellStyle name="_Deferred tax calculation_资金预算(按公司)20071214" xfId="25"/>
    <cellStyle name="_Deferred tax calculation_资金预算汇总表20071111" xfId="26"/>
    <cellStyle name="_Deferred tax calculation_资金预算汇总表20071115" xfId="27"/>
    <cellStyle name="_Deferred tax calculation_资金预算汇总表-最保守估计" xfId="28"/>
    <cellStyle name="_Deferred tax calculation_资金预算汇总表-最保守估计2007110504" xfId="29"/>
    <cellStyle name="_Deferred tax calculation_资金预算汇总表-最保守估计20071110" xfId="30"/>
    <cellStyle name="_Deferred tax calculation_最保守估计20071110" xfId="31"/>
    <cellStyle name="_ET_STYLE_NoName_00_" xfId="32"/>
    <cellStyle name="_TT-荔城-430" xfId="33"/>
    <cellStyle name="_贷款预算表" xfId="34"/>
    <cellStyle name="_底稿" xfId="35"/>
    <cellStyle name="_项目成本估(预)算表G8、G9" xfId="36"/>
    <cellStyle name="_新地块拿地项目前期成本估算表（0805）" xfId="37"/>
    <cellStyle name="_预测模型(花山)一期多层" xfId="38"/>
    <cellStyle name="0,0_x000d__x000a_NA_x000d__x000a_" xfId="39"/>
    <cellStyle name="20% - 强调文字颜色 1 2 2" xfId="40"/>
    <cellStyle name="20% - 强调文字颜色 1 3" xfId="41"/>
    <cellStyle name="20% - 强调文字颜色 1 4" xfId="42"/>
    <cellStyle name="20% - 强调文字颜色 1 5" xfId="43"/>
    <cellStyle name="20% - 强调文字颜色 2 2 2" xfId="44"/>
    <cellStyle name="20% - 强调文字颜色 2 3" xfId="45"/>
    <cellStyle name="20% - 强调文字颜色 2 4" xfId="46"/>
    <cellStyle name="20% - 强调文字颜色 2 5" xfId="47"/>
    <cellStyle name="20% - 强调文字颜色 3 2 2" xfId="48"/>
    <cellStyle name="20% - 强调文字颜色 3 3" xfId="49"/>
    <cellStyle name="20% - 强调文字颜色 3 4" xfId="50"/>
    <cellStyle name="20% - 强调文字颜色 3 5" xfId="51"/>
    <cellStyle name="20% - 强调文字颜色 4 2 2" xfId="52"/>
    <cellStyle name="20% - 强调文字颜色 4 3" xfId="53"/>
    <cellStyle name="20% - 强调文字颜色 4 4" xfId="54"/>
    <cellStyle name="20% - 强调文字颜色 4 5" xfId="55"/>
    <cellStyle name="20% - 强调文字颜色 5 2 2" xfId="56"/>
    <cellStyle name="20% - 强调文字颜色 5 3" xfId="57"/>
    <cellStyle name="20% - 强调文字颜色 5 4" xfId="58"/>
    <cellStyle name="20% - 强调文字颜色 5 5" xfId="59"/>
    <cellStyle name="20% - 强调文字颜色 6 2 2" xfId="60"/>
    <cellStyle name="20% - 强调文字颜色 6 3" xfId="61"/>
    <cellStyle name="20% - 强调文字颜色 6 4" xfId="62"/>
    <cellStyle name="20% - 强调文字颜色 6 5" xfId="63"/>
    <cellStyle name="3232" xfId="64"/>
    <cellStyle name="3232 10" xfId="65"/>
    <cellStyle name="3232 11" xfId="66"/>
    <cellStyle name="3232 12" xfId="67"/>
    <cellStyle name="3232 2" xfId="68"/>
    <cellStyle name="3232 2 10" xfId="69"/>
    <cellStyle name="3232 2 11" xfId="70"/>
    <cellStyle name="3232 2 2" xfId="71"/>
    <cellStyle name="3232 2 3" xfId="72"/>
    <cellStyle name="3232 2 4" xfId="73"/>
    <cellStyle name="3232 2 5" xfId="74"/>
    <cellStyle name="3232 2 6" xfId="75"/>
    <cellStyle name="3232 2 7" xfId="76"/>
    <cellStyle name="3232 2 8" xfId="77"/>
    <cellStyle name="3232 2 9" xfId="78"/>
    <cellStyle name="3232 3" xfId="79"/>
    <cellStyle name="3232 4" xfId="80"/>
    <cellStyle name="3232 5" xfId="81"/>
    <cellStyle name="3232 6" xfId="82"/>
    <cellStyle name="3232 7" xfId="83"/>
    <cellStyle name="3232 8" xfId="84"/>
    <cellStyle name="3232 9" xfId="85"/>
    <cellStyle name="3232_Sheet27" xfId="86"/>
    <cellStyle name="40% - 强调文字颜色 1 2 2" xfId="87"/>
    <cellStyle name="40% - 强调文字颜色 1 3" xfId="88"/>
    <cellStyle name="40% - 强调文字颜色 1 4" xfId="89"/>
    <cellStyle name="40% - 强调文字颜色 1 5" xfId="90"/>
    <cellStyle name="40% - 强调文字颜色 2 2 2" xfId="91"/>
    <cellStyle name="40% - 强调文字颜色 2 3" xfId="92"/>
    <cellStyle name="40% - 强调文字颜色 2 4" xfId="93"/>
    <cellStyle name="40% - 强调文字颜色 2 5" xfId="94"/>
    <cellStyle name="40% - 强调文字颜色 3 2 2" xfId="95"/>
    <cellStyle name="40% - 强调文字颜色 3 3" xfId="96"/>
    <cellStyle name="40% - 强调文字颜色 3 4" xfId="97"/>
    <cellStyle name="40% - 强调文字颜色 3 5" xfId="98"/>
    <cellStyle name="40% - 强调文字颜色 4 2 2" xfId="99"/>
    <cellStyle name="40% - 强调文字颜色 4 3" xfId="100"/>
    <cellStyle name="40% - 强调文字颜色 4 4" xfId="101"/>
    <cellStyle name="40% - 强调文字颜色 4 5" xfId="102"/>
    <cellStyle name="40% - 强调文字颜色 5 2 2" xfId="103"/>
    <cellStyle name="40% - 强调文字颜色 5 3" xfId="104"/>
    <cellStyle name="40% - 强调文字颜色 5 4" xfId="105"/>
    <cellStyle name="40% - 强调文字颜色 5 5" xfId="106"/>
    <cellStyle name="40% - 强调文字颜色 6 2 2" xfId="107"/>
    <cellStyle name="40% - 强调文字颜色 6 3" xfId="108"/>
    <cellStyle name="40% - 强调文字颜色 6 4" xfId="109"/>
    <cellStyle name="40% - 强调文字颜色 6 5" xfId="110"/>
    <cellStyle name="60% - 强调文字颜色 1 2 2" xfId="111"/>
    <cellStyle name="60% - 强调文字颜色 1 3" xfId="112"/>
    <cellStyle name="60% - 强调文字颜色 1 4" xfId="113"/>
    <cellStyle name="60% - 强调文字颜色 1 5" xfId="114"/>
    <cellStyle name="60% - 强调文字颜色 2 2 2" xfId="115"/>
    <cellStyle name="60% - 强调文字颜色 2 3" xfId="116"/>
    <cellStyle name="60% - 强调文字颜色 2 4" xfId="117"/>
    <cellStyle name="60% - 强调文字颜色 2 5" xfId="118"/>
    <cellStyle name="60% - 强调文字颜色 3 2 2" xfId="119"/>
    <cellStyle name="60% - 强调文字颜色 3 3" xfId="120"/>
    <cellStyle name="60% - 强调文字颜色 3 4" xfId="121"/>
    <cellStyle name="60% - 强调文字颜色 3 5" xfId="122"/>
    <cellStyle name="60% - 强调文字颜色 4 2 2" xfId="123"/>
    <cellStyle name="60% - 强调文字颜色 4 3" xfId="124"/>
    <cellStyle name="60% - 强调文字颜色 4 4" xfId="125"/>
    <cellStyle name="60% - 强调文字颜色 4 5" xfId="126"/>
    <cellStyle name="60% - 强调文字颜色 5 2 2" xfId="127"/>
    <cellStyle name="60% - 强调文字颜色 5 3" xfId="128"/>
    <cellStyle name="60% - 强调文字颜色 5 4" xfId="129"/>
    <cellStyle name="60% - 强调文字颜色 5 5" xfId="130"/>
    <cellStyle name="60% - 强调文字颜色 6 2 2" xfId="131"/>
    <cellStyle name="60% - 强调文字颜色 6 3" xfId="132"/>
    <cellStyle name="60% - 强调文字颜色 6 4" xfId="133"/>
    <cellStyle name="60% - 强调文字颜色 6 5" xfId="134"/>
    <cellStyle name="C￥A?_?μ?÷CoE? " xfId="135"/>
    <cellStyle name="Calc Currency (0)" xfId="136"/>
    <cellStyle name="ColLevel_0" xfId="137"/>
    <cellStyle name="Comma_MBM0412" xfId="138"/>
    <cellStyle name="Comma0" xfId="139"/>
    <cellStyle name="comma-d" xfId="140"/>
    <cellStyle name="Currency0" xfId="141"/>
    <cellStyle name="date" xfId="142"/>
    <cellStyle name="entry" xfId="143"/>
    <cellStyle name="explanation" xfId="144"/>
    <cellStyle name="Fixed" xfId="145"/>
    <cellStyle name="Grey" xfId="146"/>
    <cellStyle name="Header1" xfId="147"/>
    <cellStyle name="Header2" xfId="148"/>
    <cellStyle name="Heading 1" xfId="149"/>
    <cellStyle name="Heading 2" xfId="150"/>
    <cellStyle name="imp-pr-item" xfId="151"/>
    <cellStyle name="input" xfId="152"/>
    <cellStyle name="Input [yellow]" xfId="153"/>
    <cellStyle name="Millares [0]_laroux" xfId="154"/>
    <cellStyle name="Millares_laroux" xfId="155"/>
    <cellStyle name="Milliers [0]_AR1194" xfId="156"/>
    <cellStyle name="Milliers_AR1194" xfId="157"/>
    <cellStyle name="Mon?taire [0]_AR1194" xfId="158"/>
    <cellStyle name="Mon?taire_AR1194" xfId="159"/>
    <cellStyle name="Moneda [0]_laroux" xfId="160"/>
    <cellStyle name="Moneda_laroux" xfId="161"/>
    <cellStyle name="no dec" xfId="162"/>
    <cellStyle name="Normal - Style1" xfId="163"/>
    <cellStyle name="Normal_5650-Salary&amp;Welfare payable ---31广东碧桂圆" xfId="164"/>
    <cellStyle name="nr_label" xfId="165"/>
    <cellStyle name="Percent [2]" xfId="166"/>
    <cellStyle name="PERCENTAGE" xfId="167"/>
    <cellStyle name="Preisliste" xfId="168"/>
    <cellStyle name="price" xfId="169"/>
    <cellStyle name="revised" xfId="170"/>
    <cellStyle name="RowLevel_0" xfId="171"/>
    <cellStyle name="section" xfId="172"/>
    <cellStyle name="simpletitle" xfId="173"/>
    <cellStyle name="title" xfId="174"/>
    <cellStyle name="Total" xfId="175"/>
    <cellStyle name="xj" xfId="176"/>
    <cellStyle name="パーセント_laroux" xfId="177"/>
    <cellStyle name="百分比 2" xfId="11"/>
    <cellStyle name="百分比 2 2" xfId="179"/>
    <cellStyle name="百分比 2 3" xfId="180"/>
    <cellStyle name="百分比 2 4" xfId="181"/>
    <cellStyle name="百分比 2 5" xfId="182"/>
    <cellStyle name="百分比 2 6" xfId="183"/>
    <cellStyle name="百分比 3" xfId="184"/>
    <cellStyle name="百分比 3 2" xfId="185"/>
    <cellStyle name="百分比 4" xfId="186"/>
    <cellStyle name="百分比 5" xfId="187"/>
    <cellStyle name="百分比 6" xfId="188"/>
    <cellStyle name="百分比 7" xfId="178"/>
    <cellStyle name="标题 1 2 2" xfId="189"/>
    <cellStyle name="标题 1 3" xfId="190"/>
    <cellStyle name="标题 1 4" xfId="191"/>
    <cellStyle name="标题 1 5" xfId="192"/>
    <cellStyle name="标题 2 2 2" xfId="193"/>
    <cellStyle name="标题 2 3" xfId="194"/>
    <cellStyle name="标题 2 4" xfId="195"/>
    <cellStyle name="标题 2 5" xfId="196"/>
    <cellStyle name="标题 3 2 2" xfId="197"/>
    <cellStyle name="标题 3 3" xfId="198"/>
    <cellStyle name="标题 3 4" xfId="199"/>
    <cellStyle name="标题 3 5" xfId="200"/>
    <cellStyle name="标题 4 2 2" xfId="201"/>
    <cellStyle name="标题 4 3" xfId="202"/>
    <cellStyle name="标题 4 4" xfId="203"/>
    <cellStyle name="标题 4 5" xfId="204"/>
    <cellStyle name="标题 5 2" xfId="205"/>
    <cellStyle name="标题 6" xfId="206"/>
    <cellStyle name="标题 7" xfId="207"/>
    <cellStyle name="标题 8" xfId="208"/>
    <cellStyle name="標準_１１月価格表" xfId="209"/>
    <cellStyle name="差 2 2" xfId="210"/>
    <cellStyle name="差 3" xfId="211"/>
    <cellStyle name="差 4" xfId="212"/>
    <cellStyle name="差 5" xfId="213"/>
    <cellStyle name="差_12" xfId="214"/>
    <cellStyle name="差_KING" xfId="215"/>
    <cellStyle name="差_KING_1" xfId="216"/>
    <cellStyle name="差_KING_2" xfId="217"/>
    <cellStyle name="常规" xfId="0" builtinId="0"/>
    <cellStyle name="常规 10" xfId="218"/>
    <cellStyle name="常规 11" xfId="219"/>
    <cellStyle name="常规 12" xfId="423"/>
    <cellStyle name="常规 16" xfId="1"/>
    <cellStyle name="常规 2" xfId="2"/>
    <cellStyle name="常规 2 10" xfId="221"/>
    <cellStyle name="常规 2 10 2" xfId="222"/>
    <cellStyle name="常规 2 11" xfId="223"/>
    <cellStyle name="常规 2 12" xfId="224"/>
    <cellStyle name="常规 2 13" xfId="225"/>
    <cellStyle name="常规 2 14" xfId="220"/>
    <cellStyle name="常规 2 2" xfId="3"/>
    <cellStyle name="常规 2 2 10" xfId="227"/>
    <cellStyle name="常规 2 2 11" xfId="228"/>
    <cellStyle name="常规 2 2 12" xfId="229"/>
    <cellStyle name="常规 2 2 13" xfId="226"/>
    <cellStyle name="常规 2 2 2" xfId="230"/>
    <cellStyle name="常规 2 2 2 2" xfId="231"/>
    <cellStyle name="常规 2 2 2 2 2" xfId="232"/>
    <cellStyle name="常规 2 2 2 2 3" xfId="12"/>
    <cellStyle name="常规 2 2 2 3" xfId="233"/>
    <cellStyle name="常规 2 2 2 4" xfId="234"/>
    <cellStyle name="常规 2 2 2 5" xfId="235"/>
    <cellStyle name="常规 2 2 3" xfId="236"/>
    <cellStyle name="常规 2 2 4" xfId="237"/>
    <cellStyle name="常规 2 2 5" xfId="238"/>
    <cellStyle name="常规 2 2 6" xfId="239"/>
    <cellStyle name="常规 2 2 7" xfId="240"/>
    <cellStyle name="常规 2 2 7 2" xfId="241"/>
    <cellStyle name="常规 2 2 8" xfId="242"/>
    <cellStyle name="常规 2 2 9" xfId="243"/>
    <cellStyle name="常规 2 3" xfId="244"/>
    <cellStyle name="常规 2 3 2" xfId="245"/>
    <cellStyle name="常规 2 3 2 2" xfId="246"/>
    <cellStyle name="常规 2 3 3" xfId="247"/>
    <cellStyle name="常规 2 3 4" xfId="248"/>
    <cellStyle name="常规 2 3 5" xfId="249"/>
    <cellStyle name="常规 2 4" xfId="250"/>
    <cellStyle name="常规 2 5" xfId="251"/>
    <cellStyle name="常规 2 6" xfId="252"/>
    <cellStyle name="常规 2 7" xfId="253"/>
    <cellStyle name="常规 2 8" xfId="254"/>
    <cellStyle name="常规 2 9" xfId="255"/>
    <cellStyle name="常规 2_太澳2号地块投资测算表20130702" xfId="256"/>
    <cellStyle name="常规 3" xfId="4"/>
    <cellStyle name="常规 3 10" xfId="258"/>
    <cellStyle name="常规 3 11" xfId="259"/>
    <cellStyle name="常规 3 12" xfId="260"/>
    <cellStyle name="常规 3 13" xfId="261"/>
    <cellStyle name="常规 3 14" xfId="257"/>
    <cellStyle name="常规 3 2" xfId="5"/>
    <cellStyle name="常规 3 2 2" xfId="263"/>
    <cellStyle name="常规 3 2 3" xfId="262"/>
    <cellStyle name="常规 3 3" xfId="264"/>
    <cellStyle name="常规 3 4" xfId="265"/>
    <cellStyle name="常规 3 5" xfId="266"/>
    <cellStyle name="常规 3 6" xfId="267"/>
    <cellStyle name="常规 3 7" xfId="268"/>
    <cellStyle name="常规 3 8" xfId="269"/>
    <cellStyle name="常规 3 9" xfId="270"/>
    <cellStyle name="常规 3_Book1" xfId="271"/>
    <cellStyle name="常规 4" xfId="6"/>
    <cellStyle name="常规 4 2" xfId="273"/>
    <cellStyle name="常规 4 3" xfId="274"/>
    <cellStyle name="常规 4 4" xfId="275"/>
    <cellStyle name="常规 4 5" xfId="276"/>
    <cellStyle name="常规 4 6" xfId="277"/>
    <cellStyle name="常规 4 7" xfId="278"/>
    <cellStyle name="常规 4 8" xfId="272"/>
    <cellStyle name="常规 5" xfId="7"/>
    <cellStyle name="常规 5 2" xfId="279"/>
    <cellStyle name="常规 6" xfId="8"/>
    <cellStyle name="常规 6 2" xfId="10"/>
    <cellStyle name="常规 6 2 2" xfId="13"/>
    <cellStyle name="常规 6 2 3" xfId="281"/>
    <cellStyle name="常规 6 3" xfId="280"/>
    <cellStyle name="常规 7" xfId="9"/>
    <cellStyle name="常规 7 2" xfId="283"/>
    <cellStyle name="常规 7 3" xfId="282"/>
    <cellStyle name="常规 8" xfId="284"/>
    <cellStyle name="常规 8 2" xfId="285"/>
    <cellStyle name="常规 8 3" xfId="286"/>
    <cellStyle name="常规 8 4" xfId="287"/>
    <cellStyle name="常规 8_表2 项目总目标成本表" xfId="288"/>
    <cellStyle name="常规 9" xfId="14"/>
    <cellStyle name="常规 9 2" xfId="289"/>
    <cellStyle name="超级链接_管理费用计划表(颖)" xfId="290"/>
    <cellStyle name="超链接 2" xfId="291"/>
    <cellStyle name="好 2 2" xfId="292"/>
    <cellStyle name="好 3" xfId="293"/>
    <cellStyle name="好 4" xfId="294"/>
    <cellStyle name="好 5" xfId="295"/>
    <cellStyle name="好_12" xfId="296"/>
    <cellStyle name="好_KING" xfId="297"/>
    <cellStyle name="好_KING_1" xfId="298"/>
    <cellStyle name="好_KING_2" xfId="299"/>
    <cellStyle name="桁区切り [0.00]_１１月価格表" xfId="300"/>
    <cellStyle name="桁区切り_１１月価格表" xfId="301"/>
    <cellStyle name="汇总 2 2" xfId="302"/>
    <cellStyle name="汇总 3" xfId="303"/>
    <cellStyle name="汇总 4" xfId="304"/>
    <cellStyle name="汇总 5" xfId="305"/>
    <cellStyle name="计算 2 2" xfId="306"/>
    <cellStyle name="计算 3" xfId="307"/>
    <cellStyle name="计算 4" xfId="308"/>
    <cellStyle name="计算 5" xfId="309"/>
    <cellStyle name="检查单元格 2 2" xfId="310"/>
    <cellStyle name="检查单元格 3" xfId="311"/>
    <cellStyle name="检查单元格 4" xfId="312"/>
    <cellStyle name="检查单元格 5" xfId="313"/>
    <cellStyle name="解释性文本 2 2" xfId="314"/>
    <cellStyle name="解释性文本 3" xfId="315"/>
    <cellStyle name="解释性文本 4" xfId="316"/>
    <cellStyle name="解释性文本 5" xfId="317"/>
    <cellStyle name="警告文本 2 2" xfId="318"/>
    <cellStyle name="警告文本 3" xfId="319"/>
    <cellStyle name="警告文本 4" xfId="320"/>
    <cellStyle name="警告文本 5" xfId="321"/>
    <cellStyle name="链接单元格 2 2" xfId="322"/>
    <cellStyle name="链接单元格 3" xfId="323"/>
    <cellStyle name="链接单元格 4" xfId="324"/>
    <cellStyle name="链接单元格 5" xfId="325"/>
    <cellStyle name="콤마 [0]_BOILER-CO1" xfId="418"/>
    <cellStyle name="콤마_BOILER-CO1" xfId="419"/>
    <cellStyle name="통화 [0]_BOILER-CO1" xfId="420"/>
    <cellStyle name="통화_BOILER-CO1" xfId="421"/>
    <cellStyle name="표준_0N-HANDLING " xfId="422"/>
    <cellStyle name="霓付 [0]_97MBO" xfId="326"/>
    <cellStyle name="霓付_97MBO" xfId="327"/>
    <cellStyle name="烹拳 [0]_97MBO" xfId="328"/>
    <cellStyle name="烹拳_97MBO" xfId="329"/>
    <cellStyle name="普通_ 白土" xfId="330"/>
    <cellStyle name="千分位[0]_ 白土" xfId="331"/>
    <cellStyle name="千分位_ 白土" xfId="332"/>
    <cellStyle name="千位[0]_19" xfId="333"/>
    <cellStyle name="千位_19" xfId="334"/>
    <cellStyle name="千位分隔 10" xfId="336"/>
    <cellStyle name="千位分隔 11" xfId="337"/>
    <cellStyle name="千位分隔 12" xfId="338"/>
    <cellStyle name="千位分隔 13" xfId="335"/>
    <cellStyle name="千位分隔 2" xfId="339"/>
    <cellStyle name="千位分隔 2 2" xfId="340"/>
    <cellStyle name="千位分隔 2 2 2" xfId="341"/>
    <cellStyle name="千位分隔 2 3" xfId="342"/>
    <cellStyle name="千位分隔 2 3 2" xfId="343"/>
    <cellStyle name="千位分隔 2 3 2 2" xfId="344"/>
    <cellStyle name="千位分隔 2 3 3" xfId="345"/>
    <cellStyle name="千位分隔 2 3 4" xfId="346"/>
    <cellStyle name="千位分隔 2 4" xfId="347"/>
    <cellStyle name="千位分隔 2 5" xfId="348"/>
    <cellStyle name="千位分隔 3" xfId="349"/>
    <cellStyle name="千位分隔 3 2" xfId="350"/>
    <cellStyle name="千位分隔 3 3" xfId="351"/>
    <cellStyle name="千位分隔 3 4" xfId="352"/>
    <cellStyle name="千位分隔 4" xfId="353"/>
    <cellStyle name="千位分隔 5" xfId="354"/>
    <cellStyle name="千位分隔 6" xfId="355"/>
    <cellStyle name="千位分隔 6 2" xfId="356"/>
    <cellStyle name="千位分隔 7" xfId="357"/>
    <cellStyle name="千位分隔 8" xfId="358"/>
    <cellStyle name="千位分隔 9" xfId="359"/>
    <cellStyle name="千位分隔[0] 2" xfId="360"/>
    <cellStyle name="千位分隔[0] 2 2" xfId="361"/>
    <cellStyle name="千位分隔[0] 2 3" xfId="362"/>
    <cellStyle name="千位分隔[0] 2 4" xfId="363"/>
    <cellStyle name="千位分隔[0] 2 5" xfId="364"/>
    <cellStyle name="千位分隔[0] 2 6" xfId="365"/>
    <cellStyle name="千位分隔[0] 3" xfId="366"/>
    <cellStyle name="千位分隔[0] 4" xfId="367"/>
    <cellStyle name="千位分隔[0] 4 2" xfId="368"/>
    <cellStyle name="千位分隔[0] 5" xfId="369"/>
    <cellStyle name="钎霖_laroux" xfId="370"/>
    <cellStyle name="强调文字颜色 1 2 2" xfId="371"/>
    <cellStyle name="强调文字颜色 1 3" xfId="372"/>
    <cellStyle name="强调文字颜色 1 4" xfId="373"/>
    <cellStyle name="强调文字颜色 1 5" xfId="374"/>
    <cellStyle name="强调文字颜色 2 2 2" xfId="375"/>
    <cellStyle name="强调文字颜色 2 3" xfId="376"/>
    <cellStyle name="强调文字颜色 2 4" xfId="377"/>
    <cellStyle name="强调文字颜色 2 5" xfId="378"/>
    <cellStyle name="强调文字颜色 3 2 2" xfId="379"/>
    <cellStyle name="强调文字颜色 3 3" xfId="380"/>
    <cellStyle name="强调文字颜色 3 4" xfId="381"/>
    <cellStyle name="强调文字颜色 3 5" xfId="382"/>
    <cellStyle name="强调文字颜色 4 2 2" xfId="383"/>
    <cellStyle name="强调文字颜色 4 3" xfId="384"/>
    <cellStyle name="强调文字颜色 4 4" xfId="385"/>
    <cellStyle name="强调文字颜色 4 5" xfId="386"/>
    <cellStyle name="强调文字颜色 5 2 2" xfId="387"/>
    <cellStyle name="强调文字颜色 5 3" xfId="388"/>
    <cellStyle name="强调文字颜色 5 4" xfId="389"/>
    <cellStyle name="强调文字颜色 5 5" xfId="390"/>
    <cellStyle name="强调文字颜色 6 2 2" xfId="391"/>
    <cellStyle name="强调文字颜色 6 3" xfId="392"/>
    <cellStyle name="强调文字颜色 6 4" xfId="393"/>
    <cellStyle name="强调文字颜色 6 5" xfId="394"/>
    <cellStyle name="适中 2 2" xfId="395"/>
    <cellStyle name="适中 3" xfId="396"/>
    <cellStyle name="适中 4" xfId="397"/>
    <cellStyle name="适中 5" xfId="398"/>
    <cellStyle name="输出 2 2" xfId="399"/>
    <cellStyle name="输出 3" xfId="400"/>
    <cellStyle name="输出 4" xfId="401"/>
    <cellStyle name="输出 5" xfId="402"/>
    <cellStyle name="输入 2 2" xfId="403"/>
    <cellStyle name="输入 3" xfId="404"/>
    <cellStyle name="输入 4" xfId="405"/>
    <cellStyle name="输入 5" xfId="406"/>
    <cellStyle name="通貨 [0.00]_１１月価格表" xfId="407"/>
    <cellStyle name="通貨_１１月価格表" xfId="408"/>
    <cellStyle name="小计" xfId="409"/>
    <cellStyle name="样式 1" xfId="410"/>
    <cellStyle name="样式 1 2" xfId="411"/>
    <cellStyle name="样式 1_太澳2号地块投资测算表20130702" xfId="412"/>
    <cellStyle name="一般_Income recognition_PUD" xfId="413"/>
    <cellStyle name="注释 2 2" xfId="414"/>
    <cellStyle name="注释 3" xfId="415"/>
    <cellStyle name="注释 4" xfId="416"/>
    <cellStyle name="注释 5" xfId="417"/>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675677</xdr:colOff>
      <xdr:row>17</xdr:row>
      <xdr:rowOff>123445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90477" cy="3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7494;&#27721;&#30887;&#26690;&#22253;&#29983;&#24577;&#22478;&#19996;&#22659;/P01DYGJ3/&#36164;&#26009;/4-&#21487;&#30740;&#21450;&#27979;&#31639;/&#25237;&#36164;&#27979;&#31639;&#20197;&#27492;&#20026;&#20934;-&#19996;&#22659;&#39033;&#304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一、利润预测"/>
      <sheetName val="二、经济预测"/>
      <sheetName val="三、投资分类占比"/>
      <sheetName val="四、资金来源及运用"/>
      <sheetName val="五、销售收入税费估算表"/>
      <sheetName val="六、损益表"/>
      <sheetName val="七、现金流量表"/>
      <sheetName val="八、偿债能力分析"/>
      <sheetName val="九、敏感性分析表"/>
      <sheetName val="十、项目主要技术经济指标表"/>
    </sheetNames>
    <sheetDataSet>
      <sheetData sheetId="0"/>
      <sheetData sheetId="1">
        <row r="8">
          <cell r="C8">
            <v>290698.53999999998</v>
          </cell>
        </row>
        <row r="9">
          <cell r="C9">
            <v>167597.81</v>
          </cell>
        </row>
        <row r="10">
          <cell r="C10">
            <v>9218.7000000000007</v>
          </cell>
        </row>
        <row r="11">
          <cell r="C11">
            <v>2457.4699999999998</v>
          </cell>
        </row>
        <row r="13">
          <cell r="C13">
            <v>59802.51</v>
          </cell>
        </row>
        <row r="15">
          <cell r="C15">
            <v>51622.05</v>
          </cell>
        </row>
        <row r="17">
          <cell r="C17">
            <v>230896.03000000003</v>
          </cell>
        </row>
        <row r="22">
          <cell r="C22">
            <v>381566.196</v>
          </cell>
        </row>
      </sheetData>
      <sheetData sheetId="2"/>
      <sheetData sheetId="3"/>
      <sheetData sheetId="4"/>
      <sheetData sheetId="5"/>
      <sheetData sheetId="6"/>
      <sheetData sheetId="7"/>
      <sheetData sheetId="8">
        <row r="7">
          <cell r="H7">
            <v>8740</v>
          </cell>
        </row>
      </sheetData>
      <sheetData sheetId="9">
        <row r="30">
          <cell r="A30">
            <v>0</v>
          </cell>
        </row>
      </sheetData>
      <sheetData sheetId="1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2656</v>
      </c>
      <c r="B1" s="2916" t="s">
        <v>2753</v>
      </c>
    </row>
    <row r="2" spans="1:55" s="2920" customFormat="1" ht="15" thickTop="1">
      <c r="A2" s="2918" t="s">
        <v>2660</v>
      </c>
      <c r="B2" s="2919" t="str">
        <f>'预评函-封皮'!B37</f>
        <v>武汉市东湖新技术开发区花城大道以东、土吴路以西、松涛路以南出让国有建设用地使用权抵押价格预评估</v>
      </c>
      <c r="AX2" s="2921"/>
      <c r="AZ2" s="2921"/>
      <c r="BA2" s="2922"/>
      <c r="BC2" s="2922"/>
    </row>
    <row r="3" spans="1:55" s="2923" customFormat="1">
      <c r="A3" s="2902" t="s">
        <v>2661</v>
      </c>
      <c r="B3" s="2905" t="str">
        <f>'预评函-封皮'!B40</f>
        <v>五矿国际信托有限公司</v>
      </c>
    </row>
    <row r="4" spans="1:55" s="2904" customFormat="1">
      <c r="A4" s="2902" t="s">
        <v>2662</v>
      </c>
      <c r="B4" s="2903" t="str">
        <f>'预评函-封皮'!B46</f>
        <v>王鹏、郑燚</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2663</v>
      </c>
      <c r="B5" s="2925" t="str">
        <f>'预评函-封皮'!B49</f>
        <v>康正预评字号</v>
      </c>
    </row>
    <row r="6" spans="1:55" s="2926" customFormat="1" ht="15" thickTop="1">
      <c r="A6" s="2918" t="s">
        <v>2705</v>
      </c>
      <c r="B6" s="2919" t="str">
        <f>'预评函-1'!A4</f>
        <v>受贵公司委托，我公司对武汉市东湖新技术开发区花城大道以东、土吴路以西、松涛路以南出让国有建设用地使用权抵押价格进行了预评估。</v>
      </c>
      <c r="AM6" s="2927"/>
    </row>
    <row r="7" spans="1:55" s="2901" customFormat="1">
      <c r="A7" s="2902" t="s">
        <v>2657</v>
      </c>
      <c r="B7" s="2903" t="str">
        <f>'预评函-1'!A6</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8" spans="1:55" s="2901" customFormat="1">
      <c r="A8" s="2902" t="s">
        <v>2658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2708</v>
      </c>
      <c r="B9" s="2903" t="str">
        <f>'预评函-1'!A9</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1" customFormat="1">
      <c r="A10" s="2902" t="s">
        <v>2659</v>
      </c>
      <c r="B10" s="2903" t="str">
        <f>'预评函-1'!A11</f>
        <v>2018年4月27日（评估专业人员勘察现场之日）</v>
      </c>
    </row>
    <row r="11" spans="1:55" s="2901" customFormat="1">
      <c r="A11" s="2902" t="s">
        <v>2665</v>
      </c>
      <c r="B11" s="2903" t="str">
        <f>'预评函-1'!A14</f>
        <v>根据《不动产权证书》[鄂（2016）武汉市东开不动产权第0000057号]，本次评估估价对象证载（地类）用途为城镇住宅用地、科教用地。</v>
      </c>
    </row>
    <row r="12" spans="1:55" s="2901" customFormat="1">
      <c r="A12" s="2902" t="s">
        <v>2666</v>
      </c>
      <c r="B12" s="2903" t="str">
        <f>'预评函-1'!A15</f>
        <v>本次评估设定用途即为证载用途城镇住宅用地、科教用地。</v>
      </c>
    </row>
    <row r="13" spans="1:55" s="2901" customFormat="1">
      <c r="A13" s="2902" t="s">
        <v>2667</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2668</v>
      </c>
      <c r="B14" s="2903" t="str">
        <f>'预评函-1'!A18</f>
        <v>。本次评估设定土地开发程度为红线外市政基础设施达“七通”、宗地红线内场地平整。</v>
      </c>
    </row>
    <row r="15" spans="1:55" s="2901" customFormat="1">
      <c r="A15" s="2902" t="s">
        <v>2664</v>
      </c>
      <c r="B15" s="2903" t="str">
        <f>'预评函-1'!A20</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16" spans="1:55" s="2901" customFormat="1">
      <c r="A16" s="2902" t="s">
        <v>2669</v>
      </c>
      <c r="B16" s="2903" t="str">
        <f>'预评函-1'!A22</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17" spans="1:48" s="2901" customFormat="1">
      <c r="A17" s="2902" t="s">
        <v>2670</v>
      </c>
      <c r="B17" s="2903" t="str">
        <f>'预评函-1'!A23</f>
        <v>本次评估设定估价对象剩余土地使用年限为住宅67.61年、商业37.59年、地下车库47.6年。</v>
      </c>
    </row>
    <row r="18" spans="1:48" s="2901" customFormat="1">
      <c r="A18" s="2902" t="s">
        <v>2671</v>
      </c>
      <c r="B18" s="2903" t="str">
        <f>'预评函-1'!A25</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19" spans="1:48" s="2901" customFormat="1">
      <c r="A19" s="2902" t="s">
        <v>2672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2674</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2675</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2676</v>
      </c>
      <c r="B23" s="2903" t="str">
        <f>'预评函-2'!K2</f>
        <v>估价期日：2018年4月27日</v>
      </c>
    </row>
    <row r="24" spans="1:48">
      <c r="A24" s="2902" t="s">
        <v>2677</v>
      </c>
      <c r="B24" s="2903" t="str">
        <f>'预评函-2'!R2</f>
        <v>估价期日的国有建设用地使用权性质：出让</v>
      </c>
    </row>
    <row r="25" spans="1:48">
      <c r="A25" s="2902" t="s">
        <v>2733</v>
      </c>
      <c r="B25" s="2903" t="str">
        <f>'预评函-2'!A3</f>
        <v>估价期日土地使用者</v>
      </c>
    </row>
    <row r="26" spans="1:48">
      <c r="A26" s="2902" t="s">
        <v>2709</v>
      </c>
      <c r="B26" s="2903" t="str">
        <f>'预评函-2'!A5</f>
        <v>中信开发</v>
      </c>
    </row>
    <row r="27" spans="1:48">
      <c r="A27" s="2902" t="s">
        <v>2734</v>
      </c>
      <c r="B27" s="2903" t="str">
        <f>'预评函-2'!B3</f>
        <v>宗地编号/不动产单元号</v>
      </c>
    </row>
    <row r="28" spans="1:48">
      <c r="A28" s="2902" t="s">
        <v>2710</v>
      </c>
      <c r="B28" s="2903" t="str">
        <f>'预评函-2'!B5</f>
        <v>11111111111</v>
      </c>
    </row>
    <row r="29" spans="1:48">
      <c r="A29" s="2902" t="s">
        <v>2736</v>
      </c>
      <c r="B29" s="2903">
        <f>'预评函-2'!C5</f>
        <v>22</v>
      </c>
    </row>
    <row r="30" spans="1:48">
      <c r="A30" s="2902" t="s">
        <v>2737</v>
      </c>
      <c r="B30" s="2903" t="str">
        <f>'预评函-2'!D3</f>
        <v>土地使用证编号/不动产权证书编号</v>
      </c>
    </row>
    <row r="31" spans="1:48">
      <c r="A31" s="2902" t="s">
        <v>2711</v>
      </c>
      <c r="B31" s="2903" t="str">
        <f>'预评函-2'!D5</f>
        <v>京国土字第111号</v>
      </c>
    </row>
    <row r="32" spans="1:48">
      <c r="A32" s="2902" t="s">
        <v>2712</v>
      </c>
      <c r="B32" s="2903" t="str">
        <f>'预评函-2'!E5</f>
        <v>城镇住宅用地、科教用地</v>
      </c>
      <c r="AV32" s="2907"/>
    </row>
    <row r="33" spans="1:2">
      <c r="A33" s="2902" t="s">
        <v>2713</v>
      </c>
      <c r="B33" s="2903">
        <f>'预评函-2'!F5</f>
        <v>258</v>
      </c>
    </row>
    <row r="34" spans="1:2">
      <c r="A34" s="2902" t="s">
        <v>2714</v>
      </c>
      <c r="B34" s="2903" t="str">
        <f>'预评函-2'!G5</f>
        <v>城镇住宅用地、科教用地</v>
      </c>
    </row>
    <row r="35" spans="1:2">
      <c r="A35" s="2902" t="s">
        <v>2715</v>
      </c>
      <c r="B35" s="2903">
        <f>'预评函-2'!H5</f>
        <v>1.5</v>
      </c>
    </row>
    <row r="36" spans="1:2">
      <c r="A36" s="2902" t="s">
        <v>2716</v>
      </c>
      <c r="B36" s="2903">
        <f>'预评函-2'!I5</f>
        <v>1.5</v>
      </c>
    </row>
    <row r="37" spans="1:2">
      <c r="A37" s="2902" t="s">
        <v>2717</v>
      </c>
      <c r="B37" s="2903">
        <f>'预评函-2'!J5</f>
        <v>1.5</v>
      </c>
    </row>
    <row r="38" spans="1:2">
      <c r="A38" s="2902" t="s">
        <v>2718</v>
      </c>
      <c r="B38" s="2903" t="str">
        <f>'预评函-2'!K5</f>
        <v>红线外七通、宗地红线内</v>
      </c>
    </row>
    <row r="39" spans="1:2">
      <c r="A39" s="2902" t="s">
        <v>2719</v>
      </c>
      <c r="B39" s="2903" t="str">
        <f>'预评函-2'!L5</f>
        <v>红线外七通、宗地红线内场地</v>
      </c>
    </row>
    <row r="40" spans="1:2">
      <c r="A40" s="2902" t="s">
        <v>2738</v>
      </c>
      <c r="B40" s="2903" t="str">
        <f>'预评函-2'!M3</f>
        <v>（剩余）土地使用年限/年</v>
      </c>
    </row>
    <row r="41" spans="1:2">
      <c r="A41" s="2902" t="s">
        <v>2720</v>
      </c>
      <c r="B41" s="2903" t="str">
        <f>'预评函-2'!M5</f>
        <v>住宅67.61年、商业37.59年、地下车库47.6年</v>
      </c>
    </row>
    <row r="42" spans="1:2">
      <c r="A42" s="2902" t="s">
        <v>2739</v>
      </c>
      <c r="B42" s="2903" t="str">
        <f>'预评函-2'!N3</f>
        <v>（分摊）出让国有建设用地使用权面积/㎡</v>
      </c>
    </row>
    <row r="43" spans="1:2">
      <c r="A43" s="2902" t="s">
        <v>2721</v>
      </c>
      <c r="B43" s="2903">
        <f>'预评函-2'!N5</f>
        <v>117974.91</v>
      </c>
    </row>
    <row r="44" spans="1:2">
      <c r="A44" s="2902" t="s">
        <v>2740</v>
      </c>
      <c r="B44" s="2903" t="str">
        <f>'预评函-2'!O3</f>
        <v>规划建筑面积/㎡</v>
      </c>
    </row>
    <row r="45" spans="1:2">
      <c r="A45" s="2902" t="s">
        <v>2722</v>
      </c>
      <c r="B45" s="2903">
        <f>'预评函-2'!O5</f>
        <v>273671.8</v>
      </c>
    </row>
    <row r="46" spans="1:2">
      <c r="A46" s="2902" t="s">
        <v>2723</v>
      </c>
      <c r="B46" s="2903">
        <f ca="1">'预评函-2'!P5</f>
        <v>11949</v>
      </c>
    </row>
    <row r="47" spans="1:2">
      <c r="A47" s="2902" t="s">
        <v>2724</v>
      </c>
      <c r="B47" s="2903">
        <f ca="1">'预评函-2'!Q5</f>
        <v>5151</v>
      </c>
    </row>
    <row r="48" spans="1:2">
      <c r="A48" s="2902" t="s">
        <v>2725</v>
      </c>
      <c r="B48" s="2903">
        <f ca="1">'预评函-2'!R5</f>
        <v>140971</v>
      </c>
    </row>
    <row r="49" spans="1:2">
      <c r="A49" s="2902" t="s">
        <v>2741</v>
      </c>
      <c r="B49" s="2903" t="str">
        <f>'预评函-2'!A6</f>
        <v>抵押价格</v>
      </c>
    </row>
    <row r="50" spans="1:2">
      <c r="A50" s="2902" t="s">
        <v>2726</v>
      </c>
      <c r="B50" s="2903">
        <f ca="1">'预评函-2'!R6</f>
        <v>140971</v>
      </c>
    </row>
    <row r="51" spans="1:2">
      <c r="A51" s="2902" t="s">
        <v>2742</v>
      </c>
      <c r="B51" s="2903" t="str">
        <f>'预评函-2'!A7</f>
        <v>——</v>
      </c>
    </row>
    <row r="52" spans="1:2">
      <c r="A52" s="2902" t="s">
        <v>2727</v>
      </c>
      <c r="B52" s="2903" t="str">
        <f>'预评函-2'!R7</f>
        <v>——</v>
      </c>
    </row>
    <row r="53" spans="1:2">
      <c r="A53" s="2902" t="s">
        <v>2743</v>
      </c>
      <c r="B53" s="2903">
        <f>'预评函-2'!A8</f>
        <v>0</v>
      </c>
    </row>
    <row r="54" spans="1:2" s="2917" customFormat="1" ht="15" thickBot="1">
      <c r="A54" s="2924" t="s">
        <v>2728</v>
      </c>
      <c r="B54" s="2925" t="str">
        <f>'预评函-2'!R8</f>
        <v>——</v>
      </c>
    </row>
    <row r="55" spans="1:2" ht="15" thickTop="1">
      <c r="A55" s="2913" t="s">
        <v>2678</v>
      </c>
      <c r="B55" s="2914" t="str">
        <f>'预评函-3'!A2</f>
        <v>1.权利限制：根据估价对象《不动产权证书》原件、《国有土地使用权》复印件，截至估价期日，估价对象抵押权未见登记。未设定租赁等其他他项权利。</v>
      </c>
    </row>
    <row r="56" spans="1:2">
      <c r="A56" s="2902" t="s">
        <v>2679</v>
      </c>
      <c r="B56" s="2903" t="str">
        <f>'预评函-3'!A3</f>
        <v>2.基础设施条件：估价对象实际开发程度为红线外七通、宗地红线内；本次评估设定开发程度为红线外七通、宗地红线内场地。</v>
      </c>
    </row>
    <row r="57" spans="1:2">
      <c r="A57" s="2902" t="s">
        <v>2680</v>
      </c>
      <c r="B57" s="2903" t="str">
        <f>'预评函-3'!A4</f>
        <v>3.估价规划限制条件：详见《国有建设用地使用权出让合同》[合同编号：鄂WH（DHK）-2015-00048]及附件、《经济技术指标》。</v>
      </c>
    </row>
    <row r="58" spans="1:2" s="2917" customFormat="1" ht="15" thickBot="1">
      <c r="A58" s="2924" t="s">
        <v>2729</v>
      </c>
      <c r="B58" s="2925" t="str">
        <f>'预评函-3'!A5</f>
        <v>4.影响价格的其他限定条件：无。</v>
      </c>
    </row>
    <row r="59" spans="1:2" ht="15" thickTop="1">
      <c r="A59" s="2913" t="s">
        <v>2681</v>
      </c>
      <c r="B59" s="2914" t="str">
        <f>'预评函-3'!A8</f>
        <v>2.本《评估意见函》仅供金融机构进行内部审核使用，不做其他目的之用。</v>
      </c>
    </row>
    <row r="60" spans="1:2">
      <c r="A60" s="2902" t="s">
        <v>2682</v>
      </c>
      <c r="B60" s="2903" t="str">
        <f>'预评函-3'!A9</f>
        <v>3.抵押双方在办理抵押登记手续时，应使用本公司出具的正式《土地估价报告》，特提请报告使用者注意。</v>
      </c>
    </row>
    <row r="61" spans="1:2">
      <c r="A61" s="2902" t="s">
        <v>2684</v>
      </c>
      <c r="B61" s="2903" t="str">
        <f>'预评函-3'!A10</f>
        <v>4.估价师所知悉的法定优先受偿款情况为：</v>
      </c>
    </row>
    <row r="62" spans="1:2">
      <c r="A62" s="2902" t="s">
        <v>2683</v>
      </c>
      <c r="B62" s="2903" t="str">
        <f>'预评函-3'!A11</f>
        <v>（1）根据估价对象《不动产权证书》原件、《国有土地使用权》复印件，截至估价期日，估价对象抵押权未见登记。</v>
      </c>
    </row>
    <row r="63" spans="1:2">
      <c r="A63" s="2902" t="s">
        <v>2685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2686</v>
      </c>
      <c r="B64" s="2908" t="str">
        <f>'预评函-3'!A13</f>
        <v>（3）。</v>
      </c>
    </row>
    <row r="65" spans="1:2">
      <c r="A65" s="2902" t="s">
        <v>2687</v>
      </c>
      <c r="B65" s="2909" t="str">
        <f>'预评函-3'!A14</f>
        <v>综上，本次评估不存在估价师知悉的法定优先受偿款</v>
      </c>
    </row>
    <row r="66" spans="1:2">
      <c r="A66" s="2902" t="s">
        <v>2688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2692</v>
      </c>
      <c r="B68" s="2928">
        <f>'预评函-3'!D30</f>
        <v>42558</v>
      </c>
    </row>
    <row r="69" spans="1:2" ht="15" thickTop="1">
      <c r="A69" s="2913" t="s">
        <v>2690</v>
      </c>
      <c r="B69" s="2914" t="str">
        <f>'预评函-3'!A20</f>
        <v>王鹏</v>
      </c>
    </row>
    <row r="70" spans="1:2">
      <c r="A70" s="2902" t="s">
        <v>2690</v>
      </c>
      <c r="B70" s="2909">
        <f ca="1">'预评函-3'!B20</f>
        <v>2002110030</v>
      </c>
    </row>
    <row r="71" spans="1:2">
      <c r="A71" s="2902" t="s">
        <v>2691</v>
      </c>
      <c r="B71" s="2903" t="str">
        <f>'预评函-3'!A21</f>
        <v>郑燚</v>
      </c>
    </row>
    <row r="72" spans="1:2" s="2917" customFormat="1" ht="15" thickBot="1">
      <c r="A72" s="2924" t="s">
        <v>2691</v>
      </c>
      <c r="B72" s="2930">
        <f>'预评函-3'!B21</f>
        <v>2014110011</v>
      </c>
    </row>
    <row r="73" spans="1:2" ht="15" thickTop="1">
      <c r="A73" s="2913" t="s">
        <v>2750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2787</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3"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95" t="str">
        <f>IF(B10="北京市","北京市",C10)&amp;F10&amp;B16&amp;"国有建设用地使用权"&amp;B9&amp;"预评估"</f>
        <v>武汉市东湖新技术开发区花城大道以东、土吴路以西、松涛路以南出让国有建设用地使用权抵押价格预评估</v>
      </c>
      <c r="C1" s="3296"/>
      <c r="D1" s="3296"/>
      <c r="E1" s="3296"/>
      <c r="F1" s="3296"/>
      <c r="G1" s="3296"/>
      <c r="H1" s="3296"/>
      <c r="I1" s="3297"/>
      <c r="J1" s="1693"/>
      <c r="K1" s="2479" t="str">
        <f>IF(B10="北京市","北京市",C10)&amp;F10&amp;B16&amp;"国有建设用地使用权"&amp;B9</f>
        <v>武汉市东湖新技术开发区花城大道以东、土吴路以西、松涛路以南出让国有建设用地使用权抵押价格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武汉市东湖新技术开发区花城大道以东、土吴路以西、松涛路以南出让国有建设用地使用权</v>
      </c>
      <c r="L2" s="1722"/>
      <c r="M2" s="1722"/>
      <c r="N2" s="1693"/>
      <c r="O2" s="1694"/>
      <c r="P2" s="1693"/>
      <c r="Q2" s="1693"/>
      <c r="R2" s="1693"/>
      <c r="S2" s="1693"/>
      <c r="T2" s="1693"/>
      <c r="U2" s="1693"/>
    </row>
    <row r="3" spans="1:21">
      <c r="A3" s="1660" t="s">
        <v>1941</v>
      </c>
      <c r="B3" s="1661">
        <v>43217</v>
      </c>
      <c r="C3" s="1662" t="s">
        <v>1997</v>
      </c>
      <c r="D3" s="1661">
        <v>43217</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2968</v>
      </c>
      <c r="C4" s="1845">
        <f ca="1">SUMIF(土地估价师,B4,估价师及机构信息!E3:E24)</f>
        <v>2002110030</v>
      </c>
      <c r="D4" s="1842" t="s">
        <v>2969</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1943</v>
      </c>
      <c r="B5" s="1788" t="s">
        <v>2971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2970</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2707</v>
      </c>
      <c r="B7" s="1788" t="s">
        <v>3133</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2973</v>
      </c>
      <c r="C8" s="1670"/>
      <c r="D8" s="3301" t="s">
        <v>1946</v>
      </c>
      <c r="E8" s="1843" t="s">
        <v>2974</v>
      </c>
      <c r="F8" s="1671"/>
      <c r="G8" s="1659"/>
      <c r="H8" s="1659"/>
      <c r="I8" s="1706"/>
      <c r="J8" s="1693"/>
      <c r="K8" s="1773"/>
      <c r="L8" s="1722"/>
      <c r="M8" s="1722"/>
      <c r="N8" s="1693"/>
      <c r="O8" s="1694"/>
      <c r="P8" s="1693"/>
      <c r="Q8" s="1693"/>
      <c r="R8" s="1693"/>
      <c r="S8" s="1693"/>
      <c r="T8" s="1693"/>
      <c r="U8" s="1693"/>
    </row>
    <row r="9" spans="1:21" ht="15" thickBot="1">
      <c r="A9" s="1672" t="s">
        <v>1945</v>
      </c>
      <c r="B9" s="1673" t="s">
        <v>2974</v>
      </c>
      <c r="C9" s="1674"/>
      <c r="D9" s="3302"/>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2975</v>
      </c>
      <c r="C10" s="1675" t="s">
        <v>2976</v>
      </c>
      <c r="D10" s="1666"/>
      <c r="E10" s="1676" t="s">
        <v>1948</v>
      </c>
      <c r="F10" s="1677" t="s">
        <v>2977</v>
      </c>
      <c r="G10" s="1744"/>
      <c r="H10" s="1745"/>
      <c r="I10" s="1666"/>
      <c r="J10" s="1693"/>
      <c r="K10" s="1773"/>
      <c r="L10" s="1722"/>
      <c r="M10" s="1722"/>
      <c r="N10" s="1693"/>
      <c r="O10" s="1694"/>
      <c r="P10" s="1693"/>
      <c r="Q10" s="1693"/>
      <c r="R10" s="1693"/>
      <c r="S10" s="1693"/>
      <c r="T10" s="1693"/>
      <c r="U10" s="1693"/>
    </row>
    <row r="11" spans="1:21" ht="28.5">
      <c r="A11" s="1696" t="s">
        <v>2001</v>
      </c>
      <c r="B11" s="1697" t="s">
        <v>2978</v>
      </c>
      <c r="C11" s="1678" t="s">
        <v>2972</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98" t="s">
        <v>2980</v>
      </c>
      <c r="C12" s="3299"/>
      <c r="D12" s="3300"/>
      <c r="E12" s="1698" t="s">
        <v>2062</v>
      </c>
      <c r="F12" s="3316" t="s">
        <v>2979</v>
      </c>
      <c r="G12" s="3317"/>
      <c r="H12" s="3317"/>
      <c r="I12" s="3318"/>
      <c r="J12" s="1693"/>
      <c r="K12" s="1773"/>
      <c r="L12" s="1722"/>
      <c r="M12" s="1722"/>
      <c r="N12" s="1693"/>
      <c r="O12" s="1694"/>
      <c r="P12" s="1693"/>
      <c r="Q12" s="1693"/>
      <c r="R12" s="1693"/>
      <c r="S12" s="1693"/>
      <c r="T12" s="1693"/>
      <c r="U12" s="1693"/>
    </row>
    <row r="13" spans="1:21">
      <c r="A13" s="1686" t="s">
        <v>2060</v>
      </c>
      <c r="B13" s="3298" t="s">
        <v>2981</v>
      </c>
      <c r="C13" s="3299"/>
      <c r="D13" s="3300"/>
      <c r="E13" s="1698" t="s">
        <v>2062</v>
      </c>
      <c r="F13" s="3316" t="s">
        <v>2982</v>
      </c>
      <c r="G13" s="3317"/>
      <c r="H13" s="3317"/>
      <c r="I13" s="3318"/>
      <c r="J13" s="1693"/>
      <c r="K13" s="1773"/>
      <c r="L13" s="1722"/>
      <c r="M13" s="1722"/>
      <c r="N13" s="1693"/>
      <c r="O13" s="1694"/>
      <c r="P13" s="1693"/>
      <c r="Q13" s="1693"/>
      <c r="R13" s="1693"/>
      <c r="S13" s="1693"/>
      <c r="T13" s="1693"/>
      <c r="U13" s="1693"/>
    </row>
    <row r="14" spans="1:21">
      <c r="A14" s="1660" t="s">
        <v>2063</v>
      </c>
      <c r="B14" s="1698"/>
      <c r="C14" s="1844" t="s">
        <v>2983</v>
      </c>
      <c r="D14" s="1732" t="str">
        <f>IF(C14="不一致","是否符合证载地类范围","")</f>
        <v/>
      </c>
      <c r="E14" s="1698"/>
      <c r="F14" s="1789" t="s">
        <v>2984</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2985</v>
      </c>
      <c r="C16" s="1698" t="s">
        <v>1950</v>
      </c>
      <c r="D16" s="2670" t="s">
        <v>1951</v>
      </c>
      <c r="E16" s="1721" t="s">
        <v>3046</v>
      </c>
      <c r="F16" s="1721"/>
      <c r="G16" s="1721" t="s">
        <v>3045</v>
      </c>
      <c r="H16" s="1721"/>
      <c r="I16" s="1685" t="s">
        <v>1956</v>
      </c>
      <c r="J16" s="1693"/>
      <c r="K16" s="2480" t="str">
        <f>IF(D17="","",D16&amp;TEXT(D17,"yyyy年m月d日;;"))</f>
        <v>住宅2085年11月22日</v>
      </c>
      <c r="L16" s="1698" t="str">
        <f>IF(OR(K16="",M16=""),"","、")</f>
        <v>、</v>
      </c>
      <c r="M16" s="2480" t="str">
        <f>IF(E17="","",E16&amp;TEXT(E17,"yyyy年m月d日;;"))</f>
        <v>商业2055年11月22日</v>
      </c>
      <c r="N16" s="1698" t="str">
        <f>IF(OR(M16="",O16=""),"","、")</f>
        <v/>
      </c>
      <c r="O16" s="2480" t="str">
        <f>IF(F17="","",F16&amp;TEXT(F17,"yyyy年m月d日;;"))</f>
        <v/>
      </c>
      <c r="P16" s="1698" t="str">
        <f>IF(OR(O16="",Q16=""),"","、")</f>
        <v/>
      </c>
      <c r="Q16" s="2480" t="str">
        <f>IF(G17="","",G16&amp;TEXT(G17,"yyyy年m月d日;;"))</f>
        <v>车库2065年11月22日</v>
      </c>
      <c r="R16" s="1698" t="str">
        <f>IF(OR(Q16="",S16=""),"","、")</f>
        <v/>
      </c>
      <c r="S16" s="2480" t="str">
        <f>IF(H17="","",H16&amp;TEXT(H17,"yyyy年m月d日;;"))</f>
        <v/>
      </c>
      <c r="T16" s="1698" t="str">
        <f>IF(OR(S16="",U16=""),"","、")</f>
        <v/>
      </c>
      <c r="U16" s="2480" t="str">
        <f>IF(I17="","",I16&amp;TEXT(I17,"yyyy年m月d日;;"))</f>
        <v/>
      </c>
    </row>
    <row r="17" spans="1:21">
      <c r="A17" s="1762"/>
      <c r="B17" s="1681"/>
      <c r="C17" s="1682" t="s">
        <v>1957</v>
      </c>
      <c r="D17" s="1699">
        <v>67898</v>
      </c>
      <c r="E17" s="1699">
        <v>56940</v>
      </c>
      <c r="F17" s="1699"/>
      <c r="G17" s="1699">
        <v>60593</v>
      </c>
      <c r="H17" s="1699"/>
      <c r="I17" s="1699"/>
      <c r="J17" s="1693"/>
      <c r="K17" s="2479" t="str">
        <f>CONCATENATE(K16,L16,M16,N16,O16,P16,Q16,R16,S16,T16,,U16)</f>
        <v>住宅2085年11月22日、商业2055年11月22日车库2065年11月22日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67.61</v>
      </c>
      <c r="E19" s="1684">
        <f>IF(B16="出让",IF(E17="","",ROUNDDOWN(MIN((E17-$D$3)/365,E18),2)),E18)</f>
        <v>37.590000000000003</v>
      </c>
      <c r="F19" s="1684" t="str">
        <f>IF(B16="出让",IF(F17="","",ROUNDDOWN(MIN((F17-$D$3)/365,F18),2)),F18)</f>
        <v/>
      </c>
      <c r="G19" s="1684">
        <f>IF(B16="出让",IF(G17="","",ROUNDDOWN(MIN((G17-$D$3)/365,G18),2)),G18)</f>
        <v>47.6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313" t="s">
        <v>3127</v>
      </c>
      <c r="E20" s="3314"/>
      <c r="F20" s="3314"/>
      <c r="G20" s="3314"/>
      <c r="H20" s="3314"/>
      <c r="I20" s="3315"/>
      <c r="J20" s="1693"/>
      <c r="K20" s="1773"/>
      <c r="L20" s="1722"/>
      <c r="M20" s="1722"/>
      <c r="N20" s="1693"/>
      <c r="O20" s="1694"/>
      <c r="P20" s="1693"/>
      <c r="Q20" s="1693"/>
      <c r="R20" s="1693"/>
      <c r="S20" s="1693"/>
      <c r="T20" s="1693"/>
      <c r="U20" s="1693"/>
    </row>
    <row r="21" spans="1:21">
      <c r="A21" s="1762" t="s">
        <v>1960</v>
      </c>
      <c r="B21" s="1763" t="s">
        <v>1961</v>
      </c>
      <c r="C21" s="1758">
        <f>'数据-汇总表'!E3</f>
        <v>273671.8</v>
      </c>
      <c r="D21" s="1759" t="s">
        <v>1962</v>
      </c>
      <c r="E21" s="3303" t="s">
        <v>2986</v>
      </c>
      <c r="F21" s="3304"/>
      <c r="G21" s="3304"/>
      <c r="H21" s="3304"/>
      <c r="I21" s="3305"/>
      <c r="J21" s="1693"/>
      <c r="K21" s="1773"/>
      <c r="L21" s="1722"/>
      <c r="M21" s="1722"/>
      <c r="N21" s="1693"/>
      <c r="O21" s="1694"/>
      <c r="P21" s="1693"/>
      <c r="Q21" s="1693"/>
      <c r="R21" s="1693"/>
      <c r="S21" s="1693"/>
      <c r="T21" s="1693"/>
      <c r="U21" s="1693"/>
    </row>
    <row r="22" spans="1:21">
      <c r="A22" s="3179" t="s">
        <v>951</v>
      </c>
      <c r="B22" s="1660" t="s">
        <v>1963</v>
      </c>
      <c r="C22" s="1685">
        <f>'数据-汇总表'!D3</f>
        <v>117974.91</v>
      </c>
      <c r="D22" s="1686" t="s">
        <v>1962</v>
      </c>
      <c r="E22" s="3303" t="s">
        <v>2987</v>
      </c>
      <c r="F22" s="3304"/>
      <c r="G22" s="3304"/>
      <c r="H22" s="3304"/>
      <c r="I22" s="3305"/>
      <c r="J22" s="1693"/>
      <c r="K22" s="1773"/>
      <c r="L22" s="1722"/>
      <c r="M22" s="1722"/>
      <c r="N22" s="1693"/>
      <c r="O22" s="1694"/>
      <c r="P22" s="1693"/>
      <c r="Q22" s="1693"/>
      <c r="R22" s="1693"/>
      <c r="S22" s="1693"/>
      <c r="T22" s="1693"/>
      <c r="U22" s="1693"/>
    </row>
    <row r="23" spans="1:21" ht="29.25" thickBot="1">
      <c r="A23" s="1764" t="s">
        <v>1964</v>
      </c>
      <c r="B23" s="1700" t="s">
        <v>1965</v>
      </c>
      <c r="C23" s="1701" t="s">
        <v>2988</v>
      </c>
      <c r="D23" s="1702" t="s">
        <v>1966</v>
      </c>
      <c r="E23" s="1703" t="s">
        <v>2988</v>
      </c>
      <c r="F23" s="1704" t="str">
        <f>IF(AND(C23="是",E23="否"),"是否提供他项权证或相关说明","")</f>
        <v/>
      </c>
      <c r="G23" s="1705" t="s">
        <v>2988</v>
      </c>
      <c r="H23" s="1693"/>
      <c r="I23" s="1706"/>
      <c r="J23" s="1693"/>
      <c r="K23" s="1773"/>
      <c r="L23" s="1722"/>
      <c r="M23" s="1722"/>
      <c r="N23" s="1693"/>
      <c r="O23" s="1694"/>
      <c r="P23" s="1693"/>
      <c r="Q23" s="1693"/>
      <c r="R23" s="1693"/>
      <c r="S23" s="1693"/>
      <c r="T23" s="1693"/>
      <c r="U23" s="1693"/>
    </row>
    <row r="24" spans="1:21">
      <c r="A24" s="1749" t="s">
        <v>1967</v>
      </c>
      <c r="B24" s="3306" t="s">
        <v>1968</v>
      </c>
      <c r="C24" s="3307"/>
      <c r="D24" s="3308" t="s">
        <v>1969</v>
      </c>
      <c r="E24" s="3309"/>
      <c r="F24" s="1707" t="s">
        <v>1970</v>
      </c>
      <c r="G24" s="1693"/>
      <c r="H24" s="1693"/>
      <c r="I24" s="1706"/>
      <c r="J24" s="1693"/>
      <c r="K24" s="3294"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1972</v>
      </c>
      <c r="D25" s="1709"/>
      <c r="E25" s="1710" t="s">
        <v>951</v>
      </c>
      <c r="F25" s="1711"/>
      <c r="G25" s="1693"/>
      <c r="H25" s="1693"/>
      <c r="I25" s="1706"/>
      <c r="J25" s="1693"/>
      <c r="K25" s="329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2327</v>
      </c>
      <c r="D26" s="1659"/>
      <c r="E26" s="1659"/>
      <c r="F26" s="1687"/>
      <c r="G26" s="1693"/>
      <c r="H26" s="1693"/>
      <c r="I26" s="1706"/>
      <c r="J26" s="1693"/>
      <c r="K26" s="329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80" t="s">
        <v>2002</v>
      </c>
      <c r="B31" s="1763" t="s">
        <v>2003</v>
      </c>
      <c r="C31" s="3319"/>
      <c r="D31" s="3320"/>
      <c r="E31" s="1693"/>
      <c r="F31" s="1693"/>
      <c r="G31" s="1693"/>
      <c r="H31" s="1693"/>
      <c r="I31" s="1706"/>
      <c r="J31" s="1693"/>
      <c r="K31" s="2482"/>
      <c r="L31" s="1693"/>
      <c r="M31" s="1693"/>
      <c r="N31" s="1693"/>
      <c r="O31" s="1693"/>
      <c r="P31" s="1693"/>
      <c r="Q31" s="1693"/>
      <c r="R31" s="1693"/>
      <c r="S31" s="1693"/>
      <c r="T31" s="1693"/>
      <c r="U31" s="1693"/>
    </row>
    <row r="32" spans="1:21">
      <c r="A32" s="3280"/>
      <c r="B32" s="1660"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80"/>
      <c r="B33" s="1660"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81"/>
      <c r="B34" s="1660" t="s">
        <v>2006</v>
      </c>
      <c r="C34" s="3282"/>
      <c r="D34" s="3283"/>
      <c r="E34" s="1693"/>
      <c r="F34" s="1693"/>
      <c r="G34" s="1693"/>
      <c r="H34" s="1693"/>
      <c r="I34" s="1706"/>
      <c r="J34" s="1693"/>
      <c r="K34" s="2482"/>
      <c r="L34" s="1693"/>
      <c r="M34" s="1693"/>
      <c r="N34" s="1693"/>
      <c r="O34" s="1693"/>
      <c r="P34" s="1693"/>
      <c r="Q34" s="1693"/>
      <c r="R34" s="1693"/>
      <c r="S34" s="1693"/>
      <c r="T34" s="1693"/>
      <c r="U34" s="1693"/>
    </row>
    <row r="35" spans="1:21">
      <c r="A35" s="3284" t="s">
        <v>846</v>
      </c>
      <c r="B35" s="1721"/>
      <c r="C35" s="1775" t="str">
        <f>IF(B35="场地平整","——","具体情况：")</f>
        <v>具体情况：</v>
      </c>
      <c r="D35" s="3286"/>
      <c r="E35" s="3287"/>
      <c r="F35" s="3287"/>
      <c r="G35" s="3287"/>
      <c r="H35" s="3287"/>
      <c r="I35" s="3288"/>
      <c r="J35" s="1693"/>
      <c r="K35" s="1774"/>
      <c r="L35" s="1722"/>
      <c r="M35" s="1722"/>
      <c r="N35" s="1693"/>
      <c r="O35" s="1694"/>
      <c r="P35" s="1693"/>
      <c r="Q35" s="1693"/>
      <c r="R35" s="1693"/>
      <c r="S35" s="1693"/>
      <c r="T35" s="1693"/>
      <c r="U35" s="1693"/>
    </row>
    <row r="36" spans="1:21">
      <c r="A36" s="3280"/>
      <c r="B36" s="3289" t="s">
        <v>2055</v>
      </c>
      <c r="C36" s="3290"/>
      <c r="D36" s="1791"/>
      <c r="E36" s="3291"/>
      <c r="F36" s="3291"/>
      <c r="G36" s="1686" t="str">
        <f>IF(B35="场地未平整","估价结果处理","")</f>
        <v/>
      </c>
      <c r="H36" s="3292"/>
      <c r="I36" s="3292"/>
      <c r="J36" s="1693"/>
      <c r="K36" s="1774"/>
      <c r="L36" s="1722"/>
      <c r="M36" s="1722"/>
      <c r="N36" s="1693"/>
      <c r="O36" s="1694"/>
      <c r="P36" s="1693"/>
      <c r="Q36" s="1693"/>
      <c r="R36" s="1693"/>
      <c r="S36" s="1693"/>
      <c r="T36" s="1693"/>
      <c r="U36" s="1693"/>
    </row>
    <row r="37" spans="1:21" ht="28.5">
      <c r="A37" s="3280"/>
      <c r="B37" s="331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80"/>
      <c r="B38" s="3311"/>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281"/>
      <c r="B39" s="331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93" t="s">
        <v>1987</v>
      </c>
      <c r="T40" s="1730" t="str">
        <f>NUMBERSTRING(7-K40,1)&amp;"通"</f>
        <v>七通</v>
      </c>
      <c r="U40" s="1693"/>
    </row>
    <row r="41" spans="1:21">
      <c r="A41" s="1662"/>
      <c r="B41" s="3285" t="s">
        <v>1721</v>
      </c>
      <c r="C41" s="3285"/>
      <c r="D41" s="3285"/>
      <c r="E41" s="3285"/>
      <c r="F41" s="1731" t="str">
        <f>C10</f>
        <v>武汉市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93"/>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2888</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RowHeight="13.5"/>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6" sqref="C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117974.91</v>
      </c>
      <c r="B3" s="22">
        <f>IF(C3="否",G5-AT5,G5)</f>
        <v>273671.80000000005</v>
      </c>
      <c r="C3" s="23" t="s">
        <v>2988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284658.96000000002</v>
      </c>
      <c r="H5" s="27">
        <f t="shared" ref="H5:AT5" si="0">SUM(H13:H641)</f>
        <v>230940.73000000004</v>
      </c>
      <c r="I5" s="27">
        <f t="shared" si="0"/>
        <v>147057.1</v>
      </c>
      <c r="J5" s="27">
        <f t="shared" si="0"/>
        <v>0</v>
      </c>
      <c r="K5" s="27">
        <f t="shared" si="0"/>
        <v>20585.38</v>
      </c>
      <c r="L5" s="27">
        <f t="shared" si="0"/>
        <v>0</v>
      </c>
      <c r="M5" s="27">
        <f t="shared" si="0"/>
        <v>9218.7000000000007</v>
      </c>
      <c r="N5" s="27">
        <f t="shared" si="0"/>
        <v>0</v>
      </c>
      <c r="O5" s="27">
        <f t="shared" si="0"/>
        <v>2457.4699999999998</v>
      </c>
      <c r="P5" s="27">
        <f t="shared" si="0"/>
        <v>0</v>
      </c>
      <c r="Q5" s="27">
        <f t="shared" si="0"/>
        <v>51622.080000000002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42731.069999999992</v>
      </c>
      <c r="AD5" s="27">
        <f t="shared" si="0"/>
        <v>2147.36</v>
      </c>
      <c r="AE5" s="27">
        <f t="shared" si="0"/>
        <v>0</v>
      </c>
      <c r="AF5" s="27">
        <f t="shared" si="0"/>
        <v>0</v>
      </c>
      <c r="AG5" s="27">
        <f t="shared" si="0"/>
        <v>0</v>
      </c>
      <c r="AH5" s="27">
        <f t="shared" si="0"/>
        <v>611.23</v>
      </c>
      <c r="AI5" s="27">
        <f t="shared" si="0"/>
        <v>0</v>
      </c>
      <c r="AJ5" s="27">
        <f t="shared" si="0"/>
        <v>0</v>
      </c>
      <c r="AK5" s="27">
        <f t="shared" si="0"/>
        <v>0</v>
      </c>
      <c r="AL5" s="27">
        <f t="shared" si="0"/>
        <v>39972.479999999996</v>
      </c>
      <c r="AM5" s="27">
        <f t="shared" si="0"/>
        <v>0</v>
      </c>
      <c r="AN5" s="27">
        <f t="shared" si="0"/>
        <v>0</v>
      </c>
      <c r="AO5" s="27">
        <f t="shared" si="0"/>
        <v>0</v>
      </c>
      <c r="AP5" s="27">
        <f t="shared" si="0"/>
        <v>0</v>
      </c>
      <c r="AQ5" s="27">
        <f t="shared" si="0"/>
        <v>0</v>
      </c>
      <c r="AR5" s="27">
        <f t="shared" si="0"/>
        <v>0</v>
      </c>
      <c r="AS5" s="27">
        <f t="shared" si="0"/>
        <v>0</v>
      </c>
      <c r="AT5" s="27">
        <f t="shared" si="0"/>
        <v>10987.16</v>
      </c>
      <c r="AU5" s="987"/>
      <c r="AV5" s="26" t="s">
        <v>168</v>
      </c>
      <c r="AW5" s="988"/>
      <c r="AX5" s="988"/>
      <c r="AY5" s="28" t="s">
        <v>3</v>
      </c>
      <c r="AZ5" s="29">
        <f t="shared" ref="AZ5:BT5" si="1">SUM(AZ13:AZ641)</f>
        <v>273671.8</v>
      </c>
      <c r="BA5" s="29">
        <f t="shared" si="1"/>
        <v>230940.73000000004</v>
      </c>
      <c r="BB5" s="29">
        <f t="shared" si="1"/>
        <v>147057.1</v>
      </c>
      <c r="BC5" s="29">
        <f t="shared" si="1"/>
        <v>20585.38</v>
      </c>
      <c r="BD5" s="29">
        <f t="shared" si="1"/>
        <v>9218.7000000000007</v>
      </c>
      <c r="BE5" s="29">
        <f t="shared" si="1"/>
        <v>2457.4699999999998</v>
      </c>
      <c r="BF5" s="29">
        <f t="shared" si="1"/>
        <v>51622.080000000002</v>
      </c>
      <c r="BG5" s="29">
        <f t="shared" si="1"/>
        <v>0</v>
      </c>
      <c r="BH5" s="29">
        <f t="shared" si="1"/>
        <v>0</v>
      </c>
      <c r="BI5" s="29">
        <f t="shared" si="1"/>
        <v>0</v>
      </c>
      <c r="BJ5" s="29">
        <f t="shared" si="1"/>
        <v>0</v>
      </c>
      <c r="BK5" s="29">
        <f t="shared" si="1"/>
        <v>0</v>
      </c>
      <c r="BL5" s="29">
        <f t="shared" si="1"/>
        <v>42731.069999999992</v>
      </c>
      <c r="BM5" s="29">
        <f t="shared" si="1"/>
        <v>2147.36</v>
      </c>
      <c r="BN5" s="29">
        <f t="shared" si="1"/>
        <v>0</v>
      </c>
      <c r="BO5" s="29">
        <f t="shared" si="1"/>
        <v>611.23</v>
      </c>
      <c r="BP5" s="29">
        <f t="shared" si="1"/>
        <v>0</v>
      </c>
      <c r="BQ5" s="29">
        <f t="shared" si="1"/>
        <v>39972.479999999996</v>
      </c>
      <c r="BR5" s="29">
        <f t="shared" si="1"/>
        <v>0</v>
      </c>
      <c r="BS5" s="29">
        <f t="shared" si="1"/>
        <v>0</v>
      </c>
      <c r="BT5" s="30">
        <f t="shared" si="1"/>
        <v>0</v>
      </c>
    </row>
    <row r="6" spans="1:72" s="37" customFormat="1" ht="12.75">
      <c r="A6" s="26" t="s">
        <v>169</v>
      </c>
      <c r="B6" s="31"/>
      <c r="C6" s="31"/>
      <c r="D6" s="32"/>
      <c r="E6" s="27">
        <f>H6+AC6+AT6</f>
        <v>117974.90999999999</v>
      </c>
      <c r="F6" s="27" t="s">
        <v>1</v>
      </c>
      <c r="G6" s="27" t="s">
        <v>2</v>
      </c>
      <c r="H6" s="33">
        <f>SUMIF(I$12:AB$12,"总值",I6:AB6)</f>
        <v>99554.319999999992</v>
      </c>
      <c r="I6" s="27">
        <f t="shared" ref="I6:AB6" si="2">ROUND($A$3*I5/$B$3,2)</f>
        <v>63393.63</v>
      </c>
      <c r="J6" s="27">
        <f t="shared" si="2"/>
        <v>0</v>
      </c>
      <c r="K6" s="27">
        <f t="shared" si="2"/>
        <v>8873.98</v>
      </c>
      <c r="L6" s="27">
        <f t="shared" si="2"/>
        <v>0</v>
      </c>
      <c r="M6" s="27">
        <f t="shared" si="2"/>
        <v>3974.01</v>
      </c>
      <c r="N6" s="27">
        <f t="shared" si="2"/>
        <v>0</v>
      </c>
      <c r="O6" s="27">
        <f t="shared" si="2"/>
        <v>1059.3699999999999</v>
      </c>
      <c r="P6" s="27">
        <f t="shared" si="2"/>
        <v>0</v>
      </c>
      <c r="Q6" s="27">
        <f t="shared" si="2"/>
        <v>22253.33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18420.59</v>
      </c>
      <c r="AD6" s="27">
        <f t="shared" ref="AD6:AS6" si="3">ROUND($A$3*AD5/$B$3,2)</f>
        <v>925.69</v>
      </c>
      <c r="AE6" s="27">
        <f t="shared" si="3"/>
        <v>0</v>
      </c>
      <c r="AF6" s="27">
        <f t="shared" si="3"/>
        <v>0</v>
      </c>
      <c r="AG6" s="27">
        <f t="shared" si="3"/>
        <v>0</v>
      </c>
      <c r="AH6" s="27">
        <f t="shared" si="3"/>
        <v>263.49</v>
      </c>
      <c r="AI6" s="27">
        <f t="shared" si="3"/>
        <v>0</v>
      </c>
      <c r="AJ6" s="27">
        <f t="shared" si="3"/>
        <v>0</v>
      </c>
      <c r="AK6" s="27">
        <f t="shared" si="3"/>
        <v>0</v>
      </c>
      <c r="AL6" s="27">
        <f t="shared" si="3"/>
        <v>17231.41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117974.91</v>
      </c>
      <c r="AZ6" s="27" t="s">
        <v>3</v>
      </c>
      <c r="BA6" s="27">
        <f>ROUND($AY$6*BA5/$AZ$5,2)</f>
        <v>99554.33</v>
      </c>
      <c r="BB6" s="27">
        <f>ROUND($AY$6*BB5/$AZ$5,2)</f>
        <v>63393.63</v>
      </c>
      <c r="BC6" s="27">
        <f t="shared" ref="BC6:BH6" si="4">ROUND($AY$6*BC5/$AZ$5,2)</f>
        <v>8873.98</v>
      </c>
      <c r="BD6" s="27">
        <f t="shared" si="4"/>
        <v>3974.01</v>
      </c>
      <c r="BE6" s="27">
        <f t="shared" si="4"/>
        <v>1059.3699999999999</v>
      </c>
      <c r="BF6" s="27">
        <f t="shared" si="4"/>
        <v>22253.33</v>
      </c>
      <c r="BG6" s="27">
        <f t="shared" si="4"/>
        <v>0</v>
      </c>
      <c r="BH6" s="27">
        <f t="shared" si="4"/>
        <v>0</v>
      </c>
      <c r="BI6" s="27">
        <f t="shared" ref="BI6:BT6" si="5">ROUND($AY$6*BI5/$AZ$5,2)</f>
        <v>0</v>
      </c>
      <c r="BJ6" s="27">
        <f t="shared" si="5"/>
        <v>0</v>
      </c>
      <c r="BK6" s="27">
        <f t="shared" si="5"/>
        <v>0</v>
      </c>
      <c r="BL6" s="27">
        <f t="shared" si="5"/>
        <v>18420.580000000002</v>
      </c>
      <c r="BM6" s="27">
        <f t="shared" si="5"/>
        <v>925.69</v>
      </c>
      <c r="BN6" s="27">
        <f t="shared" si="5"/>
        <v>0</v>
      </c>
      <c r="BO6" s="27">
        <f t="shared" si="5"/>
        <v>263.49</v>
      </c>
      <c r="BP6" s="27">
        <f t="shared" si="5"/>
        <v>0</v>
      </c>
      <c r="BQ6" s="27">
        <f t="shared" si="5"/>
        <v>17231.41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3036</v>
      </c>
      <c r="J9" s="51"/>
      <c r="K9" s="3043" t="s">
        <v>3036</v>
      </c>
      <c r="L9" s="51"/>
      <c r="M9" s="3043" t="s">
        <v>3036</v>
      </c>
      <c r="N9" s="51"/>
      <c r="O9" s="59" t="s">
        <v>3036</v>
      </c>
      <c r="P9" s="51"/>
      <c r="Q9" s="59" t="s">
        <v>3044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922</v>
      </c>
      <c r="J10" s="51"/>
      <c r="K10" s="3045" t="s">
        <v>922</v>
      </c>
      <c r="L10" s="51"/>
      <c r="M10" s="3045" t="s">
        <v>922</v>
      </c>
      <c r="N10" s="51"/>
      <c r="O10" s="66" t="s">
        <v>922</v>
      </c>
      <c r="P10" s="51"/>
      <c r="Q10" s="66" t="s">
        <v>3045</v>
      </c>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3037</v>
      </c>
      <c r="J11" s="71"/>
      <c r="K11" s="3044" t="s">
        <v>3037</v>
      </c>
      <c r="L11" s="71"/>
      <c r="M11" s="70" t="s">
        <v>3037</v>
      </c>
      <c r="N11" s="71"/>
      <c r="O11" s="70" t="s">
        <v>3037</v>
      </c>
      <c r="P11" s="71"/>
      <c r="Q11" s="70" t="s">
        <v>3045</v>
      </c>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平层住宅</v>
      </c>
      <c r="BD12" s="79" t="str">
        <f>M11</f>
        <v>平层住宅</v>
      </c>
      <c r="BE12" s="50" t="str">
        <f>O11</f>
        <v>平层住宅</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3040</v>
      </c>
      <c r="D13" s="3039" t="s">
        <v>1678</v>
      </c>
      <c r="E13" s="27">
        <f t="shared" ref="E13:E20" si="6">IF($C$3="是",ROUND($A$3*G13/$B$3,2),ROUND($A$3*(G13-AT13)/$B$3,2))</f>
        <v>81814.210000000006</v>
      </c>
      <c r="F13" s="81"/>
      <c r="G13" s="82">
        <f t="shared" ref="G13:G20" si="7">H13+AC13+AT13</f>
        <v>189788.16999999998</v>
      </c>
      <c r="H13" s="33">
        <f t="shared" ref="H13:H20" si="8">SUMIF(I$12:AB$12,"总值",I13:AB13)</f>
        <v>147057.1</v>
      </c>
      <c r="I13" s="3042">
        <v>147057.1</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42731.069999999992</v>
      </c>
      <c r="AD13" s="3046">
        <v>2147.36</v>
      </c>
      <c r="AE13" s="3046"/>
      <c r="AF13" s="3046"/>
      <c r="AG13" s="3046"/>
      <c r="AH13" s="3046">
        <v>611.23</v>
      </c>
      <c r="AI13" s="3046"/>
      <c r="AJ13" s="3046"/>
      <c r="AK13" s="3046"/>
      <c r="AL13" s="3046">
        <f>3255.67+36716.81</f>
        <v>39972.479999999996</v>
      </c>
      <c r="AM13" s="3046"/>
      <c r="AN13" s="3046"/>
      <c r="AO13" s="3046"/>
      <c r="AP13" s="3046"/>
      <c r="AQ13" s="3046"/>
      <c r="AR13" s="3046"/>
      <c r="AS13" s="3046"/>
      <c r="AT13" s="3047"/>
      <c r="AU13" s="3048"/>
      <c r="AV13" s="17">
        <f t="shared" ref="AV13:AX20" si="10">A13</f>
        <v>0</v>
      </c>
      <c r="AW13" s="17">
        <f t="shared" si="10"/>
        <v>0</v>
      </c>
      <c r="AX13" s="17" t="str">
        <f t="shared" si="10"/>
        <v>高层住宅</v>
      </c>
      <c r="AY13" s="995">
        <f t="shared" ref="AY13:AY20" si="11">ROUND($AY$6*AZ13/$AZ$5,2)</f>
        <v>81814.210000000006</v>
      </c>
      <c r="AZ13" s="27">
        <f t="shared" ref="AZ13:AZ20" si="12">BA13+BL13</f>
        <v>189788.16999999998</v>
      </c>
      <c r="BA13" s="27">
        <f t="shared" ref="BA13:BA20" si="13">SUM(BB13:BK13)</f>
        <v>147057.1</v>
      </c>
      <c r="BB13" s="27">
        <f t="shared" ref="BB13:BB20" si="14">IF($D13="是",I13-J13,0)</f>
        <v>147057.1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42731.069999999992</v>
      </c>
      <c r="BM13" s="27">
        <f t="shared" ref="BM13:BM20" si="25">IF($D13="是",AD13-AE13,0)</f>
        <v>2147.36</v>
      </c>
      <c r="BN13" s="27">
        <f t="shared" ref="BN13:BN20" si="26">IF($D13="是",AF13-AG13,0)</f>
        <v>0</v>
      </c>
      <c r="BO13" s="27">
        <f t="shared" ref="BO13:BO20" si="27">IF($D13="是",AH13-AI13,0)</f>
        <v>611.23</v>
      </c>
      <c r="BP13" s="27">
        <f t="shared" ref="BP13:BP20" si="28">IF($D13="是",AJ13-AK13,0)</f>
        <v>0</v>
      </c>
      <c r="BQ13" s="27">
        <f t="shared" ref="BQ13:BQ20" si="29">IF($D13="是",AL13-AM13,0)</f>
        <v>39972.479999999996</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3042</v>
      </c>
      <c r="D14" s="3039" t="s">
        <v>1678</v>
      </c>
      <c r="E14" s="27">
        <f t="shared" si="6"/>
        <v>8873.98</v>
      </c>
      <c r="F14" s="81"/>
      <c r="G14" s="82">
        <f t="shared" si="7"/>
        <v>20585.38</v>
      </c>
      <c r="H14" s="33">
        <f t="shared" si="8"/>
        <v>20585.38</v>
      </c>
      <c r="I14" s="3042"/>
      <c r="J14" s="3042"/>
      <c r="K14" s="3042">
        <v>20585.38</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中高层住宅</v>
      </c>
      <c r="AY14" s="995">
        <f t="shared" si="11"/>
        <v>8873.98</v>
      </c>
      <c r="AZ14" s="27">
        <f t="shared" si="12"/>
        <v>20585.38</v>
      </c>
      <c r="BA14" s="27">
        <f t="shared" si="13"/>
        <v>20585.38</v>
      </c>
      <c r="BB14" s="27">
        <f t="shared" si="14"/>
        <v>0</v>
      </c>
      <c r="BC14" s="27">
        <f t="shared" si="15"/>
        <v>20585.38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3033</v>
      </c>
      <c r="D15" s="3039" t="s">
        <v>1678</v>
      </c>
      <c r="E15" s="27">
        <f t="shared" si="6"/>
        <v>3974.01</v>
      </c>
      <c r="F15" s="81"/>
      <c r="G15" s="82">
        <f t="shared" si="7"/>
        <v>9218.7000000000007</v>
      </c>
      <c r="H15" s="33">
        <f t="shared" si="8"/>
        <v>9218.7000000000007</v>
      </c>
      <c r="I15" s="3042"/>
      <c r="J15" s="3042"/>
      <c r="K15" s="3042"/>
      <c r="L15" s="3042"/>
      <c r="M15" s="3042">
        <v>9218.7000000000007</v>
      </c>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叠拼别墅</v>
      </c>
      <c r="AY15" s="995">
        <f t="shared" si="11"/>
        <v>3974.01</v>
      </c>
      <c r="AZ15" s="27">
        <f t="shared" si="12"/>
        <v>9218.7000000000007</v>
      </c>
      <c r="BA15" s="27">
        <f t="shared" si="13"/>
        <v>9218.7000000000007</v>
      </c>
      <c r="BB15" s="27">
        <f t="shared" si="14"/>
        <v>0</v>
      </c>
      <c r="BC15" s="27">
        <f t="shared" si="15"/>
        <v>0</v>
      </c>
      <c r="BD15" s="27">
        <f t="shared" si="16"/>
        <v>9218.7000000000007</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3035</v>
      </c>
      <c r="D16" s="3039" t="s">
        <v>1678</v>
      </c>
      <c r="E16" s="27">
        <f t="shared" si="6"/>
        <v>1059.3699999999999</v>
      </c>
      <c r="F16" s="81"/>
      <c r="G16" s="82">
        <f t="shared" si="7"/>
        <v>2457.4699999999998</v>
      </c>
      <c r="H16" s="33">
        <f t="shared" si="8"/>
        <v>2457.4699999999998</v>
      </c>
      <c r="I16" s="3042"/>
      <c r="J16" s="3042"/>
      <c r="K16" s="3042"/>
      <c r="L16" s="3042"/>
      <c r="M16" s="3042"/>
      <c r="N16" s="83"/>
      <c r="O16" s="83">
        <v>2457.4699999999998</v>
      </c>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t="str">
        <f t="shared" si="10"/>
        <v>商业配套</v>
      </c>
      <c r="AY16" s="995">
        <f t="shared" si="11"/>
        <v>1059.3699999999999</v>
      </c>
      <c r="AZ16" s="27">
        <f t="shared" si="12"/>
        <v>2457.4699999999998</v>
      </c>
      <c r="BA16" s="27">
        <f t="shared" si="13"/>
        <v>2457.4699999999998</v>
      </c>
      <c r="BB16" s="27">
        <f t="shared" si="14"/>
        <v>0</v>
      </c>
      <c r="BC16" s="27">
        <f t="shared" si="15"/>
        <v>0</v>
      </c>
      <c r="BD16" s="27">
        <f t="shared" si="16"/>
        <v>0</v>
      </c>
      <c r="BE16" s="27">
        <f t="shared" si="17"/>
        <v>2457.4699999999998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t="s">
        <v>3043</v>
      </c>
      <c r="D17" s="3039" t="s">
        <v>1678</v>
      </c>
      <c r="E17" s="27">
        <f t="shared" si="6"/>
        <v>22253.33</v>
      </c>
      <c r="F17" s="81"/>
      <c r="G17" s="82">
        <f t="shared" si="7"/>
        <v>62609.240000000005</v>
      </c>
      <c r="H17" s="33">
        <f t="shared" si="8"/>
        <v>51622.080000000002</v>
      </c>
      <c r="I17" s="3042"/>
      <c r="J17" s="3042"/>
      <c r="K17" s="3042"/>
      <c r="L17" s="3042"/>
      <c r="M17" s="3042"/>
      <c r="N17" s="83"/>
      <c r="O17" s="83"/>
      <c r="P17" s="83"/>
      <c r="Q17" s="83">
        <v>51622.080000000002</v>
      </c>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v>10987.16</v>
      </c>
      <c r="AU17" s="3048"/>
      <c r="AV17" s="17">
        <f t="shared" si="10"/>
        <v>0</v>
      </c>
      <c r="AW17" s="17">
        <f t="shared" si="10"/>
        <v>0</v>
      </c>
      <c r="AX17" s="17" t="str">
        <f t="shared" si="10"/>
        <v>地下车库</v>
      </c>
      <c r="AY17" s="995">
        <f t="shared" si="11"/>
        <v>22253.33</v>
      </c>
      <c r="AZ17" s="27">
        <f t="shared" si="12"/>
        <v>51622.080000000002</v>
      </c>
      <c r="BA17" s="27">
        <f t="shared" si="13"/>
        <v>51622.080000000002</v>
      </c>
      <c r="BB17" s="27">
        <f t="shared" si="14"/>
        <v>0</v>
      </c>
      <c r="BC17" s="27">
        <f t="shared" si="15"/>
        <v>0</v>
      </c>
      <c r="BD17" s="27">
        <f t="shared" si="16"/>
        <v>0</v>
      </c>
      <c r="BE17" s="27">
        <f t="shared" si="17"/>
        <v>0</v>
      </c>
      <c r="BF17" s="27">
        <f t="shared" si="18"/>
        <v>51622.080000000002</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F45" sqref="F4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32" t="s">
        <v>203</v>
      </c>
      <c r="B2" s="3332"/>
      <c r="C2" s="3332"/>
      <c r="D2" s="1975" t="s">
        <v>204</v>
      </c>
      <c r="E2" s="106" t="s">
        <v>205</v>
      </c>
      <c r="F2" s="1984"/>
      <c r="G2" s="1197"/>
      <c r="H2" s="1198"/>
      <c r="I2" s="1199" t="s">
        <v>856</v>
      </c>
      <c r="J2" s="1984"/>
      <c r="K2" s="1984"/>
      <c r="L2" s="1984"/>
    </row>
    <row r="3" spans="1:16" ht="15.75" thickBot="1">
      <c r="A3" s="3333" t="s">
        <v>206</v>
      </c>
      <c r="B3" s="3333"/>
      <c r="C3" s="3333"/>
      <c r="D3" s="107">
        <f>'数据-基础表'!AY6</f>
        <v>117974.91</v>
      </c>
      <c r="E3" s="107">
        <f>'数据-基础表'!AZ5</f>
        <v>273671.8</v>
      </c>
      <c r="F3" s="1984"/>
      <c r="G3" s="280" t="s">
        <v>857</v>
      </c>
      <c r="H3" s="275" t="s">
        <v>858</v>
      </c>
      <c r="I3" s="1976">
        <f>ROUND('数据-基础表'!B3/'数据-基础表'!A3,2)</f>
        <v>2.3199999999999998</v>
      </c>
      <c r="J3" s="1984"/>
      <c r="K3" s="1984"/>
      <c r="L3" s="1984"/>
    </row>
    <row r="4" spans="1:16" ht="15">
      <c r="A4" s="3334"/>
      <c r="B4" s="3335"/>
      <c r="C4" s="3336"/>
      <c r="D4" s="108" t="s">
        <v>204</v>
      </c>
      <c r="E4" s="109" t="s">
        <v>205</v>
      </c>
      <c r="F4" s="1984"/>
      <c r="G4" s="1200"/>
      <c r="H4" s="275" t="s">
        <v>859</v>
      </c>
      <c r="I4" s="1976">
        <f>ROUND(SUMIF('数据-基础表'!I9:AS9,"地上",'数据-基础表'!I5:AS5)/'数据-基础表'!A3,2)</f>
        <v>1.88</v>
      </c>
      <c r="J4" s="1984"/>
      <c r="K4" s="1984"/>
      <c r="L4" s="1984"/>
    </row>
    <row r="5" spans="1:16">
      <c r="A5" s="110" t="s">
        <v>207</v>
      </c>
      <c r="B5" s="3337" t="s">
        <v>230</v>
      </c>
      <c r="C5" s="3337"/>
      <c r="D5" s="111">
        <f>ROUND($D$3*E5/$E$3,2)</f>
        <v>77300.990000000005</v>
      </c>
      <c r="E5" s="112">
        <f>SUMIF('数据-基础表'!$11:$11,"住宅",'数据-基础表'!$5:$5)</f>
        <v>179318.65000000002</v>
      </c>
      <c r="F5" s="1984"/>
      <c r="G5" s="280" t="s">
        <v>860</v>
      </c>
      <c r="H5" s="275" t="s">
        <v>858</v>
      </c>
      <c r="I5" s="1976">
        <f>ROUND(E31/D31,2)</f>
        <v>2.3199999999999998</v>
      </c>
      <c r="J5" s="1984"/>
      <c r="K5" s="1984"/>
      <c r="L5" s="1984"/>
    </row>
    <row r="6" spans="1:16" ht="15" thickBot="1">
      <c r="A6" s="113"/>
      <c r="B6" s="3337" t="s">
        <v>208</v>
      </c>
      <c r="C6" s="3337"/>
      <c r="D6" s="111">
        <f>ROUND($D$3*E6/$E$3,2)</f>
        <v>40673.919999999998</v>
      </c>
      <c r="E6" s="112">
        <f>E3-E5</f>
        <v>94353.149999999965</v>
      </c>
      <c r="F6" s="1984"/>
      <c r="G6" s="1200"/>
      <c r="H6" s="275" t="s">
        <v>859</v>
      </c>
      <c r="I6" s="1976">
        <f>ROUND(F31/D31,2)</f>
        <v>1.88</v>
      </c>
      <c r="J6" s="1984"/>
      <c r="K6" s="1984"/>
      <c r="L6" s="1984"/>
    </row>
    <row r="7" spans="1:16" ht="15">
      <c r="A7" s="3329"/>
      <c r="B7" s="3330"/>
      <c r="C7" s="3331"/>
      <c r="D7" s="108" t="s">
        <v>204</v>
      </c>
      <c r="E7" s="114" t="s">
        <v>231</v>
      </c>
      <c r="F7" s="1984"/>
      <c r="G7" s="1155" t="s">
        <v>1645</v>
      </c>
      <c r="H7" s="1156"/>
      <c r="I7" s="1846">
        <v>4</v>
      </c>
      <c r="J7" s="1984"/>
      <c r="K7" s="1984"/>
      <c r="L7" s="1984"/>
    </row>
    <row r="8" spans="1:16">
      <c r="A8" s="110" t="s">
        <v>209</v>
      </c>
      <c r="B8" s="115" t="s">
        <v>210</v>
      </c>
      <c r="C8" s="111" t="s">
        <v>211</v>
      </c>
      <c r="D8" s="111">
        <f t="shared" ref="D8:D15" si="0">ROUND($D$3*E8/$E$3,2)</f>
        <v>77300.990000000005</v>
      </c>
      <c r="E8" s="116">
        <f>SUMIF('数据-基础表'!BB10:BK10,"地上",'数据-基础表'!BB5:BK5)</f>
        <v>179318.65000000002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22253.33</v>
      </c>
      <c r="E13" s="116">
        <f>SUMPRODUCT(('数据-基础表'!BB10:BK10="地下")*('数据-基础表'!BB11:BK11="车库")*('数据-基础表'!BB5:BK5))</f>
        <v>51622.080000000002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99554.32</v>
      </c>
      <c r="E16" s="120">
        <f>SUM(E8:E15)</f>
        <v>230940.73000000004</v>
      </c>
      <c r="F16" s="1984"/>
      <c r="G16" s="1986"/>
      <c r="H16" s="967" t="s">
        <v>219</v>
      </c>
      <c r="I16" s="968"/>
      <c r="J16" s="1984"/>
      <c r="K16" s="3323" t="s">
        <v>2566</v>
      </c>
      <c r="L16" s="3324"/>
      <c r="M16" s="3324"/>
      <c r="N16" s="3324"/>
      <c r="O16" s="3324"/>
      <c r="P16" s="3325"/>
    </row>
    <row r="17" spans="1:19" ht="15">
      <c r="A17" s="121" t="s">
        <v>216</v>
      </c>
      <c r="B17" s="122" t="s">
        <v>217</v>
      </c>
      <c r="C17" s="2298" t="s">
        <v>2314</v>
      </c>
      <c r="D17" s="108" t="s">
        <v>204</v>
      </c>
      <c r="E17" s="124" t="s">
        <v>205</v>
      </c>
      <c r="F17" s="125"/>
      <c r="G17" s="1365"/>
      <c r="H17" s="969" t="s">
        <v>218</v>
      </c>
      <c r="I17" s="970" t="s">
        <v>2313</v>
      </c>
      <c r="J17" s="1984"/>
      <c r="K17" s="3326" t="s">
        <v>2567</v>
      </c>
      <c r="L17" s="3327"/>
      <c r="M17" s="3328"/>
      <c r="N17" s="3326" t="s">
        <v>2568</v>
      </c>
      <c r="O17" s="3327"/>
      <c r="P17" s="3328"/>
      <c r="R17" s="2299" t="s">
        <v>2312</v>
      </c>
      <c r="S17" s="144"/>
    </row>
    <row r="18" spans="1:19" ht="15">
      <c r="A18" s="117"/>
      <c r="B18" s="128"/>
      <c r="C18" s="129"/>
      <c r="D18" s="2666"/>
      <c r="E18" s="130" t="s">
        <v>220</v>
      </c>
      <c r="F18" s="131" t="s">
        <v>221</v>
      </c>
      <c r="G18" s="1366" t="s">
        <v>222</v>
      </c>
      <c r="H18" s="971" t="s">
        <v>223</v>
      </c>
      <c r="I18" s="972" t="s">
        <v>224</v>
      </c>
      <c r="J18" s="1984"/>
      <c r="K18" s="2629" t="s">
        <v>2569</v>
      </c>
      <c r="L18" s="2630" t="s">
        <v>2570</v>
      </c>
      <c r="M18" s="2631" t="s">
        <v>2571</v>
      </c>
      <c r="N18" s="2629" t="s">
        <v>2569</v>
      </c>
      <c r="O18" s="2630" t="s">
        <v>2570</v>
      </c>
      <c r="P18" s="2631" t="s">
        <v>2571</v>
      </c>
      <c r="R18" s="2300" t="s">
        <v>2310</v>
      </c>
      <c r="S18" s="2300" t="s">
        <v>2311</v>
      </c>
    </row>
    <row r="19" spans="1:19">
      <c r="A19" s="133"/>
      <c r="B19" s="115" t="s">
        <v>225</v>
      </c>
      <c r="C19" s="3049" t="str">
        <f>'数据-基础表'!C13</f>
        <v>高层住宅</v>
      </c>
      <c r="D19" s="111">
        <f t="shared" ref="D19:D26" si="1">ROUND($D$3*E19/$E$3,2)</f>
        <v>63393.63</v>
      </c>
      <c r="E19" s="134">
        <f t="shared" ref="E19:E26" si="2">SUM(F19:G19)</f>
        <v>147057.1</v>
      </c>
      <c r="F19" s="135">
        <f>'数据-基础表'!I5</f>
        <v>147057.1</v>
      </c>
      <c r="G19" s="1367"/>
      <c r="H19" s="973">
        <f>ROUND($D$3*I19/$E$3,2)</f>
        <v>12015.67</v>
      </c>
      <c r="I19" s="116">
        <f>IF($I$17="自定义",P19,M19)</f>
        <v>27873.289999999997</v>
      </c>
      <c r="J19" s="1984"/>
      <c r="K19" s="2632">
        <f t="shared" ref="K19:K26" si="3">ROUND(E$28*E19/E$27,2)</f>
        <v>25453.439999999999</v>
      </c>
      <c r="L19" s="275">
        <f t="shared" ref="L19:L26" si="4">ROUND(IF(COUNTIF(C19,"*住宅*")&gt;0,E$29*E19/E$32,0),2)</f>
        <v>2419.85</v>
      </c>
      <c r="M19" s="2633">
        <f>K19+L19</f>
        <v>27873.289999999997</v>
      </c>
      <c r="N19" s="2634"/>
      <c r="O19" s="2635"/>
      <c r="P19" s="2636">
        <f>N19+O19</f>
        <v>0</v>
      </c>
      <c r="R19" s="275">
        <f t="shared" ref="R19:S26" si="5">D19+H19</f>
        <v>75409.3</v>
      </c>
      <c r="S19" s="2301">
        <f t="shared" si="5"/>
        <v>174930.39</v>
      </c>
    </row>
    <row r="20" spans="1:19">
      <c r="A20" s="138"/>
      <c r="B20" s="115" t="s">
        <v>226</v>
      </c>
      <c r="C20" s="3049" t="str">
        <f>'数据-基础表'!C14</f>
        <v>中高层住宅</v>
      </c>
      <c r="D20" s="111">
        <f t="shared" si="1"/>
        <v>8873.98</v>
      </c>
      <c r="E20" s="134">
        <f t="shared" si="2"/>
        <v>20585.38</v>
      </c>
      <c r="F20" s="135">
        <f>'数据-基础表'!K5</f>
        <v>20585.38</v>
      </c>
      <c r="G20" s="1367"/>
      <c r="H20" s="973">
        <f t="shared" ref="H20:H26" si="6">ROUND($D$3*I20/$E$3,2)</f>
        <v>1681.98</v>
      </c>
      <c r="I20" s="116">
        <f t="shared" ref="I20:I26" si="7">IF($I$17="自定义",P20,M20)</f>
        <v>3901.7700000000004</v>
      </c>
      <c r="J20" s="1984"/>
      <c r="K20" s="2632">
        <f t="shared" si="3"/>
        <v>3563.03</v>
      </c>
      <c r="L20" s="275">
        <f t="shared" si="4"/>
        <v>338.74</v>
      </c>
      <c r="M20" s="2633">
        <f t="shared" ref="M20:M26" si="8">K20+L20</f>
        <v>3901.7700000000004</v>
      </c>
      <c r="N20" s="2634"/>
      <c r="O20" s="2635"/>
      <c r="P20" s="2636">
        <f t="shared" ref="P20:P26" si="9">N20+O20</f>
        <v>0</v>
      </c>
      <c r="R20" s="275">
        <f t="shared" si="5"/>
        <v>10555.96</v>
      </c>
      <c r="S20" s="2301">
        <f t="shared" si="5"/>
        <v>24487.15</v>
      </c>
    </row>
    <row r="21" spans="1:19">
      <c r="A21" s="138"/>
      <c r="B21" s="115" t="s">
        <v>226</v>
      </c>
      <c r="C21" s="3049" t="str">
        <f>'数据-基础表'!C15</f>
        <v>叠拼别墅</v>
      </c>
      <c r="D21" s="111">
        <f t="shared" si="1"/>
        <v>3974.01</v>
      </c>
      <c r="E21" s="134">
        <f t="shared" si="2"/>
        <v>9218.7000000000007</v>
      </c>
      <c r="F21" s="135">
        <f>'数据-基础表'!M5</f>
        <v>9218.7000000000007</v>
      </c>
      <c r="G21" s="1367"/>
      <c r="H21" s="973">
        <f t="shared" si="6"/>
        <v>687.84</v>
      </c>
      <c r="I21" s="116">
        <f t="shared" si="7"/>
        <v>1595.62</v>
      </c>
      <c r="J21" s="1984"/>
      <c r="K21" s="2632">
        <f t="shared" si="3"/>
        <v>1595.62</v>
      </c>
      <c r="L21" s="275">
        <f t="shared" si="4"/>
        <v>0</v>
      </c>
      <c r="M21" s="2633">
        <f t="shared" si="8"/>
        <v>1595.62</v>
      </c>
      <c r="N21" s="2634"/>
      <c r="O21" s="2635"/>
      <c r="P21" s="2636">
        <f t="shared" si="9"/>
        <v>0</v>
      </c>
      <c r="R21" s="275">
        <f t="shared" si="5"/>
        <v>4661.8500000000004</v>
      </c>
      <c r="S21" s="2301">
        <f t="shared" si="5"/>
        <v>10814.32</v>
      </c>
    </row>
    <row r="22" spans="1:19">
      <c r="A22" s="138"/>
      <c r="B22" s="115" t="s">
        <v>226</v>
      </c>
      <c r="C22" s="1364" t="str">
        <f>'数据-基础表'!C16</f>
        <v>商业配套</v>
      </c>
      <c r="D22" s="111">
        <f t="shared" si="1"/>
        <v>1059.3699999999999</v>
      </c>
      <c r="E22" s="134">
        <f t="shared" si="2"/>
        <v>2457.4699999999998</v>
      </c>
      <c r="F22" s="140">
        <f>'数据-基础表'!O5</f>
        <v>2457.4699999999998</v>
      </c>
      <c r="G22" s="1368"/>
      <c r="H22" s="973">
        <f t="shared" si="6"/>
        <v>183.36</v>
      </c>
      <c r="I22" s="116">
        <f t="shared" si="7"/>
        <v>425.35</v>
      </c>
      <c r="J22" s="1984"/>
      <c r="K22" s="2632">
        <f t="shared" si="3"/>
        <v>425.35</v>
      </c>
      <c r="L22" s="275">
        <f t="shared" si="4"/>
        <v>0</v>
      </c>
      <c r="M22" s="2633">
        <f t="shared" si="8"/>
        <v>425.35</v>
      </c>
      <c r="N22" s="2634"/>
      <c r="O22" s="2635"/>
      <c r="P22" s="2636">
        <f t="shared" si="9"/>
        <v>0</v>
      </c>
      <c r="R22" s="275">
        <f t="shared" si="5"/>
        <v>1242.73</v>
      </c>
      <c r="S22" s="2301">
        <f t="shared" si="5"/>
        <v>2882.8199999999997</v>
      </c>
    </row>
    <row r="23" spans="1:19">
      <c r="A23" s="138"/>
      <c r="B23" s="115" t="s">
        <v>226</v>
      </c>
      <c r="C23" s="139" t="str">
        <f>'数据-基础表'!C17</f>
        <v>地下车库</v>
      </c>
      <c r="D23" s="111">
        <f>ROUND($D$3*E23/$E$3,2)</f>
        <v>22253.33</v>
      </c>
      <c r="E23" s="134">
        <f>SUM(F23:G23)</f>
        <v>51622.080000000002</v>
      </c>
      <c r="F23" s="140"/>
      <c r="G23" s="1368">
        <f>'数据-基础表'!Q5</f>
        <v>51622.080000000002</v>
      </c>
      <c r="H23" s="973">
        <f>ROUND($D$3*I23/$E$3,2)</f>
        <v>3851.73</v>
      </c>
      <c r="I23" s="116">
        <f t="shared" si="7"/>
        <v>8935.0300000000007</v>
      </c>
      <c r="J23" s="1984"/>
      <c r="K23" s="2632">
        <f t="shared" si="3"/>
        <v>8935.0300000000007</v>
      </c>
      <c r="L23" s="275">
        <f t="shared" si="4"/>
        <v>0</v>
      </c>
      <c r="M23" s="2633">
        <f t="shared" si="8"/>
        <v>8935.0300000000007</v>
      </c>
      <c r="N23" s="2634"/>
      <c r="O23" s="2635"/>
      <c r="P23" s="2636">
        <f t="shared" si="9"/>
        <v>0</v>
      </c>
      <c r="R23" s="275">
        <f t="shared" si="5"/>
        <v>26105.06</v>
      </c>
      <c r="S23" s="2301">
        <f t="shared" si="5"/>
        <v>60557.11</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99554.319999999992</v>
      </c>
      <c r="E27" s="143">
        <f>IF(SUM(E19:E26)='数据-基础表'!BA5,SUM(E19:E26),IF(F27="地上面积有误","面积有误","地下面积有误"))</f>
        <v>230940.73000000004</v>
      </c>
      <c r="F27" s="134">
        <f>IF(SUM(F19:F26)=E8,SUM(F19:F26),"地上面积有误")</f>
        <v>179318.65000000002</v>
      </c>
      <c r="G27" s="112">
        <f>SUM(G19:G26)</f>
        <v>51622.080000000002</v>
      </c>
      <c r="H27" s="974">
        <f>SUM(H19:H26)</f>
        <v>18420.580000000002</v>
      </c>
      <c r="I27" s="975">
        <f>SUM(I19:I26)</f>
        <v>42731.06</v>
      </c>
      <c r="J27" s="1984"/>
      <c r="K27" s="2641">
        <f>SUM(K19:K26)</f>
        <v>39972.469999999994</v>
      </c>
      <c r="L27" s="2642">
        <f>SUM(L19:L26)</f>
        <v>2758.59</v>
      </c>
      <c r="M27" s="2643">
        <f>SUM(M19:M26)</f>
        <v>42731.06</v>
      </c>
      <c r="N27" s="2641">
        <f t="shared" ref="N27:O27" si="10">SUM(N19:N26)</f>
        <v>0</v>
      </c>
      <c r="O27" s="2642">
        <f t="shared" si="10"/>
        <v>0</v>
      </c>
      <c r="P27" s="2644">
        <f>SUM(P19:P26)</f>
        <v>0</v>
      </c>
      <c r="R27" s="2305" t="str">
        <f>IF(SUM(R19:R26)=$D$3,SUM(R19:R26),SUM(R19:R26)&amp;"误差"&amp;ROUND(SUM(R19:R26)-$D$3,2))</f>
        <v>117974.9误差-0.01</v>
      </c>
      <c r="S27" s="275" t="str">
        <f>IF(SUM(S19:S26)=$E$3,SUM(S19:S26),SUM(S19:S26)&amp;"误差"&amp;ROUND(SUM(S19:S26)-E3,2))</f>
        <v>273671.79误差-0.01</v>
      </c>
    </row>
    <row r="28" spans="1:19">
      <c r="A28" s="138"/>
      <c r="B28" s="115" t="s">
        <v>227</v>
      </c>
      <c r="C28" s="136" t="s">
        <v>228</v>
      </c>
      <c r="D28" s="111">
        <f>ROUND($D$3*E28/$E$3,2)</f>
        <v>17231.41</v>
      </c>
      <c r="E28" s="134">
        <f>SUM(F28:G28)</f>
        <v>39972.479999999996</v>
      </c>
      <c r="F28" s="144">
        <f>'数据-基础表'!BQ5+'数据-基础表'!BS5</f>
        <v>39972.479999999996</v>
      </c>
      <c r="G28" s="145">
        <f>'数据-基础表'!BR5+'数据-基础表'!BT5</f>
        <v>0</v>
      </c>
      <c r="H28" s="1984"/>
      <c r="I28" s="1984"/>
      <c r="J28" s="1984"/>
      <c r="K28" s="1984"/>
      <c r="L28" s="1984"/>
    </row>
    <row r="29" spans="1:19">
      <c r="A29" s="138"/>
      <c r="B29" s="115" t="s">
        <v>227</v>
      </c>
      <c r="C29" s="2313" t="s">
        <v>2321</v>
      </c>
      <c r="D29" s="111">
        <f>ROUND($D$3*E29/$E$3,2)</f>
        <v>1189.18</v>
      </c>
      <c r="E29" s="134">
        <f>SUM(F29:G29)</f>
        <v>2758.59</v>
      </c>
      <c r="F29" s="144">
        <f>'数据-基础表'!BM5+'数据-基础表'!BO5</f>
        <v>2758.59</v>
      </c>
      <c r="G29" s="146">
        <f>'数据-基础表'!BN5+'数据-基础表'!BP5</f>
        <v>0</v>
      </c>
      <c r="H29" s="1984"/>
      <c r="I29" s="1984"/>
      <c r="J29" s="1984"/>
      <c r="K29" s="1984"/>
      <c r="L29" s="1984"/>
    </row>
    <row r="30" spans="1:19">
      <c r="A30" s="138"/>
      <c r="B30" s="111"/>
      <c r="C30" s="147" t="s">
        <v>215</v>
      </c>
      <c r="D30" s="134">
        <f>SUM(D28:D29)</f>
        <v>18420.59</v>
      </c>
      <c r="E30" s="134">
        <f>SUM(E28:E29)</f>
        <v>42731.069999999992</v>
      </c>
      <c r="F30" s="134">
        <f>SUM(F28:F29)</f>
        <v>42731.069999999992</v>
      </c>
      <c r="G30" s="112">
        <f>SUM(G28:G29)</f>
        <v>0</v>
      </c>
      <c r="H30" s="1984"/>
      <c r="I30" s="1984"/>
      <c r="J30" s="1984"/>
      <c r="K30" s="1984"/>
      <c r="L30" s="1984"/>
    </row>
    <row r="31" spans="1:19" ht="32.25" customHeight="1" thickBot="1">
      <c r="A31" s="1369"/>
      <c r="B31" s="1370" t="s">
        <v>229</v>
      </c>
      <c r="C31" s="2330" t="s">
        <v>2323</v>
      </c>
      <c r="D31" s="1371">
        <f>D27+D30</f>
        <v>117974.90999999999</v>
      </c>
      <c r="E31" s="1371">
        <f>E27+E30</f>
        <v>273671.80000000005</v>
      </c>
      <c r="F31" s="1372">
        <f>F27+F30</f>
        <v>222049.72000000003</v>
      </c>
      <c r="G31" s="1373">
        <f>G27+G30</f>
        <v>51622.080000000002</v>
      </c>
      <c r="H31" s="1984"/>
      <c r="I31" s="1984"/>
      <c r="J31" s="1984"/>
      <c r="K31" s="1984"/>
      <c r="L31" s="1984"/>
    </row>
    <row r="32" spans="1:19">
      <c r="A32" s="1984"/>
      <c r="B32" s="2363" t="s">
        <v>2322</v>
      </c>
      <c r="C32" s="2671"/>
      <c r="D32" s="1200"/>
      <c r="E32" s="1200">
        <f>SUMIF(C19:C26,"*住宅*",E19:E26)</f>
        <v>167642.48000000001</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54" sqref="L5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43217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2828</v>
      </c>
      <c r="O5" s="163" t="s">
        <v>246</v>
      </c>
      <c r="P5" s="165" t="s">
        <v>247</v>
      </c>
      <c r="Q5" s="166" t="s">
        <v>248</v>
      </c>
      <c r="R5" s="167" t="s">
        <v>249</v>
      </c>
      <c r="S5" s="2645" t="s">
        <v>2572</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415"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高层住宅</v>
      </c>
      <c r="B6" s="2337" t="str">
        <f>IF(A6=0,"","经营性")</f>
        <v>经营性</v>
      </c>
      <c r="C6" s="173" t="s">
        <v>922</v>
      </c>
      <c r="D6" s="2308">
        <f>SUMIF(项目基本情况!D$15:I$15,C6,项目基本情况!D$18:I$18)</f>
        <v>70</v>
      </c>
      <c r="E6" s="2309">
        <f>IF(B6="","",SUMIF(项目基本情况!D$15:I$15,C6,项目基本情况!D$17:I$17))</f>
        <v>67898</v>
      </c>
      <c r="F6" s="174">
        <f>SUMIF(项目基本情况!D$15:I$15,C6,项目基本情况!D$19:I$19)</f>
        <v>67.61</v>
      </c>
      <c r="G6" s="175">
        <f>IF(ISERROR(ROUND(POWER(1+H6,D6-F6)*(POWER(1+H6,F6)-1)/(POWER(1+H6,D6)-1),3)),0,ROUND(POWER(1+H6,D6-F6)*(POWER(1+H6,F6)-1)/(POWER(1+H6,D6)-1),3))</f>
        <v>0.995</v>
      </c>
      <c r="H6" s="3050">
        <v>4.4999999999999998E-2</v>
      </c>
      <c r="I6" s="3050">
        <v>0.05</v>
      </c>
      <c r="J6" s="176">
        <v>8.5000000000000006E-2</v>
      </c>
      <c r="K6" s="179">
        <f>SUMIF('数据-汇总表'!C$19:C$33,'数据-取费表'!A6,'数据-汇总表'!E$19:E$33)</f>
        <v>147057.1</v>
      </c>
      <c r="L6" s="3051">
        <v>4000</v>
      </c>
      <c r="M6" s="177">
        <f t="shared" ref="M6:M14" si="0">ROUND(K6*L6/10000,0)</f>
        <v>58823</v>
      </c>
      <c r="N6" s="3052">
        <v>0</v>
      </c>
      <c r="O6" s="177">
        <f>IF($N$5="成新度","——",ROUND(M6*N6,0))</f>
        <v>0</v>
      </c>
      <c r="P6" s="178">
        <f>IF($N$5="成新度","——",M6-O6)</f>
        <v>58823</v>
      </c>
      <c r="Q6" s="3053">
        <v>0.1</v>
      </c>
      <c r="R6" s="179">
        <f>SUMIF('数据-汇总表'!C$19:C$33,A6,'数据-汇总表'!R$19:R$33)</f>
        <v>75409.3</v>
      </c>
      <c r="S6" s="132">
        <f>IF('数据-汇总表'!$I$17="按面积比例",SUMIF('数据-汇总表'!C$19:C$33,A6,'数据-汇总表'!K$19:K$33),SUMIF('数据-汇总表'!C$19:C$33,A6,'数据-汇总表'!N$19:N$33))</f>
        <v>25453.439999999999</v>
      </c>
      <c r="T6" s="2234">
        <f>IF($T$4="按面积比例",IF(ISERROR(ROUND($M$14*S6/S$16,0)),"0",ROUND($M$14*S6/S$16,0)),"需自行计算录入")</f>
        <v>5600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64"/>
      <c r="AN6" s="2416"/>
      <c r="AO6" s="2000"/>
      <c r="AP6" s="1203">
        <f>ROUND(1-1/(1+H6)^F6,3)</f>
        <v>0.94899999999999995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中高层住宅</v>
      </c>
      <c r="B7" s="2337" t="str">
        <f t="shared" ref="B7:B13" si="1">IF(A7=0,"","经营性")</f>
        <v>经营性</v>
      </c>
      <c r="C7" s="173" t="s">
        <v>922</v>
      </c>
      <c r="D7" s="2308">
        <f>SUMIF(项目基本情况!D$15:I$15,C7,项目基本情况!D$18:I$18)</f>
        <v>70</v>
      </c>
      <c r="E7" s="2309">
        <f>IF(B7="","",SUMIF(项目基本情况!D$15:I$15,C7,项目基本情况!D$17:I$17))</f>
        <v>67898</v>
      </c>
      <c r="F7" s="174">
        <f>SUMIF(项目基本情况!D$15:I$15,C7,项目基本情况!D$19:I$19)</f>
        <v>67.61</v>
      </c>
      <c r="G7" s="175">
        <f t="shared" ref="G7:G11" si="2">IF(ISERROR(ROUND(POWER(1+H7,D7-F7)*(POWER(1+H7,F7)-1)/(POWER(1+H7,D7)-1),3)),0,ROUND(POWER(1+H7,D7-F7)*(POWER(1+H7,F7)-1)/(POWER(1+H7,D7)-1),3))</f>
        <v>0.995</v>
      </c>
      <c r="H7" s="3050">
        <v>4.4999999999999998E-2</v>
      </c>
      <c r="I7" s="3050">
        <v>0.05</v>
      </c>
      <c r="J7" s="176">
        <v>8.5000000000000006E-2</v>
      </c>
      <c r="K7" s="179">
        <f>SUMIF('数据-汇总表'!C$19:C$33,'数据-取费表'!A7,'数据-汇总表'!E$19:E$33)</f>
        <v>20585.38</v>
      </c>
      <c r="L7" s="3051">
        <v>4000</v>
      </c>
      <c r="M7" s="177">
        <f t="shared" si="0"/>
        <v>8234</v>
      </c>
      <c r="N7" s="3052">
        <v>0</v>
      </c>
      <c r="O7" s="177">
        <f t="shared" ref="O7:O14" si="3">IF($N$5="成新度","——",ROUND(M7*N7,0))</f>
        <v>0</v>
      </c>
      <c r="P7" s="178">
        <f t="shared" ref="P7:P14" si="4">IF($N$5="成新度","——",M7-O7)</f>
        <v>8234</v>
      </c>
      <c r="Q7" s="3053">
        <v>0.1</v>
      </c>
      <c r="R7" s="179">
        <f>SUMIF('数据-汇总表'!C$19:C$33,A7,'数据-汇总表'!R$19:R$33)</f>
        <v>10555.96</v>
      </c>
      <c r="S7" s="132">
        <f>IF('数据-汇总表'!$I$17="按面积比例",SUMIF('数据-汇总表'!C$19:C$33,A7,'数据-汇总表'!K$19:K$33),SUMIF('数据-汇总表'!C$19:C$33,A7,'数据-汇总表'!N$19:N$33))</f>
        <v>3563.03</v>
      </c>
      <c r="T7" s="2234">
        <f t="shared" ref="T7:T13" si="5">IF($T$4="按面积比例",IF(ISERROR(ROUND($M$14*S7/S$16,0)),"0",ROUND($M$14*S7/S$16,0)),"需自行计算录入")</f>
        <v>784</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0.94899999999999995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叠拼别墅</v>
      </c>
      <c r="B8" s="2337" t="str">
        <f t="shared" si="1"/>
        <v>经营性</v>
      </c>
      <c r="C8" s="173" t="s">
        <v>922</v>
      </c>
      <c r="D8" s="2308">
        <f>SUMIF(项目基本情况!D$15:I$15,C8,项目基本情况!D$18:I$18)</f>
        <v>70</v>
      </c>
      <c r="E8" s="2309">
        <f>IF(B8="","",SUMIF(项目基本情况!D$15:I$15,C8,项目基本情况!D$17:I$17))</f>
        <v>67898</v>
      </c>
      <c r="F8" s="174">
        <f>SUMIF(项目基本情况!D$15:I$15,C8,项目基本情况!D$19:I$19)</f>
        <v>67.61</v>
      </c>
      <c r="G8" s="175">
        <f t="shared" si="2"/>
        <v>0.995</v>
      </c>
      <c r="H8" s="3050">
        <v>4.4999999999999998E-2</v>
      </c>
      <c r="I8" s="3050">
        <v>0.05</v>
      </c>
      <c r="J8" s="176">
        <v>8.5000000000000006E-2</v>
      </c>
      <c r="K8" s="179">
        <f>SUMIF('数据-汇总表'!C$19:C$33,'数据-取费表'!A8,'数据-汇总表'!E$19:E$33)</f>
        <v>9218.7000000000007</v>
      </c>
      <c r="L8" s="3051">
        <v>2600</v>
      </c>
      <c r="M8" s="177">
        <f>ROUND(K8*L8/10000,0)</f>
        <v>2397</v>
      </c>
      <c r="N8" s="3052">
        <v>0</v>
      </c>
      <c r="O8" s="177">
        <f t="shared" si="3"/>
        <v>0</v>
      </c>
      <c r="P8" s="178">
        <f t="shared" si="4"/>
        <v>2397</v>
      </c>
      <c r="Q8" s="3053">
        <v>0.25</v>
      </c>
      <c r="R8" s="179">
        <f>SUMIF('数据-汇总表'!C$19:C$33,A8,'数据-汇总表'!R$19:R$33)</f>
        <v>4661.8500000000004</v>
      </c>
      <c r="S8" s="132">
        <f>IF('数据-汇总表'!$I$17="按面积比例",SUMIF('数据-汇总表'!C$19:C$33,A8,'数据-汇总表'!K$19:K$33),SUMIF('数据-汇总表'!C$19:C$33,A8,'数据-汇总表'!N$19:N$33))</f>
        <v>1595.62</v>
      </c>
      <c r="T8" s="2234">
        <f t="shared" si="5"/>
        <v>351</v>
      </c>
      <c r="U8" s="180"/>
      <c r="V8" s="181"/>
      <c r="W8" s="181"/>
      <c r="X8" s="2321"/>
      <c r="Y8" s="182">
        <v>1</v>
      </c>
      <c r="Z8" s="183"/>
      <c r="AA8" s="176"/>
      <c r="AB8" s="176"/>
      <c r="AC8" s="2324"/>
      <c r="AD8" s="184"/>
      <c r="AE8" s="971">
        <f t="shared" ca="1" si="6"/>
        <v>0</v>
      </c>
      <c r="AF8" s="141"/>
      <c r="AG8" s="1212">
        <f t="shared" si="7"/>
        <v>0</v>
      </c>
      <c r="AH8" s="141"/>
      <c r="AI8" s="187"/>
      <c r="AJ8" s="188"/>
      <c r="AK8" s="189"/>
      <c r="AL8" s="190"/>
      <c r="AM8" s="2414"/>
      <c r="AN8" s="2416"/>
      <c r="AO8" s="2000"/>
      <c r="AP8" s="1203">
        <f t="shared" si="8"/>
        <v>0.94899999999999995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t="str">
        <f>'数据-汇总表'!C22</f>
        <v>商业配套</v>
      </c>
      <c r="B9" s="2337" t="str">
        <f t="shared" si="1"/>
        <v>经营性</v>
      </c>
      <c r="C9" s="173" t="s">
        <v>3046</v>
      </c>
      <c r="D9" s="2308">
        <f>SUMIF(项目基本情况!D$15:I$15,C9,项目基本情况!D$18:I$18)</f>
        <v>40</v>
      </c>
      <c r="E9" s="2309">
        <f>IF(B9="","",SUMIF(项目基本情况!D$15:I$15,C9,项目基本情况!D$17:I$17))</f>
        <v>56940</v>
      </c>
      <c r="F9" s="174">
        <f>SUMIF(项目基本情况!D$15:I$15,C9,项目基本情况!D$19:I$19)</f>
        <v>37.590000000000003</v>
      </c>
      <c r="G9" s="175">
        <f t="shared" si="2"/>
        <v>0.97899999999999998</v>
      </c>
      <c r="H9" s="176">
        <v>0.05</v>
      </c>
      <c r="I9" s="176">
        <v>5.5E-2</v>
      </c>
      <c r="J9" s="176">
        <v>8.5000000000000006E-2</v>
      </c>
      <c r="K9" s="179">
        <f>SUMIF('数据-汇总表'!C$19:C$33,'数据-取费表'!A9,'数据-汇总表'!E$19:E$33)</f>
        <v>2457.4699999999998</v>
      </c>
      <c r="L9" s="193">
        <v>2200</v>
      </c>
      <c r="M9" s="177">
        <f t="shared" si="0"/>
        <v>541</v>
      </c>
      <c r="N9" s="194">
        <v>0</v>
      </c>
      <c r="O9" s="177">
        <f t="shared" si="3"/>
        <v>0</v>
      </c>
      <c r="P9" s="178">
        <f t="shared" si="4"/>
        <v>541</v>
      </c>
      <c r="Q9" s="192">
        <v>0.15</v>
      </c>
      <c r="R9" s="179">
        <f>SUMIF('数据-汇总表'!C$19:C$33,A9,'数据-汇总表'!R$19:R$33)</f>
        <v>1242.73</v>
      </c>
      <c r="S9" s="132">
        <f>IF('数据-汇总表'!$I$17="按面积比例",SUMIF('数据-汇总表'!C$19:C$33,A9,'数据-汇总表'!K$19:K$33),SUMIF('数据-汇总表'!C$19:C$33,A9,'数据-汇总表'!N$19:N$33))</f>
        <v>425.35</v>
      </c>
      <c r="T9" s="2234">
        <f t="shared" si="5"/>
        <v>94</v>
      </c>
      <c r="U9" s="180">
        <v>2.8</v>
      </c>
      <c r="V9" s="181">
        <v>0.03</v>
      </c>
      <c r="W9" s="181">
        <v>0.1</v>
      </c>
      <c r="X9" s="2321"/>
      <c r="Y9" s="182">
        <v>1</v>
      </c>
      <c r="Z9" s="183"/>
      <c r="AA9" s="176"/>
      <c r="AB9" s="176"/>
      <c r="AC9" s="2324"/>
      <c r="AD9" s="184"/>
      <c r="AE9" s="971">
        <f t="shared" ca="1" si="6"/>
        <v>35.090000000000003</v>
      </c>
      <c r="AF9" s="141"/>
      <c r="AG9" s="1212">
        <f t="shared" si="7"/>
        <v>0</v>
      </c>
      <c r="AH9" s="141"/>
      <c r="AI9" s="187">
        <v>365</v>
      </c>
      <c r="AJ9" s="188"/>
      <c r="AK9" s="189">
        <v>1.4999999999999999E-2</v>
      </c>
      <c r="AL9" s="190">
        <v>1.5E-3</v>
      </c>
      <c r="AM9" s="2414">
        <v>0.01</v>
      </c>
      <c r="AN9" s="2416" t="s">
        <v>3108</v>
      </c>
      <c r="AO9" s="2000"/>
      <c r="AP9" s="1203">
        <f t="shared" si="8"/>
        <v>0.84</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t="str">
        <f>'数据-汇总表'!C23</f>
        <v>地下车库</v>
      </c>
      <c r="B10" s="2337" t="str">
        <f t="shared" si="1"/>
        <v>经营性</v>
      </c>
      <c r="C10" s="173" t="s">
        <v>3045</v>
      </c>
      <c r="D10" s="2308">
        <f>SUMIF(项目基本情况!D$15:I$15,C10,项目基本情况!D$18:I$18)</f>
        <v>50</v>
      </c>
      <c r="E10" s="2309">
        <f>IF(B10="","",SUMIF(项目基本情况!D$15:I$15,C10,项目基本情况!D$17:I$17))</f>
        <v>60593</v>
      </c>
      <c r="F10" s="174">
        <f>SUMIF(项目基本情况!D$15:I$15,C10,项目基本情况!D$19:I$19)</f>
        <v>47.6</v>
      </c>
      <c r="G10" s="175">
        <f t="shared" si="2"/>
        <v>0.98599999999999999</v>
      </c>
      <c r="H10" s="176">
        <v>4.4999999999999998E-2</v>
      </c>
      <c r="I10" s="176">
        <v>0.05</v>
      </c>
      <c r="J10" s="176">
        <v>8.5000000000000006E-2</v>
      </c>
      <c r="K10" s="179">
        <f>SUMIF('数据-汇总表'!C$19:C$33,'数据-取费表'!A10,'数据-汇总表'!E$19:E$33)</f>
        <v>51622.080000000002</v>
      </c>
      <c r="L10" s="193">
        <v>2200</v>
      </c>
      <c r="M10" s="177">
        <f t="shared" si="0"/>
        <v>11357</v>
      </c>
      <c r="N10" s="194">
        <v>0</v>
      </c>
      <c r="O10" s="177">
        <f t="shared" si="3"/>
        <v>0</v>
      </c>
      <c r="P10" s="178">
        <f t="shared" si="4"/>
        <v>11357</v>
      </c>
      <c r="Q10" s="192">
        <v>0.03</v>
      </c>
      <c r="R10" s="179">
        <f>SUMIF('数据-汇总表'!C$19:C$33,A10,'数据-汇总表'!R$19:R$33)</f>
        <v>26105.06</v>
      </c>
      <c r="S10" s="132">
        <f>IF('数据-汇总表'!$I$17="按面积比例",SUMIF('数据-汇总表'!C$19:C$33,A10,'数据-汇总表'!K$19:K$33),SUMIF('数据-汇总表'!C$19:C$33,A10,'数据-汇总表'!N$19:N$33))</f>
        <v>8935.0300000000007</v>
      </c>
      <c r="T10" s="2234">
        <f t="shared" si="5"/>
        <v>1966</v>
      </c>
      <c r="U10" s="180"/>
      <c r="V10" s="181"/>
      <c r="W10" s="181"/>
      <c r="X10" s="2321"/>
      <c r="Y10" s="182">
        <v>1</v>
      </c>
      <c r="Z10" s="183"/>
      <c r="AA10" s="176"/>
      <c r="AB10" s="176"/>
      <c r="AC10" s="2324"/>
      <c r="AD10" s="184"/>
      <c r="AE10" s="971">
        <f t="shared" ca="1" si="6"/>
        <v>0</v>
      </c>
      <c r="AF10" s="141"/>
      <c r="AG10" s="1212">
        <f t="shared" si="7"/>
        <v>0</v>
      </c>
      <c r="AH10" s="141">
        <v>1475</v>
      </c>
      <c r="AI10" s="187">
        <v>365</v>
      </c>
      <c r="AJ10" s="188"/>
      <c r="AK10" s="189">
        <v>1.4999999999999999E-2</v>
      </c>
      <c r="AL10" s="190">
        <v>1.5E-3</v>
      </c>
      <c r="AM10" s="2414">
        <v>0.01</v>
      </c>
      <c r="AN10" s="2416"/>
      <c r="AO10" s="2000"/>
      <c r="AP10" s="1203">
        <f t="shared" si="8"/>
        <v>0.877</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2315</v>
      </c>
      <c r="B14" s="2306" t="s">
        <v>1679</v>
      </c>
      <c r="C14" s="2307" t="s">
        <v>2315</v>
      </c>
      <c r="D14" s="2308"/>
      <c r="E14" s="2309"/>
      <c r="F14" s="174"/>
      <c r="G14" s="175"/>
      <c r="H14" s="2310"/>
      <c r="I14" s="2310"/>
      <c r="J14" s="2310"/>
      <c r="K14" s="179">
        <f>SUMIF('数据-汇总表'!C$19:C$33,'数据-取费表'!A14,'数据-汇总表'!E$19:E$33)</f>
        <v>39972.479999999996</v>
      </c>
      <c r="L14" s="193">
        <v>2200</v>
      </c>
      <c r="M14" s="177">
        <f t="shared" si="0"/>
        <v>8794</v>
      </c>
      <c r="N14" s="194">
        <v>0</v>
      </c>
      <c r="O14" s="177">
        <f t="shared" si="3"/>
        <v>0</v>
      </c>
      <c r="P14" s="178">
        <f t="shared" si="4"/>
        <v>8794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1679</v>
      </c>
      <c r="C15" s="2307" t="s">
        <v>2316</v>
      </c>
      <c r="D15" s="2308"/>
      <c r="E15" s="2309"/>
      <c r="F15" s="174"/>
      <c r="G15" s="175"/>
      <c r="H15" s="2310"/>
      <c r="I15" s="2310"/>
      <c r="J15" s="2310"/>
      <c r="K15" s="179">
        <f>SUMIF('数据-汇总表'!C$19:C$33,'数据-取费表'!A15,'数据-汇总表'!E$19:E$33)</f>
        <v>2758.59</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273671.80000000005</v>
      </c>
      <c r="L16" s="206">
        <f>ROUND(M16*10000/SUM(K6:K14),0)</f>
        <v>3327</v>
      </c>
      <c r="M16" s="206">
        <f>SUM(M6:M14)</f>
        <v>90146</v>
      </c>
      <c r="N16" s="207">
        <f>ROUND(SUMPRODUCT(M6:M14,N6:N14)/M16,3)</f>
        <v>0</v>
      </c>
      <c r="O16" s="206">
        <f>SUM(O6:O14)</f>
        <v>0</v>
      </c>
      <c r="P16" s="206">
        <f>SUM(P6:P14)</f>
        <v>90146</v>
      </c>
      <c r="Q16" s="208">
        <f>ROUND(SUMPRODUCT(Q6:Q13,K6:K13)/SUMPRODUCT((Q6:Q13&gt;0)*(K6:K13)),2)</f>
        <v>0.09</v>
      </c>
      <c r="R16" s="2311">
        <f>SUM(R6:R13)</f>
        <v>117974.90000000001</v>
      </c>
      <c r="S16" s="209">
        <f>SUM(S6:S13)</f>
        <v>39972.469999999994</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206" t="s">
        <v>3105</v>
      </c>
      <c r="U23" s="1989">
        <v>22000</v>
      </c>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3206" t="s">
        <v>3106</v>
      </c>
      <c r="U24" s="1989">
        <f>U23*0.6</f>
        <v>13200</v>
      </c>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3206" t="s">
        <v>3129</v>
      </c>
      <c r="U25" s="1989">
        <f>U23*0.5</f>
        <v>11000</v>
      </c>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120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0.05</v>
      </c>
      <c r="C33" s="2365"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65"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2457</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c r="D53" s="3102" t="s">
        <v>2900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2901</v>
      </c>
      <c r="B54" s="186"/>
      <c r="C54" s="1994"/>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2902</v>
      </c>
      <c r="B55" s="186"/>
      <c r="C55" s="1994"/>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2903</v>
      </c>
      <c r="B56" s="186"/>
      <c r="C56" s="1994"/>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2904</v>
      </c>
      <c r="B57" s="186"/>
      <c r="C57" s="1994"/>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2905</v>
      </c>
      <c r="B58" s="186"/>
      <c r="C58" s="1994"/>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2906</v>
      </c>
      <c r="B59" s="186"/>
      <c r="C59" s="1994"/>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2907</v>
      </c>
      <c r="B60" s="186">
        <v>3.5</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2908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2909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38" t="s">
        <v>1663</v>
      </c>
      <c r="B1" s="3339"/>
      <c r="C1" s="3339"/>
      <c r="D1" s="3339"/>
      <c r="E1" s="3339"/>
      <c r="F1" s="3339"/>
      <c r="G1" s="3339"/>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27">
      <c r="A3" s="1226" t="s">
        <v>1666</v>
      </c>
      <c r="B3" s="1227" t="s">
        <v>1653</v>
      </c>
      <c r="C3" s="3106"/>
      <c r="D3" s="2009"/>
      <c r="E3" s="1228" t="s">
        <v>1666</v>
      </c>
      <c r="F3" s="1229" t="s">
        <v>1654</v>
      </c>
      <c r="G3" s="3110"/>
      <c r="H3" s="2008"/>
      <c r="I3" s="2008"/>
      <c r="J3" s="2008"/>
      <c r="K3" s="2008"/>
      <c r="L3" s="2008"/>
      <c r="M3" s="2008"/>
      <c r="N3" s="2008"/>
      <c r="O3" s="2008"/>
      <c r="P3" s="2008"/>
      <c r="Q3" s="2008"/>
      <c r="R3" s="2008"/>
    </row>
    <row r="4" spans="1:18" ht="14.25">
      <c r="A4" s="1228"/>
      <c r="B4" s="1230" t="s">
        <v>1667</v>
      </c>
      <c r="C4" s="3107"/>
      <c r="D4" s="2009"/>
      <c r="E4" s="1231"/>
      <c r="F4" s="1232" t="s">
        <v>1668</v>
      </c>
      <c r="G4" s="3108"/>
      <c r="H4" s="2008"/>
      <c r="I4" s="2008"/>
      <c r="J4" s="2008"/>
      <c r="K4" s="2008"/>
      <c r="L4" s="2008"/>
      <c r="M4" s="2008"/>
      <c r="N4" s="2008"/>
      <c r="O4" s="2008"/>
      <c r="P4" s="2008"/>
      <c r="Q4" s="2008"/>
      <c r="R4" s="2008"/>
    </row>
    <row r="5" spans="1:18" ht="14.25">
      <c r="A5" s="1228"/>
      <c r="B5" s="1230" t="s">
        <v>1669</v>
      </c>
      <c r="C5" s="3107"/>
      <c r="D5" s="2009"/>
      <c r="E5" s="1231"/>
      <c r="F5" s="1230" t="s">
        <v>2546</v>
      </c>
      <c r="G5" s="3108"/>
      <c r="H5" s="2008"/>
      <c r="I5" s="2008"/>
      <c r="J5" s="2008"/>
      <c r="K5" s="2008"/>
      <c r="L5" s="2008"/>
      <c r="M5" s="2008"/>
      <c r="N5" s="2008"/>
      <c r="O5" s="2008"/>
      <c r="P5" s="2008"/>
      <c r="Q5" s="2008"/>
      <c r="R5" s="2008"/>
    </row>
    <row r="6" spans="1:18" ht="14.25">
      <c r="A6" s="1228"/>
      <c r="B6" s="1230" t="s">
        <v>1655</v>
      </c>
      <c r="C6" s="3108"/>
      <c r="D6" s="2009"/>
      <c r="E6" s="1231"/>
      <c r="F6" s="1230" t="s">
        <v>2547</v>
      </c>
      <c r="G6" s="3108"/>
      <c r="H6" s="2008"/>
      <c r="I6" s="2008"/>
      <c r="J6" s="2008"/>
      <c r="K6" s="2008"/>
      <c r="L6" s="2008"/>
      <c r="M6" s="2008"/>
      <c r="N6" s="2008"/>
      <c r="O6" s="2008"/>
      <c r="P6" s="2008"/>
      <c r="Q6" s="2008"/>
      <c r="R6" s="2008"/>
    </row>
    <row r="7" spans="1:18" ht="15" thickBot="1">
      <c r="A7" s="1228"/>
      <c r="B7" s="1230" t="s">
        <v>2546</v>
      </c>
      <c r="C7" s="3108"/>
      <c r="D7" s="2010"/>
      <c r="E7" s="1233"/>
      <c r="F7" s="1234" t="s">
        <v>1670</v>
      </c>
      <c r="G7" s="3111"/>
      <c r="H7" s="2008"/>
      <c r="I7" s="2008"/>
      <c r="J7" s="2008"/>
      <c r="K7" s="2008"/>
      <c r="L7" s="2008"/>
      <c r="M7" s="2008"/>
      <c r="N7" s="2008"/>
      <c r="O7" s="2008"/>
      <c r="P7" s="2008"/>
      <c r="Q7" s="2008"/>
      <c r="R7" s="2008"/>
    </row>
    <row r="8" spans="1:18" ht="14.25">
      <c r="A8" s="1228"/>
      <c r="B8" s="1230" t="s">
        <v>2547</v>
      </c>
      <c r="C8" s="3108"/>
      <c r="D8" s="2010"/>
      <c r="E8" s="2010"/>
      <c r="F8" s="1553"/>
      <c r="G8" s="1553"/>
      <c r="H8" s="2008"/>
      <c r="I8" s="2008"/>
      <c r="J8" s="2008"/>
      <c r="K8" s="2008"/>
      <c r="L8" s="2008"/>
      <c r="M8" s="2008"/>
      <c r="N8" s="2008"/>
      <c r="O8" s="2008"/>
      <c r="P8" s="2008"/>
      <c r="Q8" s="2008"/>
      <c r="R8" s="2008"/>
    </row>
    <row r="9" spans="1:18" ht="14.25">
      <c r="A9" s="1228"/>
      <c r="B9" s="1230" t="s">
        <v>1656</v>
      </c>
      <c r="C9" s="3107"/>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3"/>
      <c r="E13" s="2602"/>
      <c r="F13" s="2602"/>
      <c r="G13" s="2602"/>
    </row>
    <row r="14" spans="1:18" ht="14.25" thickBot="1">
      <c r="A14" s="1237"/>
      <c r="B14" s="1238"/>
      <c r="C14" s="1239" t="s">
        <v>1664</v>
      </c>
      <c r="D14" s="2009"/>
      <c r="E14" s="1240"/>
      <c r="F14" s="1240"/>
      <c r="G14" s="1222" t="s">
        <v>1665</v>
      </c>
    </row>
    <row r="15" spans="1:18" ht="27">
      <c r="A15" s="2612" t="s">
        <v>1657</v>
      </c>
      <c r="B15" s="1241" t="s">
        <v>1653</v>
      </c>
      <c r="C15" s="1242">
        <f>C3</f>
        <v>0</v>
      </c>
      <c r="D15" s="2009"/>
      <c r="E15" s="2609" t="s">
        <v>1658</v>
      </c>
      <c r="F15" s="1241" t="s">
        <v>1673</v>
      </c>
      <c r="G15" s="1243">
        <f>G3</f>
        <v>0</v>
      </c>
    </row>
    <row r="16" spans="1:18">
      <c r="A16" s="2613"/>
      <c r="B16" s="1244" t="s">
        <v>1667</v>
      </c>
      <c r="C16" s="1245">
        <f>C4</f>
        <v>0</v>
      </c>
      <c r="D16" s="2009"/>
      <c r="E16" s="2610"/>
      <c r="F16" s="1246" t="s">
        <v>1668</v>
      </c>
      <c r="G16" s="1004">
        <f>G4</f>
        <v>0</v>
      </c>
    </row>
    <row r="17" spans="1:7" ht="14.25">
      <c r="A17" s="2613"/>
      <c r="B17" s="1244" t="s">
        <v>1669</v>
      </c>
      <c r="C17" s="1245">
        <f>C5</f>
        <v>0</v>
      </c>
      <c r="D17" s="2010"/>
      <c r="E17" s="2610"/>
      <c r="F17" s="1246" t="s">
        <v>1674</v>
      </c>
      <c r="G17" s="2818"/>
    </row>
    <row r="18" spans="1:7">
      <c r="A18" s="2613"/>
      <c r="B18" s="1246" t="s">
        <v>1655</v>
      </c>
      <c r="C18" s="1004">
        <f>C6</f>
        <v>0</v>
      </c>
      <c r="D18" s="2010"/>
      <c r="E18" s="2610"/>
      <c r="F18" s="1246" t="s">
        <v>1670</v>
      </c>
      <c r="G18" s="1004">
        <f>G7</f>
        <v>0</v>
      </c>
    </row>
    <row r="19" spans="1:7" ht="14.25">
      <c r="A19" s="2613"/>
      <c r="B19" s="1246" t="s">
        <v>1659</v>
      </c>
      <c r="C19" s="2818"/>
      <c r="D19" s="2009"/>
      <c r="E19" s="2610"/>
      <c r="F19" s="1230" t="s">
        <v>2546</v>
      </c>
      <c r="G19" s="1004">
        <f>G5</f>
        <v>0</v>
      </c>
    </row>
    <row r="20" spans="1:7">
      <c r="A20" s="2613"/>
      <c r="B20" s="1246" t="s">
        <v>1660</v>
      </c>
      <c r="C20" s="1245">
        <f>C9</f>
        <v>0</v>
      </c>
      <c r="D20" s="2010"/>
      <c r="E20" s="2610"/>
      <c r="F20" s="1230" t="s">
        <v>2547</v>
      </c>
      <c r="G20" s="1004">
        <f>G6</f>
        <v>0</v>
      </c>
    </row>
    <row r="21" spans="1:7" ht="14.25">
      <c r="A21" s="2613"/>
      <c r="B21" s="1230" t="s">
        <v>2546</v>
      </c>
      <c r="C21" s="1004">
        <f>C7</f>
        <v>0</v>
      </c>
      <c r="D21" s="2009"/>
      <c r="E21" s="2610"/>
      <c r="F21" s="1246" t="s">
        <v>1661</v>
      </c>
      <c r="G21" s="3112"/>
    </row>
    <row r="22" spans="1:7" ht="14.25">
      <c r="A22" s="2613"/>
      <c r="B22" s="1230" t="s">
        <v>2547</v>
      </c>
      <c r="C22" s="1004">
        <f>C8</f>
        <v>0</v>
      </c>
      <c r="D22" s="2009"/>
      <c r="E22" s="2610"/>
      <c r="F22" s="1246" t="s">
        <v>1671</v>
      </c>
      <c r="G22" s="2818"/>
    </row>
    <row r="23" spans="1:7" ht="15" thickBot="1">
      <c r="A23" s="2613"/>
      <c r="B23" s="1246" t="s">
        <v>1661</v>
      </c>
      <c r="C23" s="3112"/>
      <c r="E23" s="2611"/>
      <c r="F23" s="1247" t="s">
        <v>1675</v>
      </c>
      <c r="G23" s="3113"/>
    </row>
    <row r="24" spans="1:7" ht="14.25" thickBot="1">
      <c r="A24" s="2614"/>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2844</v>
      </c>
      <c r="B1" s="3070">
        <f>SUM(B14:B23)</f>
        <v>273671.8</v>
      </c>
      <c r="C1" s="3071"/>
      <c r="D1" s="3071"/>
      <c r="E1" s="3071"/>
      <c r="F1" s="3071"/>
    </row>
    <row r="2" spans="1:9" ht="16.5">
      <c r="A2" s="3070" t="s">
        <v>2845</v>
      </c>
      <c r="B2" s="3070">
        <f>SUM(C14:C23)</f>
        <v>117974.91</v>
      </c>
      <c r="C2" s="3071"/>
      <c r="D2" s="3071"/>
      <c r="E2" s="3071"/>
      <c r="F2" s="3071"/>
    </row>
    <row r="3" spans="1:9" ht="16.5">
      <c r="A3" s="3070" t="s">
        <v>2846</v>
      </c>
      <c r="B3" s="3072">
        <f>项目基本情况!D3</f>
        <v>43217</v>
      </c>
      <c r="C3" s="3071"/>
      <c r="D3" s="3071"/>
      <c r="E3" s="3071"/>
      <c r="F3" s="3071"/>
    </row>
    <row r="4" spans="1:9" ht="33">
      <c r="A4" s="3070" t="s">
        <v>2847</v>
      </c>
      <c r="B4" s="3070" t="s">
        <v>2848</v>
      </c>
      <c r="C4" s="3070" t="s">
        <v>2849</v>
      </c>
      <c r="D4" s="3070" t="s">
        <v>2850</v>
      </c>
      <c r="E4" s="3071"/>
      <c r="F4" s="3071"/>
    </row>
    <row r="5" spans="1:9" ht="16.5">
      <c r="A5" s="3070" t="s">
        <v>2851</v>
      </c>
      <c r="B5" s="3070">
        <f ca="1">SUM(D14:D23)</f>
        <v>140971</v>
      </c>
      <c r="C5" s="3070">
        <f ca="1">ROUND(B5*10000/$B$1,0)</f>
        <v>5151</v>
      </c>
      <c r="D5" s="3070">
        <f ca="1">ROUND(B5*10000/$B$2,0)</f>
        <v>11949</v>
      </c>
      <c r="E5" s="3071"/>
      <c r="F5" s="3071"/>
    </row>
    <row r="6" spans="1:9" ht="16.5">
      <c r="A6" s="3070" t="s">
        <v>2852</v>
      </c>
      <c r="B6" s="3070">
        <f ca="1">SUM(G14:G23)</f>
        <v>140971</v>
      </c>
      <c r="C6" s="3070">
        <f t="shared" ref="C6:C8" ca="1" si="0">ROUND(B6*10000/$B$1,0)</f>
        <v>5151</v>
      </c>
      <c r="D6" s="3070">
        <f t="shared" ref="D6:D8" ca="1" si="1">ROUND(B6*10000/$B$2,0)</f>
        <v>11949</v>
      </c>
      <c r="E6" s="3071"/>
      <c r="F6" s="3071"/>
    </row>
    <row r="7" spans="1:9" ht="16.5">
      <c r="A7" s="3070" t="s">
        <v>2853</v>
      </c>
      <c r="B7" s="3070">
        <f>SUM(H14:H23)</f>
        <v>0</v>
      </c>
      <c r="C7" s="3070">
        <f t="shared" si="0"/>
        <v>0</v>
      </c>
      <c r="D7" s="3070">
        <f t="shared" si="1"/>
        <v>0</v>
      </c>
      <c r="E7" s="3071"/>
      <c r="F7" s="3071"/>
    </row>
    <row r="8" spans="1:9" ht="16.5">
      <c r="A8" s="3070" t="s">
        <v>2854</v>
      </c>
      <c r="B8" s="3070">
        <f>SUM(I14:I23)</f>
        <v>0</v>
      </c>
      <c r="C8" s="3070">
        <f t="shared" si="0"/>
        <v>0</v>
      </c>
      <c r="D8" s="3070">
        <f t="shared" si="1"/>
        <v>0</v>
      </c>
      <c r="E8" s="3071"/>
      <c r="F8" s="3071"/>
    </row>
    <row r="9" spans="1:9" ht="16.5">
      <c r="A9" s="3070" t="s">
        <v>2855</v>
      </c>
      <c r="B9" s="3073"/>
      <c r="C9" s="3071"/>
      <c r="D9" s="3071"/>
      <c r="E9" s="3071"/>
      <c r="F9" s="3071"/>
    </row>
    <row r="10" spans="1:9" ht="16.5">
      <c r="A10" s="3070" t="s">
        <v>2856</v>
      </c>
      <c r="B10" s="3073"/>
      <c r="C10" s="3071"/>
      <c r="D10" s="3071"/>
      <c r="E10" s="3071"/>
      <c r="F10" s="3071"/>
    </row>
    <row r="11" spans="1:9" ht="16.5">
      <c r="A11" s="3070" t="s">
        <v>2873</v>
      </c>
      <c r="B11" s="3073"/>
      <c r="C11" s="3071"/>
      <c r="D11" s="3071"/>
      <c r="E11" s="3071"/>
      <c r="F11" s="3071"/>
    </row>
    <row r="12" spans="1:9" ht="16.5">
      <c r="A12" s="3071"/>
      <c r="B12" s="3071"/>
      <c r="C12" s="3071"/>
      <c r="D12" s="3071"/>
      <c r="E12" s="3071"/>
      <c r="F12" s="3071"/>
    </row>
    <row r="13" spans="1:9" ht="33">
      <c r="A13" s="3076" t="s">
        <v>2872</v>
      </c>
      <c r="B13" s="3074" t="s">
        <v>2844</v>
      </c>
      <c r="C13" s="3074" t="s">
        <v>2845</v>
      </c>
      <c r="D13" s="3074" t="s">
        <v>2857</v>
      </c>
      <c r="E13" s="3070" t="s">
        <v>2871</v>
      </c>
      <c r="F13" s="3070" t="s">
        <v>2850</v>
      </c>
      <c r="G13" s="3074" t="s">
        <v>2858</v>
      </c>
      <c r="H13" s="3074" t="s">
        <v>2859</v>
      </c>
      <c r="I13" s="3074" t="s">
        <v>2860</v>
      </c>
    </row>
    <row r="14" spans="1:9" ht="16.5">
      <c r="A14" s="3077" t="s">
        <v>2870</v>
      </c>
      <c r="B14" s="3074">
        <f>结果表!L38</f>
        <v>273671.8</v>
      </c>
      <c r="C14" s="3074">
        <f>结果表!K38</f>
        <v>117974.91</v>
      </c>
      <c r="D14" s="3074">
        <f ca="1">结果表!C42</f>
        <v>140971</v>
      </c>
      <c r="E14" s="3074">
        <f ca="1">ROUND(D14*10000/B14,0)</f>
        <v>5151</v>
      </c>
      <c r="F14" s="3074">
        <f ca="1">ROUND(D14*10000/C14,0)</f>
        <v>11949</v>
      </c>
      <c r="G14" s="3074">
        <f ca="1">结果表!C44</f>
        <v>140971</v>
      </c>
      <c r="H14" s="3074" t="str">
        <f>结果表!C45</f>
        <v>——</v>
      </c>
      <c r="I14" s="3074" t="str">
        <f>结果表!C46</f>
        <v>——</v>
      </c>
    </row>
    <row r="15" spans="1:9" ht="16.5">
      <c r="A15" s="3077" t="s">
        <v>2861</v>
      </c>
      <c r="B15" s="3078"/>
      <c r="C15" s="3078"/>
      <c r="D15" s="3078"/>
      <c r="E15" s="3074" t="e">
        <f t="shared" ref="E15:E23" si="2">ROUND(D15*10000/B15,0)</f>
        <v>#DIV/0!</v>
      </c>
      <c r="F15" s="3074" t="e">
        <f t="shared" ref="F15:F23" si="3">ROUND(D15*10000/C15,0)</f>
        <v>#DIV/0!</v>
      </c>
      <c r="G15" s="3075"/>
      <c r="H15" s="3075"/>
      <c r="I15" s="3078"/>
    </row>
    <row r="16" spans="1:9" ht="16.5">
      <c r="A16" s="3077" t="s">
        <v>2862</v>
      </c>
      <c r="B16" s="3078"/>
      <c r="C16" s="3078"/>
      <c r="D16" s="3078"/>
      <c r="E16" s="3074" t="e">
        <f t="shared" si="2"/>
        <v>#DIV/0!</v>
      </c>
      <c r="F16" s="3074" t="e">
        <f t="shared" si="3"/>
        <v>#DIV/0!</v>
      </c>
      <c r="G16" s="3075"/>
      <c r="H16" s="3075"/>
      <c r="I16" s="3078"/>
    </row>
    <row r="17" spans="1:9" ht="16.5">
      <c r="A17" s="3077" t="s">
        <v>2863</v>
      </c>
      <c r="B17" s="3078"/>
      <c r="C17" s="3078"/>
      <c r="D17" s="3078"/>
      <c r="E17" s="3074" t="e">
        <f t="shared" si="2"/>
        <v>#DIV/0!</v>
      </c>
      <c r="F17" s="3074" t="e">
        <f t="shared" si="3"/>
        <v>#DIV/0!</v>
      </c>
      <c r="G17" s="3075"/>
      <c r="H17" s="3075"/>
      <c r="I17" s="3078"/>
    </row>
    <row r="18" spans="1:9" ht="16.5">
      <c r="A18" s="3077" t="s">
        <v>2864</v>
      </c>
      <c r="B18" s="3078"/>
      <c r="C18" s="3078"/>
      <c r="D18" s="3078"/>
      <c r="E18" s="3074" t="e">
        <f t="shared" si="2"/>
        <v>#DIV/0!</v>
      </c>
      <c r="F18" s="3074" t="e">
        <f t="shared" si="3"/>
        <v>#DIV/0!</v>
      </c>
      <c r="G18" s="3078"/>
      <c r="H18" s="3078"/>
      <c r="I18" s="3078"/>
    </row>
    <row r="19" spans="1:9" ht="16.5">
      <c r="A19" s="3077" t="s">
        <v>2865</v>
      </c>
      <c r="B19" s="3078"/>
      <c r="C19" s="3078"/>
      <c r="D19" s="3078"/>
      <c r="E19" s="3074" t="e">
        <f t="shared" si="2"/>
        <v>#DIV/0!</v>
      </c>
      <c r="F19" s="3074" t="e">
        <f t="shared" si="3"/>
        <v>#DIV/0!</v>
      </c>
      <c r="G19" s="3078"/>
      <c r="H19" s="3078"/>
      <c r="I19" s="3078"/>
    </row>
    <row r="20" spans="1:9" ht="16.5">
      <c r="A20" s="3077" t="s">
        <v>2866</v>
      </c>
      <c r="B20" s="3078"/>
      <c r="C20" s="3078"/>
      <c r="D20" s="3078"/>
      <c r="E20" s="3074" t="e">
        <f t="shared" si="2"/>
        <v>#DIV/0!</v>
      </c>
      <c r="F20" s="3074" t="e">
        <f t="shared" si="3"/>
        <v>#DIV/0!</v>
      </c>
      <c r="G20" s="3078"/>
      <c r="H20" s="3078"/>
      <c r="I20" s="3078"/>
    </row>
    <row r="21" spans="1:9" ht="16.5">
      <c r="A21" s="3077" t="s">
        <v>2867</v>
      </c>
      <c r="B21" s="3078"/>
      <c r="C21" s="3078"/>
      <c r="D21" s="3078"/>
      <c r="E21" s="3074" t="e">
        <f t="shared" si="2"/>
        <v>#DIV/0!</v>
      </c>
      <c r="F21" s="3074" t="e">
        <f t="shared" si="3"/>
        <v>#DIV/0!</v>
      </c>
      <c r="G21" s="3078"/>
      <c r="H21" s="3078"/>
      <c r="I21" s="3078"/>
    </row>
    <row r="22" spans="1:9" ht="16.5">
      <c r="A22" s="3077" t="s">
        <v>2868</v>
      </c>
      <c r="B22" s="3078"/>
      <c r="C22" s="3078"/>
      <c r="D22" s="3078"/>
      <c r="E22" s="3074" t="e">
        <f t="shared" si="2"/>
        <v>#DIV/0!</v>
      </c>
      <c r="F22" s="3074" t="e">
        <f t="shared" si="3"/>
        <v>#DIV/0!</v>
      </c>
      <c r="G22" s="3078"/>
      <c r="H22" s="3078"/>
      <c r="I22" s="3078"/>
    </row>
    <row r="23" spans="1:9" ht="16.5">
      <c r="A23" s="3077" t="s">
        <v>2869</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2056</v>
      </c>
      <c r="B1" s="1777"/>
      <c r="C1" s="1805" t="s">
        <v>2057</v>
      </c>
      <c r="D1" s="1806" t="s">
        <v>3026</v>
      </c>
      <c r="E1" s="1805" t="s">
        <v>2058</v>
      </c>
      <c r="F1" s="1807" t="s">
        <v>3027</v>
      </c>
      <c r="G1" s="311"/>
      <c r="H1" s="311"/>
      <c r="I1" s="311"/>
      <c r="J1" s="2029"/>
      <c r="K1" s="2029"/>
      <c r="L1" s="2029"/>
      <c r="M1" s="2029"/>
      <c r="N1" s="2029"/>
      <c r="O1" s="2029"/>
      <c r="P1" s="2029"/>
      <c r="Q1" s="2029"/>
      <c r="R1" s="2029"/>
      <c r="S1" s="2029"/>
      <c r="T1" s="2029"/>
      <c r="U1" s="2029"/>
      <c r="V1" s="2029"/>
    </row>
    <row r="2" spans="1:22" ht="21.75" customHeight="1" thickBot="1">
      <c r="A2" s="3376" t="str">
        <f>项目基本情况!K2</f>
        <v>武汉市东湖新技术开发区花城大道以东、土吴路以西、松涛路以南出让国有建设用地使用权</v>
      </c>
      <c r="B2" s="3377"/>
      <c r="C2" s="3378"/>
      <c r="D2" s="3378"/>
      <c r="E2" s="3378"/>
      <c r="F2" s="3378"/>
      <c r="G2" s="3377"/>
      <c r="H2" s="3377"/>
      <c r="I2" s="3379"/>
      <c r="J2" s="2030"/>
      <c r="K2" s="2029"/>
      <c r="L2" s="2029"/>
      <c r="M2" s="2029"/>
      <c r="N2" s="2029"/>
      <c r="O2" s="2029"/>
      <c r="P2" s="2029"/>
      <c r="Q2" s="2029"/>
      <c r="R2" s="2029"/>
      <c r="S2" s="2029"/>
      <c r="T2" s="2029"/>
      <c r="U2" s="2029"/>
      <c r="V2" s="2029"/>
    </row>
    <row r="3" spans="1:22" ht="14.25">
      <c r="A3" s="3369" t="s">
        <v>298</v>
      </c>
      <c r="B3" s="3370"/>
      <c r="C3" s="3370"/>
      <c r="D3" s="3370"/>
      <c r="E3" s="3370"/>
      <c r="F3" s="3370"/>
      <c r="G3" s="3370"/>
      <c r="H3" s="3370"/>
      <c r="I3" s="3370"/>
      <c r="J3" s="2030"/>
      <c r="K3" s="2029"/>
      <c r="L3" s="2029"/>
      <c r="M3" s="2029"/>
      <c r="N3" s="2029"/>
      <c r="O3" s="2029"/>
      <c r="P3" s="2029"/>
      <c r="Q3" s="2029"/>
      <c r="R3" s="2029"/>
      <c r="S3" s="2029"/>
      <c r="T3" s="2029"/>
      <c r="U3" s="2029"/>
      <c r="V3" s="2029"/>
    </row>
    <row r="4" spans="1:22" ht="14.25">
      <c r="A4" s="258" t="s">
        <v>299</v>
      </c>
      <c r="B4" s="259" t="s">
        <v>300</v>
      </c>
      <c r="C4" s="260" t="s">
        <v>3125</v>
      </c>
      <c r="D4" s="260" t="s">
        <v>3126</v>
      </c>
      <c r="E4" s="3341" t="s">
        <v>301</v>
      </c>
      <c r="F4" s="3342"/>
      <c r="G4" s="3342"/>
      <c r="H4" s="3342"/>
      <c r="I4" s="3371"/>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0" t="s">
        <v>302</v>
      </c>
      <c r="B5" s="3366">
        <v>25</v>
      </c>
      <c r="C5" s="3364"/>
      <c r="D5" s="3368"/>
      <c r="E5" s="261" t="s">
        <v>303</v>
      </c>
      <c r="F5" s="262"/>
      <c r="G5" s="262"/>
      <c r="H5" s="262"/>
      <c r="I5" s="263"/>
      <c r="J5" s="2030"/>
      <c r="K5" s="2029"/>
      <c r="L5" s="2029"/>
      <c r="M5" s="2029"/>
      <c r="N5" s="2029"/>
      <c r="O5" s="2029"/>
      <c r="P5" s="2029"/>
      <c r="Q5" s="2029"/>
      <c r="R5" s="2029"/>
      <c r="S5" s="2029"/>
      <c r="T5" s="2029"/>
      <c r="U5" s="2029"/>
      <c r="V5" s="2029"/>
    </row>
    <row r="6" spans="1:22" ht="14.25">
      <c r="A6" s="3340"/>
      <c r="B6" s="3366"/>
      <c r="C6" s="3367"/>
      <c r="D6" s="3368"/>
      <c r="E6" s="261" t="s">
        <v>304</v>
      </c>
      <c r="F6" s="262"/>
      <c r="G6" s="262"/>
      <c r="H6" s="262"/>
      <c r="I6" s="263"/>
      <c r="J6" s="2030"/>
      <c r="K6" s="2029"/>
      <c r="L6" s="2029"/>
      <c r="M6" s="2029"/>
      <c r="N6" s="2029"/>
      <c r="O6" s="2029"/>
      <c r="P6" s="2029"/>
      <c r="Q6" s="2029"/>
      <c r="R6" s="2029"/>
      <c r="S6" s="2029"/>
      <c r="T6" s="2029"/>
      <c r="U6" s="2029"/>
      <c r="V6" s="2029"/>
    </row>
    <row r="7" spans="1:22" ht="14.25">
      <c r="A7" s="3340"/>
      <c r="B7" s="3366"/>
      <c r="C7" s="3365"/>
      <c r="D7" s="3368"/>
      <c r="E7" s="261" t="s">
        <v>305</v>
      </c>
      <c r="F7" s="262"/>
      <c r="G7" s="262"/>
      <c r="H7" s="262"/>
      <c r="I7" s="263"/>
      <c r="J7" s="2030"/>
      <c r="K7" s="2029"/>
      <c r="L7" s="2029"/>
      <c r="M7" s="2029"/>
      <c r="N7" s="2029"/>
      <c r="O7" s="2029"/>
      <c r="P7" s="2029"/>
      <c r="Q7" s="2029"/>
      <c r="R7" s="2029"/>
      <c r="S7" s="2029"/>
      <c r="T7" s="2029"/>
      <c r="U7" s="2029"/>
      <c r="V7" s="2029"/>
    </row>
    <row r="8" spans="1:22" ht="14.25">
      <c r="A8" s="3340" t="s">
        <v>306</v>
      </c>
      <c r="B8" s="3366">
        <v>15</v>
      </c>
      <c r="C8" s="3364"/>
      <c r="D8" s="3368"/>
      <c r="E8" s="261" t="s">
        <v>307</v>
      </c>
      <c r="F8" s="262"/>
      <c r="G8" s="262"/>
      <c r="H8" s="262"/>
      <c r="I8" s="263"/>
      <c r="J8" s="2030"/>
      <c r="K8" s="2029"/>
      <c r="L8" s="2029"/>
      <c r="M8" s="2029"/>
      <c r="N8" s="2029"/>
      <c r="O8" s="2029"/>
      <c r="P8" s="2029"/>
      <c r="Q8" s="2029"/>
      <c r="R8" s="2029"/>
      <c r="S8" s="2029"/>
      <c r="T8" s="2029"/>
      <c r="U8" s="2029"/>
      <c r="V8" s="2029"/>
    </row>
    <row r="9" spans="1:22" ht="14.25">
      <c r="A9" s="3340"/>
      <c r="B9" s="3366"/>
      <c r="C9" s="3365"/>
      <c r="D9" s="3368"/>
      <c r="E9" s="261" t="s">
        <v>308</v>
      </c>
      <c r="F9" s="262"/>
      <c r="G9" s="262"/>
      <c r="H9" s="262"/>
      <c r="I9" s="263"/>
      <c r="J9" s="2030"/>
      <c r="K9" s="2029"/>
      <c r="L9" s="2029"/>
      <c r="M9" s="2029"/>
      <c r="N9" s="2029"/>
      <c r="O9" s="2029"/>
      <c r="P9" s="2029"/>
      <c r="Q9" s="2029"/>
      <c r="R9" s="2029"/>
      <c r="S9" s="2029"/>
      <c r="T9" s="2029"/>
      <c r="U9" s="2029"/>
      <c r="V9" s="2029"/>
    </row>
    <row r="10" spans="1:22" ht="14.25">
      <c r="A10" s="3340" t="s">
        <v>309</v>
      </c>
      <c r="B10" s="3366">
        <v>15</v>
      </c>
      <c r="C10" s="3364"/>
      <c r="D10" s="3368"/>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0"/>
      <c r="B11" s="3366"/>
      <c r="C11" s="3365"/>
      <c r="D11" s="3368"/>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0" t="s">
        <v>312</v>
      </c>
      <c r="B12" s="3366">
        <v>15</v>
      </c>
      <c r="C12" s="3364"/>
      <c r="D12" s="3368"/>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0"/>
      <c r="B13" s="3366"/>
      <c r="C13" s="3365"/>
      <c r="D13" s="3368"/>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0" t="s">
        <v>315</v>
      </c>
      <c r="B14" s="3366">
        <v>30</v>
      </c>
      <c r="C14" s="3364">
        <v>5</v>
      </c>
      <c r="D14" s="336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0"/>
      <c r="B15" s="3366"/>
      <c r="C15" s="3367"/>
      <c r="D15" s="3368"/>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0"/>
      <c r="B16" s="3366"/>
      <c r="C16" s="3365"/>
      <c r="D16" s="336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149910</v>
      </c>
      <c r="D19" s="271">
        <f ca="1">SUMIF(INDIRECT("'"&amp;D4&amp;"'"&amp;"!A:A"),结果表!B19,INDIRECT("'"&amp;D4&amp;"'"&amp;"!B:B"))</f>
        <v>132032</v>
      </c>
      <c r="E19" s="268" t="s">
        <v>323</v>
      </c>
      <c r="F19" s="269" t="s">
        <v>322</v>
      </c>
      <c r="G19" s="272">
        <f ca="1">ROUND(C19*$C$18+D19*$D$18,0)</f>
        <v>140971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5478</v>
      </c>
      <c r="D20" s="277">
        <f ca="1">SUMIF(INDIRECT("'"&amp;D4&amp;"'"&amp;"!A:A"),结果表!B20,INDIRECT("'"&amp;D4&amp;"'"&amp;"!B:B"))</f>
        <v>4824</v>
      </c>
      <c r="E20" s="274"/>
      <c r="F20" s="275" t="s">
        <v>325</v>
      </c>
      <c r="G20" s="278">
        <f ca="1">ROUND(C20*$C$18+D20*$D$18,0)</f>
        <v>5151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12707</v>
      </c>
      <c r="D21" s="151">
        <f ca="1">SUMIF(INDIRECT("'"&amp;D4&amp;"'"&amp;"!A:A"),结果表!B21,INDIRECT("'"&amp;D4&amp;"'"&amp;"!B:B"))</f>
        <v>11192</v>
      </c>
      <c r="E21" s="274"/>
      <c r="F21" s="280" t="s">
        <v>327</v>
      </c>
      <c r="G21" s="282">
        <f ca="1">ROUND(C21*$C$18+D21*$D$18,0)</f>
        <v>11950</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0.13540656810470186</v>
      </c>
      <c r="E22" s="284"/>
      <c r="F22" s="285"/>
      <c r="G22" s="286">
        <f ca="1">ROUND(G19/('数据-汇总表'!D3/666.67),0)</f>
        <v>797</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7"/>
      <c r="B25" s="1320" t="s">
        <v>331</v>
      </c>
      <c r="C25" s="290">
        <f>IF(B30=0,0,C30)</f>
        <v>0</v>
      </c>
      <c r="D25" s="291"/>
      <c r="E25" s="311"/>
      <c r="F25" s="311"/>
      <c r="G25" s="311"/>
      <c r="H25" s="311"/>
      <c r="I25" s="311"/>
      <c r="J25" s="2029"/>
      <c r="K25" s="1254" t="str">
        <f ca="1">项目基本情况!B16&amp;"国有建设用地使用权价格："&amp;O38&amp;"万元"</f>
        <v>出让国有建设用地使用权价格：140971万元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大写金额：人民币壹拾肆亿零玖佰柒拾壹万元整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单位面积地价：11949元/平方米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楼面地价：5151元/平方米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抵押价格：140971万元</v>
      </c>
      <c r="L29" s="1251"/>
      <c r="M29" s="1251"/>
      <c r="N29" s="1251"/>
      <c r="O29" s="1250"/>
      <c r="P29" s="2029"/>
      <c r="V29" s="2029"/>
    </row>
    <row r="30" spans="1:26" ht="18.75" thickBot="1">
      <c r="A30" s="3161" t="s">
        <v>336</v>
      </c>
      <c r="B30" s="309"/>
      <c r="C30" s="309"/>
      <c r="D30" s="310"/>
      <c r="E30" s="3162" t="s">
        <v>2958</v>
      </c>
      <c r="F30" s="311"/>
      <c r="G30" s="311"/>
      <c r="H30" s="311"/>
      <c r="I30" s="311"/>
      <c r="J30" s="2029"/>
      <c r="K30" s="1257" t="str">
        <f ca="1">IF(K29="——","——","大写金额：人民币"&amp;NUMBERSTRING(INT(O39*10000),2)&amp;"元整")</f>
        <v>大写金额：人民币壹拾肆亿零玖佰柒拾壹万元整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1688</v>
      </c>
      <c r="C32" s="1382">
        <f ca="1">G19-C24</f>
        <v>140971</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1690</v>
      </c>
      <c r="C33" s="264">
        <f ca="1">ROUND(C32*10000/'数据-汇总表'!E3,0)</f>
        <v>5151</v>
      </c>
      <c r="D33" s="1385" t="s">
        <v>1691</v>
      </c>
      <c r="E33" s="3346"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11949</v>
      </c>
      <c r="D34" s="1387" t="s">
        <v>1691</v>
      </c>
      <c r="E34" s="3387"/>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797</v>
      </c>
      <c r="D35" s="1390" t="s">
        <v>1693</v>
      </c>
      <c r="E35" s="3388"/>
      <c r="F35" s="301" t="s">
        <v>342</v>
      </c>
      <c r="G35" s="981"/>
      <c r="H35" s="980" t="s">
        <v>343</v>
      </c>
      <c r="I35" s="311"/>
      <c r="J35" s="2029"/>
      <c r="K35" s="3361" t="s">
        <v>350</v>
      </c>
      <c r="L35" s="3361" t="s">
        <v>351</v>
      </c>
      <c r="M35" s="1263" t="s">
        <v>352</v>
      </c>
      <c r="N35" s="3361" t="s">
        <v>353</v>
      </c>
      <c r="O35" s="3361" t="s">
        <v>354</v>
      </c>
      <c r="P35" s="2029"/>
      <c r="V35" s="2029"/>
    </row>
    <row r="36" spans="1:26" ht="16.5" customHeight="1">
      <c r="A36" s="303" t="s">
        <v>344</v>
      </c>
      <c r="B36" s="304" t="s">
        <v>333</v>
      </c>
      <c r="C36" s="305" t="s">
        <v>345</v>
      </c>
      <c r="D36" s="305" t="s">
        <v>346</v>
      </c>
      <c r="E36" s="306" t="s">
        <v>347</v>
      </c>
      <c r="F36" s="311"/>
      <c r="G36" s="311"/>
      <c r="H36" s="311"/>
      <c r="I36" s="311"/>
      <c r="J36" s="2031"/>
      <c r="K36" s="3362"/>
      <c r="L36" s="3362"/>
      <c r="M36" s="1265" t="s">
        <v>355</v>
      </c>
      <c r="N36" s="3362"/>
      <c r="O36" s="3362"/>
      <c r="P36" s="2029"/>
      <c r="V36" s="2029"/>
    </row>
    <row r="37" spans="1:26" ht="16.5" customHeight="1" thickBot="1">
      <c r="A37" s="1259" t="s">
        <v>348</v>
      </c>
      <c r="B37" s="307"/>
      <c r="C37" s="294"/>
      <c r="D37" s="294"/>
      <c r="E37" s="295"/>
      <c r="F37" s="311"/>
      <c r="G37" s="311"/>
      <c r="H37" s="311"/>
      <c r="I37" s="311"/>
      <c r="J37" s="2031"/>
      <c r="K37" s="3363"/>
      <c r="L37" s="3363"/>
      <c r="M37" s="1266"/>
      <c r="N37" s="3363"/>
      <c r="O37" s="3363"/>
      <c r="P37" s="2029"/>
      <c r="V37" s="2029"/>
    </row>
    <row r="38" spans="1:26" ht="16.5" customHeight="1" thickBot="1">
      <c r="A38" s="1259" t="s">
        <v>349</v>
      </c>
      <c r="B38" s="307"/>
      <c r="C38" s="294"/>
      <c r="D38" s="294"/>
      <c r="E38" s="295"/>
      <c r="F38" s="311"/>
      <c r="G38" s="311"/>
      <c r="H38" s="311"/>
      <c r="I38" s="311"/>
      <c r="J38" s="2031"/>
      <c r="K38" s="1267">
        <f>'数据-汇总表'!D3</f>
        <v>117974.91</v>
      </c>
      <c r="L38" s="1268">
        <f>'数据-汇总表'!E3</f>
        <v>273671.8</v>
      </c>
      <c r="M38" s="1268">
        <f ca="1">C34</f>
        <v>11949</v>
      </c>
      <c r="N38" s="1268">
        <f ca="1">C33</f>
        <v>5151</v>
      </c>
      <c r="O38" s="1269">
        <f ca="1">C32</f>
        <v>140971</v>
      </c>
      <c r="P38" s="2029"/>
      <c r="V38" s="2029"/>
    </row>
    <row r="39" spans="1:26" ht="16.5" customHeight="1" thickBot="1">
      <c r="A39" s="1264"/>
      <c r="B39" s="308"/>
      <c r="C39" s="309"/>
      <c r="D39" s="309"/>
      <c r="E39" s="310"/>
      <c r="F39" s="311"/>
      <c r="G39" s="311"/>
      <c r="H39" s="311"/>
      <c r="I39" s="311"/>
      <c r="J39" s="2031"/>
      <c r="K39" s="3406" t="str">
        <f>MID(A44,3,LEN(A44)-2)</f>
        <v>抵押价格</v>
      </c>
      <c r="L39" s="3407"/>
      <c r="M39" s="3407"/>
      <c r="N39" s="3408"/>
      <c r="O39" s="1392">
        <f ca="1">C44</f>
        <v>140971</v>
      </c>
      <c r="P39" s="2029"/>
      <c r="V39" s="2029"/>
    </row>
    <row r="40" spans="1:26" ht="19.5" thickBot="1">
      <c r="A40" s="104" t="s">
        <v>872</v>
      </c>
      <c r="B40" s="311"/>
      <c r="C40" s="311"/>
      <c r="D40" s="311"/>
      <c r="E40" s="311"/>
      <c r="F40" s="311"/>
      <c r="G40" s="311"/>
      <c r="H40" s="311"/>
      <c r="I40" s="311"/>
      <c r="J40" s="2031"/>
      <c r="K40" s="3406" t="str">
        <f t="shared" ref="K40:K41" si="0">MID(A45,3,LEN(A45)-2)</f>
        <v/>
      </c>
      <c r="L40" s="3407"/>
      <c r="M40" s="3407"/>
      <c r="N40" s="3408"/>
      <c r="O40" s="1392" t="str">
        <f>C45</f>
        <v>——</v>
      </c>
      <c r="P40" s="2029"/>
      <c r="V40" s="2029"/>
    </row>
    <row r="41" spans="1:26" ht="16.5" thickBot="1">
      <c r="A41" s="312" t="s">
        <v>356</v>
      </c>
      <c r="B41" s="313"/>
      <c r="C41" s="314" t="s">
        <v>357</v>
      </c>
      <c r="D41" s="315" t="s">
        <v>358</v>
      </c>
      <c r="E41" s="315" t="s">
        <v>359</v>
      </c>
      <c r="F41" s="316" t="s">
        <v>360</v>
      </c>
      <c r="G41" s="311"/>
      <c r="H41" s="311"/>
      <c r="I41" s="311"/>
      <c r="J41" s="2031"/>
      <c r="K41" s="3406" t="str">
        <f t="shared" si="0"/>
        <v/>
      </c>
      <c r="L41" s="3407"/>
      <c r="M41" s="3407"/>
      <c r="N41" s="3408"/>
      <c r="O41" s="1392" t="str">
        <f>C46</f>
        <v>——</v>
      </c>
      <c r="P41" s="2029"/>
      <c r="V41" s="2029"/>
    </row>
    <row r="42" spans="1:26" ht="29.25">
      <c r="A42" s="3348" t="s">
        <v>2068</v>
      </c>
      <c r="B42" s="3349"/>
      <c r="C42" s="264">
        <f ca="1">C32</f>
        <v>140971</v>
      </c>
      <c r="D42" s="317">
        <f ca="1">C33</f>
        <v>5151</v>
      </c>
      <c r="E42" s="317">
        <f ca="1">C34</f>
        <v>11949</v>
      </c>
      <c r="F42" s="318">
        <f ca="1">C35</f>
        <v>797</v>
      </c>
      <c r="G42" s="311"/>
      <c r="H42" s="311"/>
      <c r="I42" s="319"/>
      <c r="J42" s="2031"/>
      <c r="K42" s="1270" t="s">
        <v>361</v>
      </c>
      <c r="L42" s="2048" t="s">
        <v>362</v>
      </c>
      <c r="M42" s="1271" t="s">
        <v>363</v>
      </c>
      <c r="N42" s="2049" t="s">
        <v>364</v>
      </c>
      <c r="O42" s="2050" t="s">
        <v>365</v>
      </c>
      <c r="P42" s="2029"/>
      <c r="V42" s="2029"/>
    </row>
    <row r="43" spans="1:26" ht="30">
      <c r="A43" s="3359" t="s">
        <v>2730</v>
      </c>
      <c r="B43" s="3360"/>
      <c r="C43" s="264">
        <f>IF(H33="正常操作",G33+G34+G35,G34+G35)</f>
        <v>0</v>
      </c>
      <c r="D43" s="317" t="s">
        <v>43</v>
      </c>
      <c r="E43" s="317" t="s">
        <v>44</v>
      </c>
      <c r="F43" s="318" t="s">
        <v>44</v>
      </c>
      <c r="G43" s="2891" t="s">
        <v>951</v>
      </c>
      <c r="H43" s="311"/>
      <c r="I43" s="319"/>
      <c r="J43" s="2031"/>
      <c r="K43" s="1272" t="str">
        <f>C4</f>
        <v>比较法-住宅、综合</v>
      </c>
      <c r="L43" s="1273">
        <f ca="1">IF(L42="估价结果/万元",C19,C20)</f>
        <v>149910</v>
      </c>
      <c r="M43" s="1274">
        <f>C18</f>
        <v>0.5</v>
      </c>
      <c r="N43" s="1275">
        <f ca="1">IF(N42="测算结果/万元",G19,G20)</f>
        <v>140971</v>
      </c>
      <c r="O43" s="1276">
        <f ca="1">IF(O42="最终结果/万元",C32,C33)</f>
        <v>140971</v>
      </c>
      <c r="P43" s="2029"/>
      <c r="V43" s="2029"/>
    </row>
    <row r="44" spans="1:26" ht="30.75" thickBot="1">
      <c r="A44" s="3348" t="str">
        <f>IF(OR(项目基本情况!E8="抵押价格",项目基本情况!E8="已注销及未注销"),"3.抵押价格","——")</f>
        <v>3.抵押价格</v>
      </c>
      <c r="B44" s="3349"/>
      <c r="C44" s="264">
        <f ca="1">IF(A44="——","——",C42-C43)</f>
        <v>140971</v>
      </c>
      <c r="D44" s="317">
        <f ca="1">ROUND(C44*10000/'数据-汇总表'!E3,0)</f>
        <v>5151</v>
      </c>
      <c r="E44" s="317">
        <f ca="1">ROUND(C44*10000/'数据-汇总表'!D3,0)</f>
        <v>11949</v>
      </c>
      <c r="F44" s="318">
        <f ca="1">ROUND(C44/('数据-汇总表'!D3/666.67),0)</f>
        <v>797</v>
      </c>
      <c r="G44" s="311"/>
      <c r="H44" s="311"/>
      <c r="I44" s="319"/>
      <c r="J44" s="2031"/>
      <c r="K44" s="1277" t="str">
        <f>D4</f>
        <v>剩余法-待开发</v>
      </c>
      <c r="L44" s="1278">
        <f ca="1">IF(L42="估价结果/万元",D19,D20)</f>
        <v>132032</v>
      </c>
      <c r="M44" s="1279">
        <f>D18</f>
        <v>0.5</v>
      </c>
      <c r="N44" s="1280"/>
      <c r="O44" s="1281"/>
      <c r="P44" s="2029"/>
      <c r="V44" s="2029"/>
    </row>
    <row r="45" spans="1:26" ht="15">
      <c r="A45" s="3354" t="str">
        <f>IF(项目基本情况!E8="已注销及未注销","4.抵押担保权已注销时的抵押价格",IF(项目基本情况!E8="已注销","3.抵押担保权已注销时的抵押价格","——"))</f>
        <v>——</v>
      </c>
      <c r="B45" s="335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95" t="s">
        <v>374</v>
      </c>
      <c r="B63" s="3396"/>
      <c r="C63" s="3397"/>
      <c r="D63" s="341">
        <f ca="1">ROUND(C42*F63,0)</f>
        <v>140971</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56" t="s">
        <v>378</v>
      </c>
      <c r="B64" s="3357"/>
      <c r="C64" s="3357"/>
      <c r="D64" s="3357"/>
      <c r="E64" s="3357"/>
      <c r="F64" s="3357"/>
      <c r="G64" s="3358"/>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52" t="s">
        <v>386</v>
      </c>
      <c r="B66" s="3353"/>
      <c r="C66" s="3353"/>
      <c r="D66" s="261">
        <f ca="1">IF(H66="情况1",0,IF(H66="情况2",D70,IF(H66="情况3",D71,IF(H66="情况4",D72))))</f>
        <v>7384</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410" t="s">
        <v>385</v>
      </c>
      <c r="M66" s="3411"/>
      <c r="N66" s="2483"/>
      <c r="O66" s="2484"/>
      <c r="P66" s="2485"/>
      <c r="Q66" s="2029"/>
      <c r="R66" s="2029"/>
      <c r="S66" s="2029"/>
      <c r="T66" s="2029"/>
      <c r="U66" s="2029"/>
      <c r="V66" s="2029"/>
    </row>
    <row r="67" spans="1:22" ht="25.5" customHeight="1">
      <c r="A67" s="352" t="s">
        <v>390</v>
      </c>
      <c r="B67" s="3343" t="s">
        <v>391</v>
      </c>
      <c r="C67" s="3343"/>
      <c r="D67" s="353">
        <v>0</v>
      </c>
      <c r="E67" s="41" t="s">
        <v>392</v>
      </c>
      <c r="F67" s="62" t="s">
        <v>21</v>
      </c>
      <c r="G67" s="3398"/>
      <c r="H67" s="311"/>
      <c r="I67" s="1291"/>
      <c r="J67" s="2036"/>
      <c r="K67" s="1977">
        <v>2</v>
      </c>
      <c r="L67" s="3409" t="s">
        <v>389</v>
      </c>
      <c r="M67" s="3409"/>
      <c r="N67" s="1324">
        <f>'数据-取费表'!B2</f>
        <v>43217</v>
      </c>
      <c r="O67" s="1324"/>
      <c r="P67" s="1324"/>
      <c r="Q67" s="2029"/>
      <c r="R67" s="2029"/>
      <c r="S67" s="2029"/>
      <c r="T67" s="2029"/>
      <c r="U67" s="2029"/>
      <c r="V67" s="2029"/>
    </row>
    <row r="68" spans="1:22" ht="25.5" customHeight="1">
      <c r="A68" s="354"/>
      <c r="B68" s="3343" t="s">
        <v>394</v>
      </c>
      <c r="C68" s="3343"/>
      <c r="D68" s="355"/>
      <c r="E68" s="77"/>
      <c r="F68" s="356"/>
      <c r="G68" s="3399"/>
      <c r="H68" s="311"/>
      <c r="I68" s="1291"/>
      <c r="J68" s="2036"/>
      <c r="K68" s="1977">
        <v>3</v>
      </c>
      <c r="L68" s="3409" t="s">
        <v>393</v>
      </c>
      <c r="M68" s="3409"/>
      <c r="N68" s="1292">
        <f ca="1">C42</f>
        <v>140971</v>
      </c>
      <c r="O68" s="1292"/>
      <c r="P68" s="1292"/>
      <c r="Q68" s="2029"/>
      <c r="R68" s="2029"/>
      <c r="S68" s="2029"/>
      <c r="T68" s="2029"/>
      <c r="U68" s="2029"/>
      <c r="V68" s="2029"/>
    </row>
    <row r="69" spans="1:22" ht="12" customHeight="1">
      <c r="A69" s="357"/>
      <c r="B69" s="3343" t="s">
        <v>395</v>
      </c>
      <c r="C69" s="3343"/>
      <c r="D69" s="358"/>
      <c r="E69" s="73"/>
      <c r="F69" s="356"/>
      <c r="G69" s="3400"/>
      <c r="H69" s="311"/>
      <c r="I69" s="1291"/>
      <c r="J69" s="2036"/>
      <c r="K69" s="1293">
        <v>4</v>
      </c>
      <c r="L69" s="3414" t="s">
        <v>2883</v>
      </c>
      <c r="M69" s="3415"/>
      <c r="N69" s="1294">
        <f ca="1">C44</f>
        <v>140971</v>
      </c>
      <c r="O69" s="1294"/>
      <c r="P69" s="1294"/>
      <c r="Q69" s="2029"/>
      <c r="R69" s="2029"/>
      <c r="S69" s="2029"/>
      <c r="T69" s="2029"/>
      <c r="U69" s="2029"/>
      <c r="V69" s="2029"/>
    </row>
    <row r="70" spans="1:22" ht="24" customHeight="1">
      <c r="A70" s="359" t="s">
        <v>396</v>
      </c>
      <c r="B70" s="3343" t="s">
        <v>397</v>
      </c>
      <c r="C70" s="3343"/>
      <c r="D70" s="358">
        <f ca="1">ROUND(D63*'数据-取费表'!B41/(1+'数据-取费表'!C42),0)</f>
        <v>7384</v>
      </c>
      <c r="E70" s="17" t="s">
        <v>398</v>
      </c>
      <c r="F70" s="360">
        <f>'数据-取费表'!B41</f>
        <v>5.5000000000000007E-2</v>
      </c>
      <c r="G70" s="361"/>
      <c r="H70" s="311"/>
      <c r="I70" s="1291"/>
      <c r="J70" s="2036"/>
      <c r="K70" s="3087"/>
      <c r="L70" s="3088"/>
      <c r="M70" s="3088"/>
      <c r="N70" s="3089" t="s">
        <v>2887</v>
      </c>
      <c r="O70" s="3088"/>
      <c r="P70" s="3090"/>
      <c r="Q70" s="2029"/>
      <c r="R70" s="2029"/>
      <c r="S70" s="2029"/>
      <c r="T70" s="2029"/>
      <c r="U70" s="2029"/>
      <c r="V70" s="2029"/>
    </row>
    <row r="71" spans="1:22" ht="12" customHeight="1">
      <c r="A71" s="359" t="s">
        <v>404</v>
      </c>
      <c r="B71" s="3344" t="s">
        <v>405</v>
      </c>
      <c r="C71" s="3345"/>
      <c r="D71" s="358">
        <f ca="1">ROUND(D63*'数据-取费表'!B41/(1+'数据-取费表'!C42),0)</f>
        <v>7384</v>
      </c>
      <c r="E71" s="17" t="s">
        <v>398</v>
      </c>
      <c r="F71" s="360">
        <f>'数据-取费表'!B41</f>
        <v>5.5000000000000007E-2</v>
      </c>
      <c r="G71" s="361"/>
      <c r="H71" s="311"/>
      <c r="I71" s="1291"/>
      <c r="J71" s="2036"/>
      <c r="K71" s="3086" t="s">
        <v>399</v>
      </c>
      <c r="L71" s="3416" t="s">
        <v>400</v>
      </c>
      <c r="M71" s="3416"/>
      <c r="N71" s="3086" t="s">
        <v>401</v>
      </c>
      <c r="O71" s="3086" t="s">
        <v>402</v>
      </c>
      <c r="P71" s="3086" t="s">
        <v>403</v>
      </c>
      <c r="Q71" s="2029"/>
      <c r="R71" s="2029"/>
      <c r="S71" s="2029"/>
      <c r="T71" s="2029"/>
      <c r="U71" s="2029"/>
      <c r="V71" s="2029"/>
    </row>
    <row r="72" spans="1:22" ht="12" customHeight="1">
      <c r="A72" s="359" t="s">
        <v>407</v>
      </c>
      <c r="B72" s="3344" t="s">
        <v>408</v>
      </c>
      <c r="C72" s="3345"/>
      <c r="D72" s="358">
        <f ca="1">C86</f>
        <v>7274</v>
      </c>
      <c r="E72" s="73" t="s">
        <v>409</v>
      </c>
      <c r="F72" s="360">
        <f>'数据-取费表'!B41</f>
        <v>5.5000000000000007E-2</v>
      </c>
      <c r="G72" s="361"/>
      <c r="H72" s="1297"/>
      <c r="I72" s="1291"/>
      <c r="J72" s="2036"/>
      <c r="K72" s="1977">
        <v>1</v>
      </c>
      <c r="L72" s="3391" t="s">
        <v>406</v>
      </c>
      <c r="M72" s="3391"/>
      <c r="N72" s="1295">
        <f ca="1">D66</f>
        <v>7384</v>
      </c>
      <c r="O72" s="1860" t="str">
        <f>E66</f>
        <v>销售额×税（费）率</v>
      </c>
      <c r="P72" s="1296">
        <f>F66</f>
        <v>5.5000000000000007E-2</v>
      </c>
      <c r="Q72" s="2029"/>
      <c r="R72" s="2029"/>
      <c r="S72" s="2029"/>
      <c r="T72" s="2029"/>
      <c r="U72" s="2029"/>
      <c r="V72" s="2029"/>
    </row>
    <row r="73" spans="1:22" ht="24" customHeight="1">
      <c r="A73" s="3385" t="s">
        <v>411</v>
      </c>
      <c r="B73" s="3353"/>
      <c r="C73" s="3353"/>
      <c r="D73" s="362">
        <f ca="1">IF(H73="个人住宅",0,ROUND(D63*I73,0))</f>
        <v>70</v>
      </c>
      <c r="E73" s="17" t="s">
        <v>412</v>
      </c>
      <c r="F73" s="360">
        <f>IF(H73="正常",I73,"免征")</f>
        <v>5.0000000000000001E-4</v>
      </c>
      <c r="G73" s="361"/>
      <c r="H73" s="191" t="s">
        <v>3018</v>
      </c>
      <c r="I73" s="360">
        <f>'数据-取费表'!B49</f>
        <v>5.0000000000000001E-4</v>
      </c>
      <c r="J73" s="2036"/>
      <c r="K73" s="1977">
        <v>2</v>
      </c>
      <c r="L73" s="3391" t="s">
        <v>410</v>
      </c>
      <c r="M73" s="3391"/>
      <c r="N73" s="1295">
        <f t="shared" ref="N73:P74" ca="1" si="1">D73</f>
        <v>70</v>
      </c>
      <c r="O73" s="1860" t="str">
        <f t="shared" si="1"/>
        <v>销售额×税（费）率</v>
      </c>
      <c r="P73" s="1296">
        <f t="shared" si="1"/>
        <v>5.0000000000000001E-4</v>
      </c>
      <c r="Q73" s="2029"/>
      <c r="R73" s="2029"/>
      <c r="S73" s="2029"/>
      <c r="T73" s="2029"/>
      <c r="U73" s="2029"/>
      <c r="V73" s="2029"/>
    </row>
    <row r="74" spans="1:22" ht="24.75">
      <c r="A74" s="3385" t="s">
        <v>415</v>
      </c>
      <c r="B74" s="3353"/>
      <c r="C74" s="3353"/>
      <c r="D74" s="362">
        <f ca="1">IF(H74="个人住宅",D75,D76)</f>
        <v>47278</v>
      </c>
      <c r="E74" s="17" t="s">
        <v>416</v>
      </c>
      <c r="F74" s="360" t="str">
        <f>IF(H74="正常",F76,"免征")</f>
        <v>——</v>
      </c>
      <c r="G74" s="982" t="s">
        <v>417</v>
      </c>
      <c r="H74" s="363" t="s">
        <v>413</v>
      </c>
      <c r="I74" s="42"/>
      <c r="J74" s="2036"/>
      <c r="K74" s="1977">
        <v>3</v>
      </c>
      <c r="L74" s="3391" t="s">
        <v>414</v>
      </c>
      <c r="M74" s="3391"/>
      <c r="N74" s="1295">
        <f t="shared" ca="1" si="1"/>
        <v>47278</v>
      </c>
      <c r="O74" s="1860" t="str">
        <f t="shared" si="1"/>
        <v>增值额×税（费）率</v>
      </c>
      <c r="P74" s="1298" t="str">
        <f t="shared" si="1"/>
        <v>——</v>
      </c>
      <c r="Q74" s="2029"/>
      <c r="R74" s="2029"/>
      <c r="S74" s="2029"/>
      <c r="T74" s="2029"/>
      <c r="U74" s="2029"/>
      <c r="V74" s="2029"/>
    </row>
    <row r="75" spans="1:22" ht="12.75">
      <c r="A75" s="359" t="s">
        <v>418</v>
      </c>
      <c r="B75" s="3341" t="s">
        <v>419</v>
      </c>
      <c r="C75" s="3371"/>
      <c r="D75" s="364">
        <v>0</v>
      </c>
      <c r="E75" s="41" t="s">
        <v>420</v>
      </c>
      <c r="F75" s="365"/>
      <c r="G75" s="361"/>
      <c r="H75" s="42"/>
      <c r="I75" s="42"/>
      <c r="J75" s="2036"/>
      <c r="K75" s="3079" t="str">
        <f>IF(H77="非个人房产","",4)</f>
        <v/>
      </c>
      <c r="L75" s="3391" t="str">
        <f>IF(H77="非个人房产","——","个人所得税")</f>
        <v>——</v>
      </c>
      <c r="M75" s="3391"/>
      <c r="N75" s="1299" t="str">
        <f>D77</f>
        <v>——</v>
      </c>
      <c r="O75" s="1873" t="str">
        <f>E77</f>
        <v>——</v>
      </c>
      <c r="P75" s="1300" t="str">
        <f>F77</f>
        <v>——</v>
      </c>
      <c r="Q75" s="2029"/>
      <c r="R75" s="2029"/>
      <c r="S75" s="2029"/>
      <c r="T75" s="2029"/>
      <c r="U75" s="2029"/>
      <c r="V75" s="2029"/>
    </row>
    <row r="76" spans="1:22" ht="24.75">
      <c r="A76" s="359" t="s">
        <v>396</v>
      </c>
      <c r="B76" s="3341" t="s">
        <v>422</v>
      </c>
      <c r="C76" s="3342"/>
      <c r="D76" s="362">
        <f ca="1">IF(H76="转让取得",C99,C115)</f>
        <v>47278</v>
      </c>
      <c r="E76" s="17" t="s">
        <v>423</v>
      </c>
      <c r="F76" s="53" t="s">
        <v>21</v>
      </c>
      <c r="G76" s="361"/>
      <c r="H76" s="363" t="s">
        <v>424</v>
      </c>
      <c r="I76" s="42"/>
      <c r="J76" s="2036"/>
      <c r="K76" s="3079" t="str">
        <f>IF(项目基本情况!K6="上海银行",IF(K75="",4,K75+1),"")</f>
        <v/>
      </c>
      <c r="L76" s="3402" t="str">
        <f>IF(项目基本情况!K6="上海银行","其他处置费用","")</f>
        <v/>
      </c>
      <c r="M76" s="3403"/>
      <c r="N76" s="1295" t="str">
        <f>IF(项目基本情况!K6="上海银行",N89,"")</f>
        <v/>
      </c>
      <c r="O76" s="3404" t="str">
        <f>IF(项目基本情况!K6="上海银行","包含处置中涉及的律师、诉讼、拍卖、评估等费用","")</f>
        <v/>
      </c>
      <c r="P76" s="3405"/>
      <c r="Q76" s="2029"/>
      <c r="R76" s="2029"/>
      <c r="S76" s="2029"/>
      <c r="T76" s="2029"/>
      <c r="U76" s="2029"/>
      <c r="V76" s="2029"/>
    </row>
    <row r="77" spans="1:22" ht="24.75" thickBot="1">
      <c r="A77" s="3393" t="s">
        <v>426</v>
      </c>
      <c r="B77" s="3394"/>
      <c r="C77" s="3394"/>
      <c r="D77" s="366" t="str">
        <f>IF(H77="非个人房产","——",IF(H77="个人住宅",0,ROUND(D63*I77,0)))</f>
        <v>——</v>
      </c>
      <c r="E77" s="367" t="str">
        <f>IF(H77="非个人房产","——","销售额×税（费）率")</f>
        <v>——</v>
      </c>
      <c r="F77" s="368" t="str">
        <f>IF(H77="非个人房产","——",IF(H77="个人住宅","免征",I77))</f>
        <v>——</v>
      </c>
      <c r="G77" s="983" t="s">
        <v>417</v>
      </c>
      <c r="H77" s="363" t="s">
        <v>3142</v>
      </c>
      <c r="I77" s="369">
        <v>0.01</v>
      </c>
      <c r="J77" s="2036"/>
      <c r="K77" s="3392">
        <f>IF(AND(K75="",K76=""),4,IF(项目基本情况!K6="上海银行",K76+1,K75+1))</f>
        <v>4</v>
      </c>
      <c r="L77" s="3391" t="s">
        <v>2884</v>
      </c>
      <c r="M77" s="3085" t="s">
        <v>421</v>
      </c>
      <c r="N77" s="1301"/>
      <c r="O77" s="1302">
        <f ca="1">SUMIF(N72:N76,"&lt;9e307")</f>
        <v>54732</v>
      </c>
      <c r="P77" s="1303"/>
      <c r="Q77" s="3083">
        <f ca="1">O77/N69</f>
        <v>0.38825006561633246</v>
      </c>
      <c r="R77" s="2029"/>
      <c r="S77" s="2029"/>
      <c r="T77" s="2029"/>
      <c r="U77" s="2029"/>
      <c r="V77" s="2029"/>
    </row>
    <row r="78" spans="1:22" ht="12" customHeight="1">
      <c r="A78" s="1304"/>
      <c r="B78" s="311"/>
      <c r="C78" s="311"/>
      <c r="D78" s="311"/>
      <c r="E78" s="42"/>
      <c r="F78" s="42"/>
      <c r="G78" s="42"/>
      <c r="H78" s="1002"/>
      <c r="I78" s="311"/>
      <c r="J78" s="2036"/>
      <c r="K78" s="3392"/>
      <c r="L78" s="3391"/>
      <c r="M78" s="3085" t="s">
        <v>425</v>
      </c>
      <c r="N78" s="1301"/>
      <c r="O78" s="1302" t="str">
        <f ca="1">NUMBERSTRING(INT(O77*10000),2)&amp;"元整"</f>
        <v>伍亿肆仟柒佰叁拾贰万元整</v>
      </c>
      <c r="P78" s="1303"/>
      <c r="Q78" s="2029"/>
      <c r="R78" s="2029"/>
      <c r="S78" s="2029"/>
      <c r="T78" s="2029"/>
      <c r="U78" s="2029"/>
      <c r="V78" s="2029"/>
    </row>
    <row r="79" spans="1:22" ht="13.5" thickBot="1">
      <c r="A79" s="3386" t="s">
        <v>427</v>
      </c>
      <c r="B79" s="3386"/>
      <c r="C79" s="3386"/>
      <c r="D79" s="3386"/>
      <c r="E79" s="3386"/>
      <c r="F79" s="42"/>
      <c r="G79" s="42"/>
      <c r="H79" s="1002"/>
      <c r="I79" s="311"/>
      <c r="J79" s="2036"/>
      <c r="K79" s="3412">
        <f>K77+1</f>
        <v>5</v>
      </c>
      <c r="L79" s="3391" t="s">
        <v>2885</v>
      </c>
      <c r="M79" s="3085" t="s">
        <v>421</v>
      </c>
      <c r="N79" s="1301"/>
      <c r="O79" s="1302">
        <f ca="1">N69-O77</f>
        <v>86239</v>
      </c>
      <c r="P79" s="1303"/>
      <c r="Q79" s="2029"/>
      <c r="R79" s="2029"/>
      <c r="S79" s="2029"/>
      <c r="T79" s="2029"/>
      <c r="U79" s="2029"/>
      <c r="V79" s="2029"/>
    </row>
    <row r="80" spans="1:22" ht="25.5">
      <c r="A80" s="3381" t="s">
        <v>428</v>
      </c>
      <c r="B80" s="3382"/>
      <c r="C80" s="993"/>
      <c r="D80" s="993" t="s">
        <v>429</v>
      </c>
      <c r="E80" s="370" t="s">
        <v>430</v>
      </c>
      <c r="F80" s="42"/>
      <c r="G80" s="42"/>
      <c r="H80" s="1002"/>
      <c r="I80" s="311"/>
      <c r="J80" s="2029"/>
      <c r="K80" s="3413"/>
      <c r="L80" s="3391"/>
      <c r="M80" s="3085" t="s">
        <v>425</v>
      </c>
      <c r="N80" s="1301"/>
      <c r="O80" s="1302" t="str">
        <f ca="1">NUMBERSTRING(INT(O79*10000),2)&amp;"元整"</f>
        <v>捌亿陆仟贰佰叁拾玖万元整</v>
      </c>
      <c r="P80" s="1303"/>
      <c r="Q80" s="2029"/>
      <c r="R80" s="2029"/>
      <c r="S80" s="2029"/>
      <c r="T80" s="2029"/>
      <c r="U80" s="2029"/>
      <c r="V80" s="2029"/>
    </row>
    <row r="81" spans="1:26" ht="13.5" thickBot="1">
      <c r="A81" s="381" t="s">
        <v>1823</v>
      </c>
      <c r="B81" s="371" t="s">
        <v>431</v>
      </c>
      <c r="C81" s="372">
        <f ca="1">ROUND((C82+C83)/(1+'数据-取费表'!C42),0)</f>
        <v>134258</v>
      </c>
      <c r="D81" s="373"/>
      <c r="E81" s="374"/>
      <c r="F81" s="42"/>
      <c r="G81" s="42"/>
      <c r="H81" s="1002"/>
      <c r="I81" s="311"/>
      <c r="J81" s="2029"/>
      <c r="K81" s="3079">
        <f>K79+1</f>
        <v>6</v>
      </c>
      <c r="L81" s="3389" t="s">
        <v>2886</v>
      </c>
      <c r="M81" s="3390"/>
      <c r="N81" s="1305"/>
      <c r="O81" s="1306">
        <f ca="1">ROUND(O79*10000/'数据-汇总表'!E3,0)</f>
        <v>3151</v>
      </c>
      <c r="P81" s="1307"/>
      <c r="Q81" s="2029"/>
      <c r="R81" s="2029"/>
      <c r="S81" s="2029"/>
      <c r="T81" s="2029"/>
      <c r="U81" s="2029"/>
      <c r="V81" s="2029"/>
    </row>
    <row r="82" spans="1:26" ht="13.5" thickTop="1">
      <c r="A82" s="375" t="s">
        <v>1824</v>
      </c>
      <c r="B82" s="376" t="s">
        <v>432</v>
      </c>
      <c r="C82" s="377">
        <f ca="1">D63</f>
        <v>140971</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2"/>
      <c r="I83" s="311"/>
      <c r="J83" s="2029"/>
      <c r="K83" s="3401" t="s">
        <v>2874</v>
      </c>
      <c r="L83" s="3091" t="s">
        <v>2875</v>
      </c>
      <c r="M83" s="3081">
        <f ca="1">IF(N69&gt;10000,N69*0.5%,IF(AND(N69&gt;1000,N69&lt;=10000),N69*1%,IF(AND(N69&gt;100,N69&lt;=1000),N69*3%,IF(AND(N69&gt;10,N69&lt;=100),N69*5%,N69*8%))))</f>
        <v>704.85500000000002</v>
      </c>
      <c r="N83" s="53">
        <f ca="1">ROUND(M83,1)</f>
        <v>704.9</v>
      </c>
      <c r="O83" s="3084"/>
      <c r="P83" s="2029"/>
      <c r="Q83" s="2029"/>
      <c r="R83" s="2029"/>
      <c r="S83" s="2029"/>
      <c r="T83" s="2029"/>
      <c r="U83" s="2029"/>
      <c r="V83" s="2029"/>
    </row>
    <row r="84" spans="1:26" ht="12.75">
      <c r="A84" s="381" t="s">
        <v>1826</v>
      </c>
      <c r="B84" s="382" t="s">
        <v>434</v>
      </c>
      <c r="C84" s="383">
        <v>2000</v>
      </c>
      <c r="D84" s="384" t="s">
        <v>19</v>
      </c>
      <c r="E84" s="3126" t="s">
        <v>2929</v>
      </c>
      <c r="F84" s="42"/>
      <c r="G84" s="42"/>
      <c r="H84" s="1002"/>
      <c r="I84" s="311"/>
      <c r="J84" s="2029"/>
      <c r="K84" s="3401"/>
      <c r="L84" s="3091" t="s">
        <v>2876</v>
      </c>
      <c r="M84" s="3081">
        <f ca="1">IF(N69&gt;2000,N69*0.5%,IF(AND(N69&gt;1000,N69&lt;=2000),N69*0.6%,IF(AND(N69&gt;500,N69&lt;=1000),N69*0.7%,IF(AND(N69&gt;200,N69&lt;=500),N69*0.8%,IF(AND(N69&gt;100,N69&lt;=200),N69*0.9%,IF(AND(N69&gt;50,N69&lt;=100),N69*1%,IF(AND(N69&gt;20,N69&lt;=50),N69*1.5%,IF(AND(N69&gt;10,N69&lt;=20),N69*2%,IF(AND(N69&gt;1,N69&lt;=10),N69*2.5%)))))))))</f>
        <v>704.85500000000002</v>
      </c>
      <c r="N84" s="53">
        <f t="shared" ref="N84:N85" ca="1" si="2">ROUND(M84,1)</f>
        <v>704.9</v>
      </c>
      <c r="O84" s="2029" t="s">
        <v>2877</v>
      </c>
      <c r="P84" s="2029"/>
      <c r="Q84" s="2029"/>
      <c r="R84" s="2029"/>
      <c r="S84" s="2029"/>
      <c r="T84" s="2029"/>
      <c r="U84" s="2029"/>
      <c r="V84" s="2029"/>
    </row>
    <row r="85" spans="1:26" ht="12.75">
      <c r="A85" s="381" t="s">
        <v>1827</v>
      </c>
      <c r="B85" s="382" t="s">
        <v>435</v>
      </c>
      <c r="C85" s="385">
        <f ca="1">C81-C84</f>
        <v>132258</v>
      </c>
      <c r="D85" s="378" t="s">
        <v>19</v>
      </c>
      <c r="E85" s="379"/>
      <c r="F85" s="42"/>
      <c r="G85" s="42"/>
      <c r="H85" s="1002"/>
      <c r="I85" s="311"/>
      <c r="J85" s="2029"/>
      <c r="K85" s="3401"/>
      <c r="L85" s="3091" t="s">
        <v>2878</v>
      </c>
      <c r="M85" s="3081">
        <f ca="1">IF(N69&gt;1000,N69*0.1%,IF(AND(N69&gt;500,N69&lt;=1000),N69*0.5%,IF(AND(N69&gt;50,N69&lt;=500),N69*1%,IF(AND(N69&gt;1,N69&lt;=50),N69*1.5%))))</f>
        <v>140.971</v>
      </c>
      <c r="N85" s="53">
        <f t="shared" ca="1" si="2"/>
        <v>141</v>
      </c>
      <c r="O85" s="2029" t="s">
        <v>2877</v>
      </c>
      <c r="P85" s="2029"/>
      <c r="Q85" s="2029"/>
      <c r="R85" s="2029"/>
      <c r="S85" s="2029"/>
      <c r="T85" s="2029"/>
      <c r="U85" s="2029"/>
      <c r="V85" s="2029"/>
    </row>
    <row r="86" spans="1:26" ht="13.5" thickBot="1">
      <c r="A86" s="386" t="s">
        <v>1828</v>
      </c>
      <c r="B86" s="387" t="s">
        <v>436</v>
      </c>
      <c r="C86" s="388">
        <f ca="1">IF(C85&lt;=0,0,ROUND(C85*D86,0))</f>
        <v>7274</v>
      </c>
      <c r="D86" s="389">
        <f>'数据-取费表'!B41</f>
        <v>5.5000000000000007E-2</v>
      </c>
      <c r="E86" s="390"/>
      <c r="F86" s="42"/>
      <c r="G86" s="42"/>
      <c r="H86" s="1002"/>
      <c r="I86" s="311"/>
      <c r="J86" s="2029"/>
      <c r="K86" s="3401"/>
      <c r="L86" s="3091" t="s">
        <v>2879</v>
      </c>
      <c r="M86" s="3081">
        <f ca="1">N69*0.5%</f>
        <v>704.85500000000002</v>
      </c>
      <c r="N86" s="53">
        <f ca="1">IF(M86&gt;0.5,0.5,ROUND(M86,0))</f>
        <v>0.5</v>
      </c>
      <c r="O86" s="2029" t="s">
        <v>2880</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401"/>
      <c r="L87" s="3091" t="s">
        <v>2881</v>
      </c>
      <c r="M87" s="3081">
        <f ca="1">IF(N69&gt;=10000,(8.25+(N69-10000)*0.01%),IF(AND(N69&gt;=8000,N69&lt;10000),(7.85+(N69-8000)*0.02%),IF(AND(N69&gt;=5000,N69&lt;8000),(6.65+(N69-5000)*0.04%),IF(AND(N69&gt;=2000,N69&lt;5000),(4.25+(PN69-2000)*0.08%),IF(AND(N69&gt;=1000,N69&lt;2000),(2.75+(N69-1000)*0.15%),IF(AND(N69&gt;=100,N69&lt;1000),(0.5+(N69-100)*0.25%),IF(AND(N69&gt;0,N69&lt;100),N69*0.5%)))))))</f>
        <v>21.347100000000001</v>
      </c>
      <c r="N87" s="53">
        <f ca="1">ROUND(M87*0.9,1)</f>
        <v>19.2</v>
      </c>
      <c r="O87" s="3084"/>
      <c r="P87" s="311"/>
      <c r="Q87" s="2029"/>
      <c r="R87" s="2029"/>
      <c r="S87" s="2029"/>
      <c r="T87" s="2029"/>
      <c r="U87" s="2029"/>
      <c r="V87" s="2029"/>
      <c r="W87" s="292"/>
      <c r="X87" s="292"/>
      <c r="Y87" s="292"/>
      <c r="Z87" s="292"/>
    </row>
    <row r="88" spans="1:26" s="1313" customFormat="1" ht="15" thickBot="1">
      <c r="A88" s="3383" t="s">
        <v>437</v>
      </c>
      <c r="B88" s="3384"/>
      <c r="C88" s="3384"/>
      <c r="D88" s="3384"/>
      <c r="E88" s="3384"/>
      <c r="F88" s="3384"/>
      <c r="G88" s="3384"/>
      <c r="H88" s="3384"/>
      <c r="I88" s="1314"/>
      <c r="J88" s="2037"/>
      <c r="K88" s="3401"/>
      <c r="L88" s="3091" t="s">
        <v>2882</v>
      </c>
      <c r="M88" s="3081">
        <f ca="1">IF(N69&gt;10000,N69*0.5%,IF(AND(N69&gt;5000,N69&lt;=10000),N69*1%,IF(AND(N69&gt;1000,N69&lt;=5000),N69*2%,IF(AND(N69&gt;200,N69&lt;=1000),N69*3%,N69*5%))))</f>
        <v>704.85500000000002</v>
      </c>
      <c r="N88" s="53">
        <f ca="1">ROUND(M88,1)</f>
        <v>704.9</v>
      </c>
      <c r="O88" s="3084"/>
      <c r="P88" s="11"/>
      <c r="Q88" s="2034"/>
      <c r="R88" s="2034"/>
      <c r="S88" s="2034"/>
      <c r="T88" s="2034"/>
      <c r="U88" s="2034"/>
      <c r="V88" s="2034"/>
      <c r="W88" s="2038"/>
      <c r="X88" s="2038"/>
      <c r="Y88" s="2038"/>
      <c r="Z88" s="2038"/>
    </row>
    <row r="89" spans="1:26" s="1313" customFormat="1" ht="14.25">
      <c r="A89" s="3381" t="s">
        <v>428</v>
      </c>
      <c r="B89" s="3382"/>
      <c r="C89" s="993"/>
      <c r="D89" s="993" t="s">
        <v>429</v>
      </c>
      <c r="E89" s="391" t="s">
        <v>438</v>
      </c>
      <c r="F89" s="392"/>
      <c r="G89" s="392"/>
      <c r="H89" s="393"/>
      <c r="I89" s="1315"/>
      <c r="J89" s="2039"/>
      <c r="K89" s="3401"/>
      <c r="L89" s="3091" t="s">
        <v>27</v>
      </c>
      <c r="M89" s="3082"/>
      <c r="N89" s="53">
        <f ca="1">ROUND(SUM(N83:N88),0)</f>
        <v>2275</v>
      </c>
      <c r="O89" s="3092">
        <f ca="1">N89/N69</f>
        <v>1.6138070950762924E-2</v>
      </c>
      <c r="P89" s="2034"/>
      <c r="Q89" s="2034"/>
      <c r="R89" s="2034"/>
      <c r="S89" s="2034"/>
      <c r="T89" s="2034"/>
      <c r="U89" s="2034"/>
      <c r="V89" s="2034"/>
      <c r="W89" s="2038"/>
      <c r="X89" s="2038"/>
      <c r="Y89" s="2038"/>
      <c r="Z89" s="2038"/>
    </row>
    <row r="90" spans="1:26" s="1313" customFormat="1" ht="14.25">
      <c r="A90" s="381" t="s">
        <v>1823</v>
      </c>
      <c r="B90" s="382" t="s">
        <v>439</v>
      </c>
      <c r="C90" s="385">
        <f ca="1">ROUND(D63/(1+'数据-取费表'!C42),0)</f>
        <v>134258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440</v>
      </c>
      <c r="C91" s="385">
        <f ca="1">C92+C96</f>
        <v>3252</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442</v>
      </c>
      <c r="C93" s="396">
        <v>2000</v>
      </c>
      <c r="D93" s="378" t="s">
        <v>19</v>
      </c>
      <c r="E93" s="397" t="s">
        <v>443</v>
      </c>
      <c r="F93" s="398" t="s">
        <v>3143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344" t="s">
        <v>446</v>
      </c>
      <c r="F94" s="3343"/>
      <c r="G94" s="3343"/>
      <c r="H94" s="3380"/>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671</v>
      </c>
      <c r="D96" s="406">
        <f>'数据-取费表'!B43</f>
        <v>5.000000000000001E-3</v>
      </c>
      <c r="E96" s="3372" t="s">
        <v>2430</v>
      </c>
      <c r="F96" s="3373"/>
      <c r="G96" s="3373"/>
      <c r="H96" s="3374"/>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131006</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40.284747847478478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77465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83" t="s">
        <v>453</v>
      </c>
      <c r="B101" s="3384"/>
      <c r="C101" s="3384"/>
      <c r="D101" s="3384"/>
      <c r="E101" s="3384"/>
      <c r="F101" s="3384"/>
      <c r="G101" s="3384"/>
      <c r="H101" s="3384"/>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81" t="s">
        <v>428</v>
      </c>
      <c r="B102" s="3382"/>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439</v>
      </c>
      <c r="C103" s="385">
        <f ca="1">ROUND(D63/(1+'数据-取费表'!C42),0)</f>
        <v>134258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440</v>
      </c>
      <c r="C104" s="385">
        <f ca="1">IF(H106="仅含出让金",C105+C108+C109+C110+C111+C112,C105+C109+C110+C111+C112)</f>
        <v>35028</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31234</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v>30018</v>
      </c>
      <c r="D106" s="406"/>
      <c r="E106" s="417" t="s">
        <v>456</v>
      </c>
      <c r="F106" s="985"/>
      <c r="G106" s="418" t="s">
        <v>457</v>
      </c>
      <c r="H106" s="419" t="s">
        <v>3244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1216</v>
      </c>
      <c r="D107" s="406">
        <f>'数据-取费表'!B48+'数据-取费表'!B49</f>
        <v>4.0500000000000001E-2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0</v>
      </c>
      <c r="D109" s="406"/>
      <c r="E109" s="3375" t="s">
        <v>461</v>
      </c>
      <c r="F109" s="3373"/>
      <c r="G109" s="3373"/>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3123</v>
      </c>
      <c r="D110" s="406">
        <v>0.1</v>
      </c>
      <c r="E110" s="3375" t="s">
        <v>463</v>
      </c>
      <c r="F110" s="3373"/>
      <c r="G110" s="3373"/>
      <c r="H110" s="3374"/>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671</v>
      </c>
      <c r="D111" s="406">
        <f>'数据-取费表'!B43</f>
        <v>5.000000000000001E-3</v>
      </c>
      <c r="E111" s="3372" t="s">
        <v>2430</v>
      </c>
      <c r="F111" s="3373"/>
      <c r="G111" s="3373"/>
      <c r="H111" s="3374"/>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75" t="s">
        <v>2454</v>
      </c>
      <c r="F112" s="3373"/>
      <c r="G112" s="3373"/>
      <c r="H112" s="3374"/>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99230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2.8328765558981388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47278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topLeftCell="A13" zoomScaleNormal="100" workbookViewId="0">
      <selection activeCell="C37" sqref="C37"/>
    </sheetView>
  </sheetViews>
  <sheetFormatPr defaultRowHeight="14.25"/>
  <cols>
    <col min="1" max="1" width="4.75" style="3210" customWidth="1"/>
    <col min="2" max="2" width="31.625" style="3216" customWidth="1"/>
    <col min="3" max="3" width="35" style="3216" customWidth="1"/>
    <col min="4" max="4" width="16.125" style="3216" bestFit="1" customWidth="1"/>
    <col min="5" max="5" width="5.25" style="3216" customWidth="1"/>
    <col min="6" max="6" width="27.25" style="3216" bestFit="1" customWidth="1"/>
    <col min="7" max="7" width="41.625" style="3216" bestFit="1" customWidth="1"/>
    <col min="8" max="256" width="9" style="3216"/>
    <col min="257" max="257" width="4.75" style="3216" customWidth="1"/>
    <col min="258" max="258" width="31.625" style="3216" customWidth="1"/>
    <col min="259" max="259" width="35" style="3216" customWidth="1"/>
    <col min="260" max="260" width="16.125" style="3216" bestFit="1" customWidth="1"/>
    <col min="261" max="261" width="5.25" style="3216" customWidth="1"/>
    <col min="262" max="262" width="27.25" style="3216" bestFit="1" customWidth="1"/>
    <col min="263" max="263" width="41.625" style="3216" bestFit="1" customWidth="1"/>
    <col min="264" max="512" width="9" style="3216"/>
    <col min="513" max="513" width="4.75" style="3216" customWidth="1"/>
    <col min="514" max="514" width="31.625" style="3216" customWidth="1"/>
    <col min="515" max="515" width="35" style="3216" customWidth="1"/>
    <col min="516" max="516" width="16.125" style="3216" bestFit="1" customWidth="1"/>
    <col min="517" max="517" width="5.25" style="3216" customWidth="1"/>
    <col min="518" max="518" width="27.25" style="3216" bestFit="1" customWidth="1"/>
    <col min="519" max="519" width="41.625" style="3216" bestFit="1" customWidth="1"/>
    <col min="520" max="768" width="9" style="3216"/>
    <col min="769" max="769" width="4.75" style="3216" customWidth="1"/>
    <col min="770" max="770" width="31.625" style="3216" customWidth="1"/>
    <col min="771" max="771" width="35" style="3216" customWidth="1"/>
    <col min="772" max="772" width="16.125" style="3216" bestFit="1" customWidth="1"/>
    <col min="773" max="773" width="5.25" style="3216" customWidth="1"/>
    <col min="774" max="774" width="27.25" style="3216" bestFit="1" customWidth="1"/>
    <col min="775" max="775" width="41.625" style="3216" bestFit="1" customWidth="1"/>
    <col min="776" max="1024" width="9" style="3216"/>
    <col min="1025" max="1025" width="4.75" style="3216" customWidth="1"/>
    <col min="1026" max="1026" width="31.625" style="3216" customWidth="1"/>
    <col min="1027" max="1027" width="35" style="3216" customWidth="1"/>
    <col min="1028" max="1028" width="16.125" style="3216" bestFit="1" customWidth="1"/>
    <col min="1029" max="1029" width="5.25" style="3216" customWidth="1"/>
    <col min="1030" max="1030" width="27.25" style="3216" bestFit="1" customWidth="1"/>
    <col min="1031" max="1031" width="41.625" style="3216" bestFit="1" customWidth="1"/>
    <col min="1032" max="1280" width="9" style="3216"/>
    <col min="1281" max="1281" width="4.75" style="3216" customWidth="1"/>
    <col min="1282" max="1282" width="31.625" style="3216" customWidth="1"/>
    <col min="1283" max="1283" width="35" style="3216" customWidth="1"/>
    <col min="1284" max="1284" width="16.125" style="3216" bestFit="1" customWidth="1"/>
    <col min="1285" max="1285" width="5.25" style="3216" customWidth="1"/>
    <col min="1286" max="1286" width="27.25" style="3216" bestFit="1" customWidth="1"/>
    <col min="1287" max="1287" width="41.625" style="3216" bestFit="1" customWidth="1"/>
    <col min="1288" max="1536" width="9" style="3216"/>
    <col min="1537" max="1537" width="4.75" style="3216" customWidth="1"/>
    <col min="1538" max="1538" width="31.625" style="3216" customWidth="1"/>
    <col min="1539" max="1539" width="35" style="3216" customWidth="1"/>
    <col min="1540" max="1540" width="16.125" style="3216" bestFit="1" customWidth="1"/>
    <col min="1541" max="1541" width="5.25" style="3216" customWidth="1"/>
    <col min="1542" max="1542" width="27.25" style="3216" bestFit="1" customWidth="1"/>
    <col min="1543" max="1543" width="41.625" style="3216" bestFit="1" customWidth="1"/>
    <col min="1544" max="1792" width="9" style="3216"/>
    <col min="1793" max="1793" width="4.75" style="3216" customWidth="1"/>
    <col min="1794" max="1794" width="31.625" style="3216" customWidth="1"/>
    <col min="1795" max="1795" width="35" style="3216" customWidth="1"/>
    <col min="1796" max="1796" width="16.125" style="3216" bestFit="1" customWidth="1"/>
    <col min="1797" max="1797" width="5.25" style="3216" customWidth="1"/>
    <col min="1798" max="1798" width="27.25" style="3216" bestFit="1" customWidth="1"/>
    <col min="1799" max="1799" width="41.625" style="3216" bestFit="1" customWidth="1"/>
    <col min="1800" max="2048" width="9" style="3216"/>
    <col min="2049" max="2049" width="4.75" style="3216" customWidth="1"/>
    <col min="2050" max="2050" width="31.625" style="3216" customWidth="1"/>
    <col min="2051" max="2051" width="35" style="3216" customWidth="1"/>
    <col min="2052" max="2052" width="16.125" style="3216" bestFit="1" customWidth="1"/>
    <col min="2053" max="2053" width="5.25" style="3216" customWidth="1"/>
    <col min="2054" max="2054" width="27.25" style="3216" bestFit="1" customWidth="1"/>
    <col min="2055" max="2055" width="41.625" style="3216" bestFit="1" customWidth="1"/>
    <col min="2056" max="2304" width="9" style="3216"/>
    <col min="2305" max="2305" width="4.75" style="3216" customWidth="1"/>
    <col min="2306" max="2306" width="31.625" style="3216" customWidth="1"/>
    <col min="2307" max="2307" width="35" style="3216" customWidth="1"/>
    <col min="2308" max="2308" width="16.125" style="3216" bestFit="1" customWidth="1"/>
    <col min="2309" max="2309" width="5.25" style="3216" customWidth="1"/>
    <col min="2310" max="2310" width="27.25" style="3216" bestFit="1" customWidth="1"/>
    <col min="2311" max="2311" width="41.625" style="3216" bestFit="1" customWidth="1"/>
    <col min="2312" max="2560" width="9" style="3216"/>
    <col min="2561" max="2561" width="4.75" style="3216" customWidth="1"/>
    <col min="2562" max="2562" width="31.625" style="3216" customWidth="1"/>
    <col min="2563" max="2563" width="35" style="3216" customWidth="1"/>
    <col min="2564" max="2564" width="16.125" style="3216" bestFit="1" customWidth="1"/>
    <col min="2565" max="2565" width="5.25" style="3216" customWidth="1"/>
    <col min="2566" max="2566" width="27.25" style="3216" bestFit="1" customWidth="1"/>
    <col min="2567" max="2567" width="41.625" style="3216" bestFit="1" customWidth="1"/>
    <col min="2568" max="2816" width="9" style="3216"/>
    <col min="2817" max="2817" width="4.75" style="3216" customWidth="1"/>
    <col min="2818" max="2818" width="31.625" style="3216" customWidth="1"/>
    <col min="2819" max="2819" width="35" style="3216" customWidth="1"/>
    <col min="2820" max="2820" width="16.125" style="3216" bestFit="1" customWidth="1"/>
    <col min="2821" max="2821" width="5.25" style="3216" customWidth="1"/>
    <col min="2822" max="2822" width="27.25" style="3216" bestFit="1" customWidth="1"/>
    <col min="2823" max="2823" width="41.625" style="3216" bestFit="1" customWidth="1"/>
    <col min="2824" max="3072" width="9" style="3216"/>
    <col min="3073" max="3073" width="4.75" style="3216" customWidth="1"/>
    <col min="3074" max="3074" width="31.625" style="3216" customWidth="1"/>
    <col min="3075" max="3075" width="35" style="3216" customWidth="1"/>
    <col min="3076" max="3076" width="16.125" style="3216" bestFit="1" customWidth="1"/>
    <col min="3077" max="3077" width="5.25" style="3216" customWidth="1"/>
    <col min="3078" max="3078" width="27.25" style="3216" bestFit="1" customWidth="1"/>
    <col min="3079" max="3079" width="41.625" style="3216" bestFit="1" customWidth="1"/>
    <col min="3080" max="3328" width="9" style="3216"/>
    <col min="3329" max="3329" width="4.75" style="3216" customWidth="1"/>
    <col min="3330" max="3330" width="31.625" style="3216" customWidth="1"/>
    <col min="3331" max="3331" width="35" style="3216" customWidth="1"/>
    <col min="3332" max="3332" width="16.125" style="3216" bestFit="1" customWidth="1"/>
    <col min="3333" max="3333" width="5.25" style="3216" customWidth="1"/>
    <col min="3334" max="3334" width="27.25" style="3216" bestFit="1" customWidth="1"/>
    <col min="3335" max="3335" width="41.625" style="3216" bestFit="1" customWidth="1"/>
    <col min="3336" max="3584" width="9" style="3216"/>
    <col min="3585" max="3585" width="4.75" style="3216" customWidth="1"/>
    <col min="3586" max="3586" width="31.625" style="3216" customWidth="1"/>
    <col min="3587" max="3587" width="35" style="3216" customWidth="1"/>
    <col min="3588" max="3588" width="16.125" style="3216" bestFit="1" customWidth="1"/>
    <col min="3589" max="3589" width="5.25" style="3216" customWidth="1"/>
    <col min="3590" max="3590" width="27.25" style="3216" bestFit="1" customWidth="1"/>
    <col min="3591" max="3591" width="41.625" style="3216" bestFit="1" customWidth="1"/>
    <col min="3592" max="3840" width="9" style="3216"/>
    <col min="3841" max="3841" width="4.75" style="3216" customWidth="1"/>
    <col min="3842" max="3842" width="31.625" style="3216" customWidth="1"/>
    <col min="3843" max="3843" width="35" style="3216" customWidth="1"/>
    <col min="3844" max="3844" width="16.125" style="3216" bestFit="1" customWidth="1"/>
    <col min="3845" max="3845" width="5.25" style="3216" customWidth="1"/>
    <col min="3846" max="3846" width="27.25" style="3216" bestFit="1" customWidth="1"/>
    <col min="3847" max="3847" width="41.625" style="3216" bestFit="1" customWidth="1"/>
    <col min="3848" max="4096" width="9" style="3216"/>
    <col min="4097" max="4097" width="4.75" style="3216" customWidth="1"/>
    <col min="4098" max="4098" width="31.625" style="3216" customWidth="1"/>
    <col min="4099" max="4099" width="35" style="3216" customWidth="1"/>
    <col min="4100" max="4100" width="16.125" style="3216" bestFit="1" customWidth="1"/>
    <col min="4101" max="4101" width="5.25" style="3216" customWidth="1"/>
    <col min="4102" max="4102" width="27.25" style="3216" bestFit="1" customWidth="1"/>
    <col min="4103" max="4103" width="41.625" style="3216" bestFit="1" customWidth="1"/>
    <col min="4104" max="4352" width="9" style="3216"/>
    <col min="4353" max="4353" width="4.75" style="3216" customWidth="1"/>
    <col min="4354" max="4354" width="31.625" style="3216" customWidth="1"/>
    <col min="4355" max="4355" width="35" style="3216" customWidth="1"/>
    <col min="4356" max="4356" width="16.125" style="3216" bestFit="1" customWidth="1"/>
    <col min="4357" max="4357" width="5.25" style="3216" customWidth="1"/>
    <col min="4358" max="4358" width="27.25" style="3216" bestFit="1" customWidth="1"/>
    <col min="4359" max="4359" width="41.625" style="3216" bestFit="1" customWidth="1"/>
    <col min="4360" max="4608" width="9" style="3216"/>
    <col min="4609" max="4609" width="4.75" style="3216" customWidth="1"/>
    <col min="4610" max="4610" width="31.625" style="3216" customWidth="1"/>
    <col min="4611" max="4611" width="35" style="3216" customWidth="1"/>
    <col min="4612" max="4612" width="16.125" style="3216" bestFit="1" customWidth="1"/>
    <col min="4613" max="4613" width="5.25" style="3216" customWidth="1"/>
    <col min="4614" max="4614" width="27.25" style="3216" bestFit="1" customWidth="1"/>
    <col min="4615" max="4615" width="41.625" style="3216" bestFit="1" customWidth="1"/>
    <col min="4616" max="4864" width="9" style="3216"/>
    <col min="4865" max="4865" width="4.75" style="3216" customWidth="1"/>
    <col min="4866" max="4866" width="31.625" style="3216" customWidth="1"/>
    <col min="4867" max="4867" width="35" style="3216" customWidth="1"/>
    <col min="4868" max="4868" width="16.125" style="3216" bestFit="1" customWidth="1"/>
    <col min="4869" max="4869" width="5.25" style="3216" customWidth="1"/>
    <col min="4870" max="4870" width="27.25" style="3216" bestFit="1" customWidth="1"/>
    <col min="4871" max="4871" width="41.625" style="3216" bestFit="1" customWidth="1"/>
    <col min="4872" max="5120" width="9" style="3216"/>
    <col min="5121" max="5121" width="4.75" style="3216" customWidth="1"/>
    <col min="5122" max="5122" width="31.625" style="3216" customWidth="1"/>
    <col min="5123" max="5123" width="35" style="3216" customWidth="1"/>
    <col min="5124" max="5124" width="16.125" style="3216" bestFit="1" customWidth="1"/>
    <col min="5125" max="5125" width="5.25" style="3216" customWidth="1"/>
    <col min="5126" max="5126" width="27.25" style="3216" bestFit="1" customWidth="1"/>
    <col min="5127" max="5127" width="41.625" style="3216" bestFit="1" customWidth="1"/>
    <col min="5128" max="5376" width="9" style="3216"/>
    <col min="5377" max="5377" width="4.75" style="3216" customWidth="1"/>
    <col min="5378" max="5378" width="31.625" style="3216" customWidth="1"/>
    <col min="5379" max="5379" width="35" style="3216" customWidth="1"/>
    <col min="5380" max="5380" width="16.125" style="3216" bestFit="1" customWidth="1"/>
    <col min="5381" max="5381" width="5.25" style="3216" customWidth="1"/>
    <col min="5382" max="5382" width="27.25" style="3216" bestFit="1" customWidth="1"/>
    <col min="5383" max="5383" width="41.625" style="3216" bestFit="1" customWidth="1"/>
    <col min="5384" max="5632" width="9" style="3216"/>
    <col min="5633" max="5633" width="4.75" style="3216" customWidth="1"/>
    <col min="5634" max="5634" width="31.625" style="3216" customWidth="1"/>
    <col min="5635" max="5635" width="35" style="3216" customWidth="1"/>
    <col min="5636" max="5636" width="16.125" style="3216" bestFit="1" customWidth="1"/>
    <col min="5637" max="5637" width="5.25" style="3216" customWidth="1"/>
    <col min="5638" max="5638" width="27.25" style="3216" bestFit="1" customWidth="1"/>
    <col min="5639" max="5639" width="41.625" style="3216" bestFit="1" customWidth="1"/>
    <col min="5640" max="5888" width="9" style="3216"/>
    <col min="5889" max="5889" width="4.75" style="3216" customWidth="1"/>
    <col min="5890" max="5890" width="31.625" style="3216" customWidth="1"/>
    <col min="5891" max="5891" width="35" style="3216" customWidth="1"/>
    <col min="5892" max="5892" width="16.125" style="3216" bestFit="1" customWidth="1"/>
    <col min="5893" max="5893" width="5.25" style="3216" customWidth="1"/>
    <col min="5894" max="5894" width="27.25" style="3216" bestFit="1" customWidth="1"/>
    <col min="5895" max="5895" width="41.625" style="3216" bestFit="1" customWidth="1"/>
    <col min="5896" max="6144" width="9" style="3216"/>
    <col min="6145" max="6145" width="4.75" style="3216" customWidth="1"/>
    <col min="6146" max="6146" width="31.625" style="3216" customWidth="1"/>
    <col min="6147" max="6147" width="35" style="3216" customWidth="1"/>
    <col min="6148" max="6148" width="16.125" style="3216" bestFit="1" customWidth="1"/>
    <col min="6149" max="6149" width="5.25" style="3216" customWidth="1"/>
    <col min="6150" max="6150" width="27.25" style="3216" bestFit="1" customWidth="1"/>
    <col min="6151" max="6151" width="41.625" style="3216" bestFit="1" customWidth="1"/>
    <col min="6152" max="6400" width="9" style="3216"/>
    <col min="6401" max="6401" width="4.75" style="3216" customWidth="1"/>
    <col min="6402" max="6402" width="31.625" style="3216" customWidth="1"/>
    <col min="6403" max="6403" width="35" style="3216" customWidth="1"/>
    <col min="6404" max="6404" width="16.125" style="3216" bestFit="1" customWidth="1"/>
    <col min="6405" max="6405" width="5.25" style="3216" customWidth="1"/>
    <col min="6406" max="6406" width="27.25" style="3216" bestFit="1" customWidth="1"/>
    <col min="6407" max="6407" width="41.625" style="3216" bestFit="1" customWidth="1"/>
    <col min="6408" max="6656" width="9" style="3216"/>
    <col min="6657" max="6657" width="4.75" style="3216" customWidth="1"/>
    <col min="6658" max="6658" width="31.625" style="3216" customWidth="1"/>
    <col min="6659" max="6659" width="35" style="3216" customWidth="1"/>
    <col min="6660" max="6660" width="16.125" style="3216" bestFit="1" customWidth="1"/>
    <col min="6661" max="6661" width="5.25" style="3216" customWidth="1"/>
    <col min="6662" max="6662" width="27.25" style="3216" bestFit="1" customWidth="1"/>
    <col min="6663" max="6663" width="41.625" style="3216" bestFit="1" customWidth="1"/>
    <col min="6664" max="6912" width="9" style="3216"/>
    <col min="6913" max="6913" width="4.75" style="3216" customWidth="1"/>
    <col min="6914" max="6914" width="31.625" style="3216" customWidth="1"/>
    <col min="6915" max="6915" width="35" style="3216" customWidth="1"/>
    <col min="6916" max="6916" width="16.125" style="3216" bestFit="1" customWidth="1"/>
    <col min="6917" max="6917" width="5.25" style="3216" customWidth="1"/>
    <col min="6918" max="6918" width="27.25" style="3216" bestFit="1" customWidth="1"/>
    <col min="6919" max="6919" width="41.625" style="3216" bestFit="1" customWidth="1"/>
    <col min="6920" max="7168" width="9" style="3216"/>
    <col min="7169" max="7169" width="4.75" style="3216" customWidth="1"/>
    <col min="7170" max="7170" width="31.625" style="3216" customWidth="1"/>
    <col min="7171" max="7171" width="35" style="3216" customWidth="1"/>
    <col min="7172" max="7172" width="16.125" style="3216" bestFit="1" customWidth="1"/>
    <col min="7173" max="7173" width="5.25" style="3216" customWidth="1"/>
    <col min="7174" max="7174" width="27.25" style="3216" bestFit="1" customWidth="1"/>
    <col min="7175" max="7175" width="41.625" style="3216" bestFit="1" customWidth="1"/>
    <col min="7176" max="7424" width="9" style="3216"/>
    <col min="7425" max="7425" width="4.75" style="3216" customWidth="1"/>
    <col min="7426" max="7426" width="31.625" style="3216" customWidth="1"/>
    <col min="7427" max="7427" width="35" style="3216" customWidth="1"/>
    <col min="7428" max="7428" width="16.125" style="3216" bestFit="1" customWidth="1"/>
    <col min="7429" max="7429" width="5.25" style="3216" customWidth="1"/>
    <col min="7430" max="7430" width="27.25" style="3216" bestFit="1" customWidth="1"/>
    <col min="7431" max="7431" width="41.625" style="3216" bestFit="1" customWidth="1"/>
    <col min="7432" max="7680" width="9" style="3216"/>
    <col min="7681" max="7681" width="4.75" style="3216" customWidth="1"/>
    <col min="7682" max="7682" width="31.625" style="3216" customWidth="1"/>
    <col min="7683" max="7683" width="35" style="3216" customWidth="1"/>
    <col min="7684" max="7684" width="16.125" style="3216" bestFit="1" customWidth="1"/>
    <col min="7685" max="7685" width="5.25" style="3216" customWidth="1"/>
    <col min="7686" max="7686" width="27.25" style="3216" bestFit="1" customWidth="1"/>
    <col min="7687" max="7687" width="41.625" style="3216" bestFit="1" customWidth="1"/>
    <col min="7688" max="7936" width="9" style="3216"/>
    <col min="7937" max="7937" width="4.75" style="3216" customWidth="1"/>
    <col min="7938" max="7938" width="31.625" style="3216" customWidth="1"/>
    <col min="7939" max="7939" width="35" style="3216" customWidth="1"/>
    <col min="7940" max="7940" width="16.125" style="3216" bestFit="1" customWidth="1"/>
    <col min="7941" max="7941" width="5.25" style="3216" customWidth="1"/>
    <col min="7942" max="7942" width="27.25" style="3216" bestFit="1" customWidth="1"/>
    <col min="7943" max="7943" width="41.625" style="3216" bestFit="1" customWidth="1"/>
    <col min="7944" max="8192" width="9" style="3216"/>
    <col min="8193" max="8193" width="4.75" style="3216" customWidth="1"/>
    <col min="8194" max="8194" width="31.625" style="3216" customWidth="1"/>
    <col min="8195" max="8195" width="35" style="3216" customWidth="1"/>
    <col min="8196" max="8196" width="16.125" style="3216" bestFit="1" customWidth="1"/>
    <col min="8197" max="8197" width="5.25" style="3216" customWidth="1"/>
    <col min="8198" max="8198" width="27.25" style="3216" bestFit="1" customWidth="1"/>
    <col min="8199" max="8199" width="41.625" style="3216" bestFit="1" customWidth="1"/>
    <col min="8200" max="8448" width="9" style="3216"/>
    <col min="8449" max="8449" width="4.75" style="3216" customWidth="1"/>
    <col min="8450" max="8450" width="31.625" style="3216" customWidth="1"/>
    <col min="8451" max="8451" width="35" style="3216" customWidth="1"/>
    <col min="8452" max="8452" width="16.125" style="3216" bestFit="1" customWidth="1"/>
    <col min="8453" max="8453" width="5.25" style="3216" customWidth="1"/>
    <col min="8454" max="8454" width="27.25" style="3216" bestFit="1" customWidth="1"/>
    <col min="8455" max="8455" width="41.625" style="3216" bestFit="1" customWidth="1"/>
    <col min="8456" max="8704" width="9" style="3216"/>
    <col min="8705" max="8705" width="4.75" style="3216" customWidth="1"/>
    <col min="8706" max="8706" width="31.625" style="3216" customWidth="1"/>
    <col min="8707" max="8707" width="35" style="3216" customWidth="1"/>
    <col min="8708" max="8708" width="16.125" style="3216" bestFit="1" customWidth="1"/>
    <col min="8709" max="8709" width="5.25" style="3216" customWidth="1"/>
    <col min="8710" max="8710" width="27.25" style="3216" bestFit="1" customWidth="1"/>
    <col min="8711" max="8711" width="41.625" style="3216" bestFit="1" customWidth="1"/>
    <col min="8712" max="8960" width="9" style="3216"/>
    <col min="8961" max="8961" width="4.75" style="3216" customWidth="1"/>
    <col min="8962" max="8962" width="31.625" style="3216" customWidth="1"/>
    <col min="8963" max="8963" width="35" style="3216" customWidth="1"/>
    <col min="8964" max="8964" width="16.125" style="3216" bestFit="1" customWidth="1"/>
    <col min="8965" max="8965" width="5.25" style="3216" customWidth="1"/>
    <col min="8966" max="8966" width="27.25" style="3216" bestFit="1" customWidth="1"/>
    <col min="8967" max="8967" width="41.625" style="3216" bestFit="1" customWidth="1"/>
    <col min="8968" max="9216" width="9" style="3216"/>
    <col min="9217" max="9217" width="4.75" style="3216" customWidth="1"/>
    <col min="9218" max="9218" width="31.625" style="3216" customWidth="1"/>
    <col min="9219" max="9219" width="35" style="3216" customWidth="1"/>
    <col min="9220" max="9220" width="16.125" style="3216" bestFit="1" customWidth="1"/>
    <col min="9221" max="9221" width="5.25" style="3216" customWidth="1"/>
    <col min="9222" max="9222" width="27.25" style="3216" bestFit="1" customWidth="1"/>
    <col min="9223" max="9223" width="41.625" style="3216" bestFit="1" customWidth="1"/>
    <col min="9224" max="9472" width="9" style="3216"/>
    <col min="9473" max="9473" width="4.75" style="3216" customWidth="1"/>
    <col min="9474" max="9474" width="31.625" style="3216" customWidth="1"/>
    <col min="9475" max="9475" width="35" style="3216" customWidth="1"/>
    <col min="9476" max="9476" width="16.125" style="3216" bestFit="1" customWidth="1"/>
    <col min="9477" max="9477" width="5.25" style="3216" customWidth="1"/>
    <col min="9478" max="9478" width="27.25" style="3216" bestFit="1" customWidth="1"/>
    <col min="9479" max="9479" width="41.625" style="3216" bestFit="1" customWidth="1"/>
    <col min="9480" max="9728" width="9" style="3216"/>
    <col min="9729" max="9729" width="4.75" style="3216" customWidth="1"/>
    <col min="9730" max="9730" width="31.625" style="3216" customWidth="1"/>
    <col min="9731" max="9731" width="35" style="3216" customWidth="1"/>
    <col min="9732" max="9732" width="16.125" style="3216" bestFit="1" customWidth="1"/>
    <col min="9733" max="9733" width="5.25" style="3216" customWidth="1"/>
    <col min="9734" max="9734" width="27.25" style="3216" bestFit="1" customWidth="1"/>
    <col min="9735" max="9735" width="41.625" style="3216" bestFit="1" customWidth="1"/>
    <col min="9736" max="9984" width="9" style="3216"/>
    <col min="9985" max="9985" width="4.75" style="3216" customWidth="1"/>
    <col min="9986" max="9986" width="31.625" style="3216" customWidth="1"/>
    <col min="9987" max="9987" width="35" style="3216" customWidth="1"/>
    <col min="9988" max="9988" width="16.125" style="3216" bestFit="1" customWidth="1"/>
    <col min="9989" max="9989" width="5.25" style="3216" customWidth="1"/>
    <col min="9990" max="9990" width="27.25" style="3216" bestFit="1" customWidth="1"/>
    <col min="9991" max="9991" width="41.625" style="3216" bestFit="1" customWidth="1"/>
    <col min="9992" max="10240" width="9" style="3216"/>
    <col min="10241" max="10241" width="4.75" style="3216" customWidth="1"/>
    <col min="10242" max="10242" width="31.625" style="3216" customWidth="1"/>
    <col min="10243" max="10243" width="35" style="3216" customWidth="1"/>
    <col min="10244" max="10244" width="16.125" style="3216" bestFit="1" customWidth="1"/>
    <col min="10245" max="10245" width="5.25" style="3216" customWidth="1"/>
    <col min="10246" max="10246" width="27.25" style="3216" bestFit="1" customWidth="1"/>
    <col min="10247" max="10247" width="41.625" style="3216" bestFit="1" customWidth="1"/>
    <col min="10248" max="10496" width="9" style="3216"/>
    <col min="10497" max="10497" width="4.75" style="3216" customWidth="1"/>
    <col min="10498" max="10498" width="31.625" style="3216" customWidth="1"/>
    <col min="10499" max="10499" width="35" style="3216" customWidth="1"/>
    <col min="10500" max="10500" width="16.125" style="3216" bestFit="1" customWidth="1"/>
    <col min="10501" max="10501" width="5.25" style="3216" customWidth="1"/>
    <col min="10502" max="10502" width="27.25" style="3216" bestFit="1" customWidth="1"/>
    <col min="10503" max="10503" width="41.625" style="3216" bestFit="1" customWidth="1"/>
    <col min="10504" max="10752" width="9" style="3216"/>
    <col min="10753" max="10753" width="4.75" style="3216" customWidth="1"/>
    <col min="10754" max="10754" width="31.625" style="3216" customWidth="1"/>
    <col min="10755" max="10755" width="35" style="3216" customWidth="1"/>
    <col min="10756" max="10756" width="16.125" style="3216" bestFit="1" customWidth="1"/>
    <col min="10757" max="10757" width="5.25" style="3216" customWidth="1"/>
    <col min="10758" max="10758" width="27.25" style="3216" bestFit="1" customWidth="1"/>
    <col min="10759" max="10759" width="41.625" style="3216" bestFit="1" customWidth="1"/>
    <col min="10760" max="11008" width="9" style="3216"/>
    <col min="11009" max="11009" width="4.75" style="3216" customWidth="1"/>
    <col min="11010" max="11010" width="31.625" style="3216" customWidth="1"/>
    <col min="11011" max="11011" width="35" style="3216" customWidth="1"/>
    <col min="11012" max="11012" width="16.125" style="3216" bestFit="1" customWidth="1"/>
    <col min="11013" max="11013" width="5.25" style="3216" customWidth="1"/>
    <col min="11014" max="11014" width="27.25" style="3216" bestFit="1" customWidth="1"/>
    <col min="11015" max="11015" width="41.625" style="3216" bestFit="1" customWidth="1"/>
    <col min="11016" max="11264" width="9" style="3216"/>
    <col min="11265" max="11265" width="4.75" style="3216" customWidth="1"/>
    <col min="11266" max="11266" width="31.625" style="3216" customWidth="1"/>
    <col min="11267" max="11267" width="35" style="3216" customWidth="1"/>
    <col min="11268" max="11268" width="16.125" style="3216" bestFit="1" customWidth="1"/>
    <col min="11269" max="11269" width="5.25" style="3216" customWidth="1"/>
    <col min="11270" max="11270" width="27.25" style="3216" bestFit="1" customWidth="1"/>
    <col min="11271" max="11271" width="41.625" style="3216" bestFit="1" customWidth="1"/>
    <col min="11272" max="11520" width="9" style="3216"/>
    <col min="11521" max="11521" width="4.75" style="3216" customWidth="1"/>
    <col min="11522" max="11522" width="31.625" style="3216" customWidth="1"/>
    <col min="11523" max="11523" width="35" style="3216" customWidth="1"/>
    <col min="11524" max="11524" width="16.125" style="3216" bestFit="1" customWidth="1"/>
    <col min="11525" max="11525" width="5.25" style="3216" customWidth="1"/>
    <col min="11526" max="11526" width="27.25" style="3216" bestFit="1" customWidth="1"/>
    <col min="11527" max="11527" width="41.625" style="3216" bestFit="1" customWidth="1"/>
    <col min="11528" max="11776" width="9" style="3216"/>
    <col min="11777" max="11777" width="4.75" style="3216" customWidth="1"/>
    <col min="11778" max="11778" width="31.625" style="3216" customWidth="1"/>
    <col min="11779" max="11779" width="35" style="3216" customWidth="1"/>
    <col min="11780" max="11780" width="16.125" style="3216" bestFit="1" customWidth="1"/>
    <col min="11781" max="11781" width="5.25" style="3216" customWidth="1"/>
    <col min="11782" max="11782" width="27.25" style="3216" bestFit="1" customWidth="1"/>
    <col min="11783" max="11783" width="41.625" style="3216" bestFit="1" customWidth="1"/>
    <col min="11784" max="12032" width="9" style="3216"/>
    <col min="12033" max="12033" width="4.75" style="3216" customWidth="1"/>
    <col min="12034" max="12034" width="31.625" style="3216" customWidth="1"/>
    <col min="12035" max="12035" width="35" style="3216" customWidth="1"/>
    <col min="12036" max="12036" width="16.125" style="3216" bestFit="1" customWidth="1"/>
    <col min="12037" max="12037" width="5.25" style="3216" customWidth="1"/>
    <col min="12038" max="12038" width="27.25" style="3216" bestFit="1" customWidth="1"/>
    <col min="12039" max="12039" width="41.625" style="3216" bestFit="1" customWidth="1"/>
    <col min="12040" max="12288" width="9" style="3216"/>
    <col min="12289" max="12289" width="4.75" style="3216" customWidth="1"/>
    <col min="12290" max="12290" width="31.625" style="3216" customWidth="1"/>
    <col min="12291" max="12291" width="35" style="3216" customWidth="1"/>
    <col min="12292" max="12292" width="16.125" style="3216" bestFit="1" customWidth="1"/>
    <col min="12293" max="12293" width="5.25" style="3216" customWidth="1"/>
    <col min="12294" max="12294" width="27.25" style="3216" bestFit="1" customWidth="1"/>
    <col min="12295" max="12295" width="41.625" style="3216" bestFit="1" customWidth="1"/>
    <col min="12296" max="12544" width="9" style="3216"/>
    <col min="12545" max="12545" width="4.75" style="3216" customWidth="1"/>
    <col min="12546" max="12546" width="31.625" style="3216" customWidth="1"/>
    <col min="12547" max="12547" width="35" style="3216" customWidth="1"/>
    <col min="12548" max="12548" width="16.125" style="3216" bestFit="1" customWidth="1"/>
    <col min="12549" max="12549" width="5.25" style="3216" customWidth="1"/>
    <col min="12550" max="12550" width="27.25" style="3216" bestFit="1" customWidth="1"/>
    <col min="12551" max="12551" width="41.625" style="3216" bestFit="1" customWidth="1"/>
    <col min="12552" max="12800" width="9" style="3216"/>
    <col min="12801" max="12801" width="4.75" style="3216" customWidth="1"/>
    <col min="12802" max="12802" width="31.625" style="3216" customWidth="1"/>
    <col min="12803" max="12803" width="35" style="3216" customWidth="1"/>
    <col min="12804" max="12804" width="16.125" style="3216" bestFit="1" customWidth="1"/>
    <col min="12805" max="12805" width="5.25" style="3216" customWidth="1"/>
    <col min="12806" max="12806" width="27.25" style="3216" bestFit="1" customWidth="1"/>
    <col min="12807" max="12807" width="41.625" style="3216" bestFit="1" customWidth="1"/>
    <col min="12808" max="13056" width="9" style="3216"/>
    <col min="13057" max="13057" width="4.75" style="3216" customWidth="1"/>
    <col min="13058" max="13058" width="31.625" style="3216" customWidth="1"/>
    <col min="13059" max="13059" width="35" style="3216" customWidth="1"/>
    <col min="13060" max="13060" width="16.125" style="3216" bestFit="1" customWidth="1"/>
    <col min="13061" max="13061" width="5.25" style="3216" customWidth="1"/>
    <col min="13062" max="13062" width="27.25" style="3216" bestFit="1" customWidth="1"/>
    <col min="13063" max="13063" width="41.625" style="3216" bestFit="1" customWidth="1"/>
    <col min="13064" max="13312" width="9" style="3216"/>
    <col min="13313" max="13313" width="4.75" style="3216" customWidth="1"/>
    <col min="13314" max="13314" width="31.625" style="3216" customWidth="1"/>
    <col min="13315" max="13315" width="35" style="3216" customWidth="1"/>
    <col min="13316" max="13316" width="16.125" style="3216" bestFit="1" customWidth="1"/>
    <col min="13317" max="13317" width="5.25" style="3216" customWidth="1"/>
    <col min="13318" max="13318" width="27.25" style="3216" bestFit="1" customWidth="1"/>
    <col min="13319" max="13319" width="41.625" style="3216" bestFit="1" customWidth="1"/>
    <col min="13320" max="13568" width="9" style="3216"/>
    <col min="13569" max="13569" width="4.75" style="3216" customWidth="1"/>
    <col min="13570" max="13570" width="31.625" style="3216" customWidth="1"/>
    <col min="13571" max="13571" width="35" style="3216" customWidth="1"/>
    <col min="13572" max="13572" width="16.125" style="3216" bestFit="1" customWidth="1"/>
    <col min="13573" max="13573" width="5.25" style="3216" customWidth="1"/>
    <col min="13574" max="13574" width="27.25" style="3216" bestFit="1" customWidth="1"/>
    <col min="13575" max="13575" width="41.625" style="3216" bestFit="1" customWidth="1"/>
    <col min="13576" max="13824" width="9" style="3216"/>
    <col min="13825" max="13825" width="4.75" style="3216" customWidth="1"/>
    <col min="13826" max="13826" width="31.625" style="3216" customWidth="1"/>
    <col min="13827" max="13827" width="35" style="3216" customWidth="1"/>
    <col min="13828" max="13828" width="16.125" style="3216" bestFit="1" customWidth="1"/>
    <col min="13829" max="13829" width="5.25" style="3216" customWidth="1"/>
    <col min="13830" max="13830" width="27.25" style="3216" bestFit="1" customWidth="1"/>
    <col min="13831" max="13831" width="41.625" style="3216" bestFit="1" customWidth="1"/>
    <col min="13832" max="14080" width="9" style="3216"/>
    <col min="14081" max="14081" width="4.75" style="3216" customWidth="1"/>
    <col min="14082" max="14082" width="31.625" style="3216" customWidth="1"/>
    <col min="14083" max="14083" width="35" style="3216" customWidth="1"/>
    <col min="14084" max="14084" width="16.125" style="3216" bestFit="1" customWidth="1"/>
    <col min="14085" max="14085" width="5.25" style="3216" customWidth="1"/>
    <col min="14086" max="14086" width="27.25" style="3216" bestFit="1" customWidth="1"/>
    <col min="14087" max="14087" width="41.625" style="3216" bestFit="1" customWidth="1"/>
    <col min="14088" max="14336" width="9" style="3216"/>
    <col min="14337" max="14337" width="4.75" style="3216" customWidth="1"/>
    <col min="14338" max="14338" width="31.625" style="3216" customWidth="1"/>
    <col min="14339" max="14339" width="35" style="3216" customWidth="1"/>
    <col min="14340" max="14340" width="16.125" style="3216" bestFit="1" customWidth="1"/>
    <col min="14341" max="14341" width="5.25" style="3216" customWidth="1"/>
    <col min="14342" max="14342" width="27.25" style="3216" bestFit="1" customWidth="1"/>
    <col min="14343" max="14343" width="41.625" style="3216" bestFit="1" customWidth="1"/>
    <col min="14344" max="14592" width="9" style="3216"/>
    <col min="14593" max="14593" width="4.75" style="3216" customWidth="1"/>
    <col min="14594" max="14594" width="31.625" style="3216" customWidth="1"/>
    <col min="14595" max="14595" width="35" style="3216" customWidth="1"/>
    <col min="14596" max="14596" width="16.125" style="3216" bestFit="1" customWidth="1"/>
    <col min="14597" max="14597" width="5.25" style="3216" customWidth="1"/>
    <col min="14598" max="14598" width="27.25" style="3216" bestFit="1" customWidth="1"/>
    <col min="14599" max="14599" width="41.625" style="3216" bestFit="1" customWidth="1"/>
    <col min="14600" max="14848" width="9" style="3216"/>
    <col min="14849" max="14849" width="4.75" style="3216" customWidth="1"/>
    <col min="14850" max="14850" width="31.625" style="3216" customWidth="1"/>
    <col min="14851" max="14851" width="35" style="3216" customWidth="1"/>
    <col min="14852" max="14852" width="16.125" style="3216" bestFit="1" customWidth="1"/>
    <col min="14853" max="14853" width="5.25" style="3216" customWidth="1"/>
    <col min="14854" max="14854" width="27.25" style="3216" bestFit="1" customWidth="1"/>
    <col min="14855" max="14855" width="41.625" style="3216" bestFit="1" customWidth="1"/>
    <col min="14856" max="15104" width="9" style="3216"/>
    <col min="15105" max="15105" width="4.75" style="3216" customWidth="1"/>
    <col min="15106" max="15106" width="31.625" style="3216" customWidth="1"/>
    <col min="15107" max="15107" width="35" style="3216" customWidth="1"/>
    <col min="15108" max="15108" width="16.125" style="3216" bestFit="1" customWidth="1"/>
    <col min="15109" max="15109" width="5.25" style="3216" customWidth="1"/>
    <col min="15110" max="15110" width="27.25" style="3216" bestFit="1" customWidth="1"/>
    <col min="15111" max="15111" width="41.625" style="3216" bestFit="1" customWidth="1"/>
    <col min="15112" max="15360" width="9" style="3216"/>
    <col min="15361" max="15361" width="4.75" style="3216" customWidth="1"/>
    <col min="15362" max="15362" width="31.625" style="3216" customWidth="1"/>
    <col min="15363" max="15363" width="35" style="3216" customWidth="1"/>
    <col min="15364" max="15364" width="16.125" style="3216" bestFit="1" customWidth="1"/>
    <col min="15365" max="15365" width="5.25" style="3216" customWidth="1"/>
    <col min="15366" max="15366" width="27.25" style="3216" bestFit="1" customWidth="1"/>
    <col min="15367" max="15367" width="41.625" style="3216" bestFit="1" customWidth="1"/>
    <col min="15368" max="15616" width="9" style="3216"/>
    <col min="15617" max="15617" width="4.75" style="3216" customWidth="1"/>
    <col min="15618" max="15618" width="31.625" style="3216" customWidth="1"/>
    <col min="15619" max="15619" width="35" style="3216" customWidth="1"/>
    <col min="15620" max="15620" width="16.125" style="3216" bestFit="1" customWidth="1"/>
    <col min="15621" max="15621" width="5.25" style="3216" customWidth="1"/>
    <col min="15622" max="15622" width="27.25" style="3216" bestFit="1" customWidth="1"/>
    <col min="15623" max="15623" width="41.625" style="3216" bestFit="1" customWidth="1"/>
    <col min="15624" max="15872" width="9" style="3216"/>
    <col min="15873" max="15873" width="4.75" style="3216" customWidth="1"/>
    <col min="15874" max="15874" width="31.625" style="3216" customWidth="1"/>
    <col min="15875" max="15875" width="35" style="3216" customWidth="1"/>
    <col min="15876" max="15876" width="16.125" style="3216" bestFit="1" customWidth="1"/>
    <col min="15877" max="15877" width="5.25" style="3216" customWidth="1"/>
    <col min="15878" max="15878" width="27.25" style="3216" bestFit="1" customWidth="1"/>
    <col min="15879" max="15879" width="41.625" style="3216" bestFit="1" customWidth="1"/>
    <col min="15880" max="16128" width="9" style="3216"/>
    <col min="16129" max="16129" width="4.75" style="3216" customWidth="1"/>
    <col min="16130" max="16130" width="31.625" style="3216" customWidth="1"/>
    <col min="16131" max="16131" width="35" style="3216" customWidth="1"/>
    <col min="16132" max="16132" width="16.125" style="3216" bestFit="1" customWidth="1"/>
    <col min="16133" max="16133" width="5.25" style="3216" customWidth="1"/>
    <col min="16134" max="16134" width="27.25" style="3216" bestFit="1" customWidth="1"/>
    <col min="16135" max="16135" width="41.625" style="3216" bestFit="1" customWidth="1"/>
    <col min="16136" max="16384" width="9" style="3216"/>
  </cols>
  <sheetData>
    <row r="1" spans="1:5" ht="39" customHeight="1">
      <c r="A1" s="3419"/>
      <c r="B1" s="3419"/>
      <c r="C1" s="3419"/>
      <c r="D1" s="3419"/>
    </row>
    <row r="2" spans="1:5">
      <c r="A2" s="3420" t="s">
        <v>3234</v>
      </c>
      <c r="B2" s="3420"/>
      <c r="C2" s="3420"/>
      <c r="D2" s="3420"/>
    </row>
    <row r="3" spans="1:5" s="3214" customFormat="1" ht="24.75" customHeight="1" thickBot="1">
      <c r="A3" s="3421"/>
      <c r="B3" s="3421"/>
      <c r="C3" s="3421"/>
      <c r="D3" s="3217" t="s">
        <v>3144</v>
      </c>
    </row>
    <row r="4" spans="1:5" s="3215" customFormat="1" ht="33" customHeight="1" thickTop="1">
      <c r="A4" s="3218" t="s">
        <v>2377</v>
      </c>
      <c r="B4" s="3219" t="s">
        <v>3145</v>
      </c>
      <c r="C4" s="3219" t="s">
        <v>3146</v>
      </c>
      <c r="D4" s="3211" t="s">
        <v>3147</v>
      </c>
      <c r="E4" s="3220"/>
    </row>
    <row r="5" spans="1:5" ht="21" customHeight="1">
      <c r="A5" s="3213" t="s">
        <v>3148</v>
      </c>
      <c r="B5" s="3221" t="s">
        <v>3149</v>
      </c>
      <c r="C5" s="3222"/>
      <c r="D5" s="3223">
        <f>SUM(D6:D7)</f>
        <v>89444.501499999998</v>
      </c>
      <c r="E5" s="3224"/>
    </row>
    <row r="6" spans="1:5" ht="22.15" customHeight="1">
      <c r="A6" s="3212">
        <v>1</v>
      </c>
      <c r="B6" s="3225" t="s">
        <v>3150</v>
      </c>
      <c r="C6" s="3245"/>
      <c r="D6" s="3226">
        <v>85963</v>
      </c>
      <c r="E6" s="3224"/>
    </row>
    <row r="7" spans="1:5" ht="21" customHeight="1">
      <c r="A7" s="3212">
        <v>2</v>
      </c>
      <c r="B7" s="3227" t="s">
        <v>3151</v>
      </c>
      <c r="C7" s="3228">
        <v>4.0500000000000001E-2</v>
      </c>
      <c r="D7" s="3229">
        <f>D6*4.05%</f>
        <v>3481.5015000000003</v>
      </c>
      <c r="E7" s="3230"/>
    </row>
    <row r="8" spans="1:5" ht="21" customHeight="1">
      <c r="A8" s="3213" t="s">
        <v>3152</v>
      </c>
      <c r="B8" s="3221" t="s">
        <v>3153</v>
      </c>
      <c r="C8" s="3231"/>
      <c r="D8" s="3223">
        <f>D9+D16</f>
        <v>7417.4960761999992</v>
      </c>
      <c r="E8" s="3224"/>
    </row>
    <row r="9" spans="1:5" ht="21" customHeight="1">
      <c r="A9" s="3232">
        <v>1</v>
      </c>
      <c r="B9" s="3233" t="s">
        <v>3154</v>
      </c>
      <c r="C9" s="3231"/>
      <c r="D9" s="3223">
        <f>SUM(D10+D14+D15)</f>
        <v>4302.3383919999997</v>
      </c>
      <c r="E9" s="3224"/>
    </row>
    <row r="10" spans="1:5" ht="21" customHeight="1">
      <c r="A10" s="3212">
        <v>1.1000000000000001</v>
      </c>
      <c r="B10" s="3227" t="s">
        <v>3155</v>
      </c>
      <c r="C10" s="3231"/>
      <c r="D10" s="3229">
        <f>SUM(D11:D13)</f>
        <v>3866.2905819999996</v>
      </c>
      <c r="E10" s="3224"/>
    </row>
    <row r="11" spans="1:5" ht="21" customHeight="1">
      <c r="A11" s="3212" t="s">
        <v>3156</v>
      </c>
      <c r="B11" s="3227" t="s">
        <v>3157</v>
      </c>
      <c r="C11" s="3231" t="s">
        <v>3235</v>
      </c>
      <c r="D11" s="3229">
        <f>60*[1]一、利润预测!C8/10000</f>
        <v>1744.1912399999999</v>
      </c>
      <c r="E11" s="3224"/>
    </row>
    <row r="12" spans="1:5" ht="21" customHeight="1">
      <c r="A12" s="3212" t="s">
        <v>3158</v>
      </c>
      <c r="B12" s="3227" t="s">
        <v>3159</v>
      </c>
      <c r="C12" s="3231" t="s">
        <v>3160</v>
      </c>
      <c r="D12" s="3229">
        <f>8*[1]一、利润预测!C8/10000</f>
        <v>232.558832</v>
      </c>
      <c r="E12" s="3224"/>
    </row>
    <row r="13" spans="1:5" ht="21" customHeight="1">
      <c r="A13" s="3212" t="s">
        <v>3161</v>
      </c>
      <c r="B13" s="3227" t="s">
        <v>3162</v>
      </c>
      <c r="C13" s="3231" t="s">
        <v>3163</v>
      </c>
      <c r="D13" s="3229">
        <f>65*[1]一、利润预测!C8/10000</f>
        <v>1889.5405099999998</v>
      </c>
      <c r="E13" s="3224"/>
    </row>
    <row r="14" spans="1:5" ht="21" customHeight="1">
      <c r="A14" s="3212">
        <v>1.2</v>
      </c>
      <c r="B14" s="3227" t="s">
        <v>3164</v>
      </c>
      <c r="C14" s="3231" t="s">
        <v>3165</v>
      </c>
      <c r="D14" s="3229">
        <f>15*[1]一、利润预测!C8/10000</f>
        <v>436.04780999999997</v>
      </c>
      <c r="E14" s="3224"/>
    </row>
    <row r="15" spans="1:5" ht="21" customHeight="1">
      <c r="A15" s="3212">
        <v>1.3</v>
      </c>
      <c r="B15" s="3227" t="s">
        <v>3166</v>
      </c>
      <c r="C15" s="3231"/>
      <c r="D15" s="3229"/>
      <c r="E15" s="3224"/>
    </row>
    <row r="16" spans="1:5" ht="21" customHeight="1">
      <c r="A16" s="3232">
        <v>2</v>
      </c>
      <c r="B16" s="3233" t="s">
        <v>3167</v>
      </c>
      <c r="C16" s="3231"/>
      <c r="D16" s="3229">
        <f>SUM(D17:D21)</f>
        <v>3115.1576841999995</v>
      </c>
      <c r="E16" s="3224"/>
    </row>
    <row r="17" spans="1:5" ht="21" customHeight="1">
      <c r="A17" s="3212">
        <v>2.1</v>
      </c>
      <c r="B17" s="3227" t="s">
        <v>3168</v>
      </c>
      <c r="C17" s="3231" t="s">
        <v>3169</v>
      </c>
      <c r="D17" s="3229">
        <f>4.8*[1]一、利润预测!C8/10000</f>
        <v>139.5352992</v>
      </c>
      <c r="E17" s="3224"/>
    </row>
    <row r="18" spans="1:5" ht="21" customHeight="1">
      <c r="A18" s="3212">
        <v>2.2000000000000002</v>
      </c>
      <c r="B18" s="3227" t="s">
        <v>3170</v>
      </c>
      <c r="C18" s="3231" t="s">
        <v>3171</v>
      </c>
      <c r="D18" s="3229">
        <f>28*[1]一、利润预测!C15*5/10000</f>
        <v>722.70870000000014</v>
      </c>
      <c r="E18" s="3224"/>
    </row>
    <row r="19" spans="1:5" ht="21" customHeight="1">
      <c r="A19" s="3212">
        <v>2.2999999999999998</v>
      </c>
      <c r="B19" s="3227" t="s">
        <v>3172</v>
      </c>
      <c r="C19" s="3234" t="s">
        <v>3173</v>
      </c>
      <c r="D19" s="3229">
        <f>9.5*[1]一、利润预测!C8/10000</f>
        <v>276.163613</v>
      </c>
      <c r="E19" s="3224"/>
    </row>
    <row r="20" spans="1:5" ht="21" customHeight="1">
      <c r="A20" s="3212">
        <v>2.4</v>
      </c>
      <c r="B20" s="3227" t="s">
        <v>3174</v>
      </c>
      <c r="C20" s="3231" t="s">
        <v>3236</v>
      </c>
      <c r="D20" s="3229">
        <f>16*[1]一、利润预测!C8/10000</f>
        <v>465.11766399999999</v>
      </c>
      <c r="E20" s="3224"/>
    </row>
    <row r="21" spans="1:5" ht="21" customHeight="1">
      <c r="A21" s="3212">
        <v>2.5</v>
      </c>
      <c r="B21" s="3227" t="s">
        <v>3175</v>
      </c>
      <c r="C21" s="3231" t="s">
        <v>3176</v>
      </c>
      <c r="D21" s="3229">
        <f>52*[1]一、利润预测!C8/10000</f>
        <v>1511.6324079999997</v>
      </c>
      <c r="E21" s="3224"/>
    </row>
    <row r="22" spans="1:5" ht="21" customHeight="1">
      <c r="A22" s="3212">
        <v>2.6</v>
      </c>
      <c r="B22" s="3227" t="s">
        <v>3177</v>
      </c>
      <c r="C22" s="3231"/>
      <c r="D22" s="3229"/>
      <c r="E22" s="3224"/>
    </row>
    <row r="23" spans="1:5" ht="21" customHeight="1">
      <c r="A23" s="3213" t="s">
        <v>3178</v>
      </c>
      <c r="B23" s="3221" t="s">
        <v>3179</v>
      </c>
      <c r="C23" s="3231"/>
      <c r="D23" s="3223">
        <f>D24+D34+D36+D43</f>
        <v>70596.046018469991</v>
      </c>
      <c r="E23" s="3224"/>
    </row>
    <row r="24" spans="1:5" ht="21" customHeight="1">
      <c r="A24" s="3212">
        <v>1</v>
      </c>
      <c r="B24" s="3227" t="s">
        <v>3180</v>
      </c>
      <c r="C24" s="3231"/>
      <c r="D24" s="3229">
        <f>SUM(D25:D33)</f>
        <v>46877.358237999993</v>
      </c>
      <c r="E24" s="3224"/>
    </row>
    <row r="25" spans="1:5" ht="21" customHeight="1">
      <c r="A25" s="3212">
        <v>1.1000000000000001</v>
      </c>
      <c r="B25" s="3227" t="s">
        <v>3181</v>
      </c>
      <c r="C25" s="3231" t="s">
        <v>3182</v>
      </c>
      <c r="D25" s="3229">
        <f>185*[1]一、利润预测!C8/10000</f>
        <v>5377.92299</v>
      </c>
      <c r="E25" s="3235"/>
    </row>
    <row r="26" spans="1:5" ht="21.75" customHeight="1">
      <c r="A26" s="3212">
        <v>1.2</v>
      </c>
      <c r="B26" s="3227" t="s">
        <v>3183</v>
      </c>
      <c r="C26" s="3231" t="s">
        <v>3184</v>
      </c>
      <c r="D26" s="3229">
        <f>1400*[1]一、利润预测!C10/10000</f>
        <v>1290.6180000000002</v>
      </c>
      <c r="E26" s="3236"/>
    </row>
    <row r="27" spans="1:5" ht="21.75" customHeight="1">
      <c r="A27" s="3212">
        <v>1.3</v>
      </c>
      <c r="B27" s="3227" t="s">
        <v>3185</v>
      </c>
      <c r="C27" s="3231" t="s">
        <v>3186</v>
      </c>
      <c r="D27" s="3229">
        <f>1080*[1]一、利润预测!C9/10000</f>
        <v>18100.563480000001</v>
      </c>
      <c r="E27" s="3235"/>
    </row>
    <row r="28" spans="1:5" ht="30" customHeight="1">
      <c r="A28" s="3212">
        <v>1.4</v>
      </c>
      <c r="B28" s="3237" t="s">
        <v>3187</v>
      </c>
      <c r="C28" s="3234" t="s">
        <v>3188</v>
      </c>
      <c r="D28" s="3229">
        <f>1400*([1]一、利润预测!C11+[1]一、利润预测!C13)/10000</f>
        <v>8716.3971999999994</v>
      </c>
      <c r="E28" s="3235"/>
    </row>
    <row r="29" spans="1:5" ht="21.75" customHeight="1">
      <c r="A29" s="3212">
        <v>1.5</v>
      </c>
      <c r="B29" s="3237" t="s">
        <v>3189</v>
      </c>
      <c r="C29" s="3231" t="s">
        <v>3190</v>
      </c>
      <c r="D29" s="3229">
        <f>1290*[1]一、利润预测!C15/10000</f>
        <v>6659.2444500000011</v>
      </c>
      <c r="E29" s="3235"/>
    </row>
    <row r="30" spans="1:5" ht="21.75" customHeight="1">
      <c r="A30" s="3212">
        <v>1.6</v>
      </c>
      <c r="B30" s="3227" t="s">
        <v>3191</v>
      </c>
      <c r="C30" s="3231" t="s">
        <v>3192</v>
      </c>
      <c r="D30" s="3229">
        <f>123*[1]一、利润预测!C8/10000</f>
        <v>3575.5920419999993</v>
      </c>
      <c r="E30" s="3235"/>
    </row>
    <row r="31" spans="1:5" ht="21.75" customHeight="1">
      <c r="A31" s="3212">
        <v>1.7</v>
      </c>
      <c r="B31" s="3227" t="s">
        <v>3193</v>
      </c>
      <c r="C31" s="3231" t="s">
        <v>3194</v>
      </c>
      <c r="D31" s="3229">
        <f>63*[1]一、利润预测!C9/10000</f>
        <v>1055.866203</v>
      </c>
      <c r="E31" s="3235"/>
    </row>
    <row r="32" spans="1:5" ht="21.75" customHeight="1">
      <c r="A32" s="3212">
        <v>1.8</v>
      </c>
      <c r="B32" s="3227" t="s">
        <v>3195</v>
      </c>
      <c r="C32" s="3231" t="s">
        <v>3196</v>
      </c>
      <c r="D32" s="3229">
        <f>71*[1]一、利润预测!C17/10000</f>
        <v>1639.3618130000002</v>
      </c>
      <c r="E32" s="3235"/>
    </row>
    <row r="33" spans="1:7" ht="21" customHeight="1">
      <c r="A33" s="3212">
        <v>1.9</v>
      </c>
      <c r="B33" s="3227" t="s">
        <v>3197</v>
      </c>
      <c r="C33" s="3231" t="s">
        <v>3198</v>
      </c>
      <c r="D33" s="3229">
        <f>20*[1]一、利润预测!C17/10000</f>
        <v>461.79206000000005</v>
      </c>
      <c r="E33" s="3235"/>
    </row>
    <row r="34" spans="1:7" ht="21" customHeight="1">
      <c r="A34" s="3212">
        <v>2</v>
      </c>
      <c r="B34" s="3227" t="s">
        <v>3199</v>
      </c>
      <c r="C34" s="3231"/>
      <c r="D34" s="3229">
        <f>D35</f>
        <v>16759.780999999999</v>
      </c>
      <c r="E34" s="3235"/>
    </row>
    <row r="35" spans="1:7" ht="21" customHeight="1">
      <c r="A35" s="3212">
        <v>2.1</v>
      </c>
      <c r="B35" s="3227" t="s">
        <v>3185</v>
      </c>
      <c r="C35" s="3231" t="s">
        <v>3200</v>
      </c>
      <c r="D35" s="3229">
        <f>1000*[1]一、利润预测!C9/10000</f>
        <v>16759.780999999999</v>
      </c>
      <c r="E35" s="3235"/>
    </row>
    <row r="36" spans="1:7" ht="21" customHeight="1">
      <c r="A36" s="3212">
        <v>3</v>
      </c>
      <c r="B36" s="3227" t="s">
        <v>3201</v>
      </c>
      <c r="C36" s="3231"/>
      <c r="D36" s="3229">
        <f>SUM(D37:D42)</f>
        <v>5915.61546</v>
      </c>
      <c r="E36" s="3235"/>
    </row>
    <row r="37" spans="1:7" ht="21" customHeight="1">
      <c r="A37" s="3212">
        <v>3.1</v>
      </c>
      <c r="B37" s="3227" t="s">
        <v>3202</v>
      </c>
      <c r="C37" s="3231" t="s">
        <v>3203</v>
      </c>
      <c r="D37" s="3229">
        <f>144*[1]一、利润预测!C8/10000</f>
        <v>4186.0589759999993</v>
      </c>
      <c r="E37" s="3224"/>
    </row>
    <row r="38" spans="1:7" ht="21" customHeight="1">
      <c r="A38" s="3212">
        <v>3.2</v>
      </c>
      <c r="B38" s="3227" t="s">
        <v>3204</v>
      </c>
      <c r="C38" s="3231" t="s">
        <v>3205</v>
      </c>
      <c r="D38" s="3229">
        <f>29*[1]一、利润预测!C9/10000</f>
        <v>486.03364900000003</v>
      </c>
      <c r="E38" s="3235"/>
    </row>
    <row r="39" spans="1:7" ht="21" customHeight="1">
      <c r="A39" s="3212">
        <v>3.3</v>
      </c>
      <c r="B39" s="3227" t="s">
        <v>3206</v>
      </c>
      <c r="C39" s="3231" t="s">
        <v>3207</v>
      </c>
      <c r="D39" s="3229">
        <f>14*[1]一、利润预测!C17/10000</f>
        <v>323.25444200000004</v>
      </c>
      <c r="E39" s="3224"/>
    </row>
    <row r="40" spans="1:7" ht="21" customHeight="1">
      <c r="A40" s="3212">
        <v>3.4</v>
      </c>
      <c r="B40" s="3227" t="s">
        <v>3208</v>
      </c>
      <c r="C40" s="3231" t="s">
        <v>3209</v>
      </c>
      <c r="D40" s="3229">
        <f>53*[1]一、利润预测!C9/10000</f>
        <v>888.26839299999995</v>
      </c>
      <c r="E40" s="3224"/>
    </row>
    <row r="41" spans="1:7" ht="21" customHeight="1">
      <c r="A41" s="3212">
        <v>3.5</v>
      </c>
      <c r="B41" s="3227" t="s">
        <v>3210</v>
      </c>
      <c r="C41" s="3231"/>
      <c r="D41" s="3229"/>
      <c r="E41" s="3238"/>
    </row>
    <row r="42" spans="1:7" ht="21" customHeight="1">
      <c r="A42" s="3212">
        <v>3.6</v>
      </c>
      <c r="B42" s="3227" t="s">
        <v>3211</v>
      </c>
      <c r="C42" s="3231" t="s">
        <v>3212</v>
      </c>
      <c r="D42" s="3239">
        <f>8*4</f>
        <v>32</v>
      </c>
      <c r="E42" s="3224"/>
    </row>
    <row r="43" spans="1:7" ht="21" customHeight="1">
      <c r="A43" s="3212">
        <v>4</v>
      </c>
      <c r="B43" s="3227" t="s">
        <v>3213</v>
      </c>
      <c r="C43" s="3231" t="s">
        <v>3214</v>
      </c>
      <c r="D43" s="3239">
        <f>(D24+D34+D36)*1.5%</f>
        <v>1043.2913204699998</v>
      </c>
      <c r="E43" s="3224"/>
    </row>
    <row r="44" spans="1:7" ht="21" customHeight="1">
      <c r="A44" s="3213" t="s">
        <v>3215</v>
      </c>
      <c r="B44" s="3221" t="s">
        <v>3216</v>
      </c>
      <c r="C44" s="3231"/>
      <c r="D44" s="3223">
        <f>SUM(D45:D49)</f>
        <v>22848.905243999994</v>
      </c>
      <c r="E44" s="3224"/>
    </row>
    <row r="45" spans="1:7" ht="21" customHeight="1">
      <c r="A45" s="3212">
        <v>1</v>
      </c>
      <c r="B45" s="3227" t="s">
        <v>3217</v>
      </c>
      <c r="C45" s="3231" t="s">
        <v>3218</v>
      </c>
      <c r="D45" s="3229">
        <f>165*[1]一、利润预测!C8/10000</f>
        <v>4796.5259099999994</v>
      </c>
      <c r="E45" s="3224"/>
    </row>
    <row r="46" spans="1:7" ht="21" customHeight="1">
      <c r="A46" s="3212">
        <v>2</v>
      </c>
      <c r="B46" s="3227" t="s">
        <v>3219</v>
      </c>
      <c r="C46" s="3231" t="s">
        <v>3220</v>
      </c>
      <c r="D46" s="3229">
        <f>289*[1]一、利润预测!C8/10000</f>
        <v>8401.1878059999981</v>
      </c>
      <c r="E46" s="3238"/>
    </row>
    <row r="47" spans="1:7" ht="21" customHeight="1">
      <c r="A47" s="3212">
        <v>3</v>
      </c>
      <c r="B47" s="3227" t="s">
        <v>3221</v>
      </c>
      <c r="C47" s="3231" t="s">
        <v>3237</v>
      </c>
      <c r="D47" s="3229">
        <f>91*[1]一、利润预测!C8/10000</f>
        <v>2645.3567139999996</v>
      </c>
      <c r="E47" s="3224"/>
      <c r="F47" s="3244" t="s">
        <v>3238</v>
      </c>
    </row>
    <row r="48" spans="1:7" ht="25.5" customHeight="1">
      <c r="A48" s="3212">
        <v>4</v>
      </c>
      <c r="B48" s="3227" t="s">
        <v>3239</v>
      </c>
      <c r="C48" s="3231" t="s">
        <v>3222</v>
      </c>
      <c r="D48" s="3229">
        <f>141*[1]一、利润预测!C8/10000</f>
        <v>4098.8494140000003</v>
      </c>
      <c r="E48" s="3224"/>
      <c r="F48" s="3244" t="s">
        <v>3240</v>
      </c>
      <c r="G48" s="3244" t="s">
        <v>3241</v>
      </c>
    </row>
    <row r="49" spans="1:6" ht="25.5" customHeight="1">
      <c r="A49" s="3212">
        <v>5</v>
      </c>
      <c r="B49" s="3227" t="s">
        <v>3223</v>
      </c>
      <c r="C49" s="3231" t="s">
        <v>3242</v>
      </c>
      <c r="D49" s="3229">
        <f>100*[1]一、利润预测!C8/10000</f>
        <v>2906.9853999999996</v>
      </c>
      <c r="E49" s="3224"/>
    </row>
    <row r="50" spans="1:6" ht="25.5" customHeight="1">
      <c r="A50" s="3422" t="s">
        <v>3224</v>
      </c>
      <c r="B50" s="3423"/>
      <c r="C50" s="3423"/>
      <c r="D50" s="3240">
        <f>(D8+D23+D44)*(1+[1]九、敏感性分析表!A30)</f>
        <v>100862.44733866998</v>
      </c>
    </row>
    <row r="51" spans="1:6" ht="25.5" customHeight="1">
      <c r="A51" s="3422" t="s">
        <v>3225</v>
      </c>
      <c r="B51" s="3423"/>
      <c r="C51" s="3423"/>
      <c r="D51" s="3223">
        <f>D5+D50</f>
        <v>190306.94883866998</v>
      </c>
    </row>
    <row r="52" spans="1:6" ht="25.5" customHeight="1">
      <c r="A52" s="3213" t="s">
        <v>3226</v>
      </c>
      <c r="B52" s="3221" t="s">
        <v>3227</v>
      </c>
      <c r="C52" s="3231"/>
      <c r="D52" s="3223">
        <f>D53+D54+D55</f>
        <v>22857.949251999999</v>
      </c>
      <c r="F52" s="3247">
        <v>54159.16190956522</v>
      </c>
    </row>
    <row r="53" spans="1:6" ht="25.5" customHeight="1">
      <c r="A53" s="3212">
        <v>1</v>
      </c>
      <c r="B53" s="3227" t="s">
        <v>3228</v>
      </c>
      <c r="C53" s="3231" t="s">
        <v>3229</v>
      </c>
      <c r="D53" s="3229">
        <f>[1]一、利润预测!C22*0.02</f>
        <v>7631.3239199999998</v>
      </c>
      <c r="F53" s="3246">
        <v>2733.7652039356062</v>
      </c>
    </row>
    <row r="54" spans="1:6" ht="25.5" customHeight="1">
      <c r="A54" s="3212">
        <v>2</v>
      </c>
      <c r="B54" s="3227" t="s">
        <v>3230</v>
      </c>
      <c r="C54" s="3231" t="s">
        <v>3231</v>
      </c>
      <c r="D54" s="3229">
        <f>[1]一、利润预测!C22*0.017</f>
        <v>6486.6253320000005</v>
      </c>
      <c r="E54" s="3241"/>
      <c r="F54" s="3246">
        <v>51425.396705629617</v>
      </c>
    </row>
    <row r="55" spans="1:6" ht="25.5" customHeight="1">
      <c r="A55" s="3212">
        <v>3</v>
      </c>
      <c r="B55" s="3227" t="s">
        <v>3232</v>
      </c>
      <c r="C55" s="3234" t="s">
        <v>3243</v>
      </c>
      <c r="D55" s="3229">
        <f>[1]八、偿债能力分析!H7</f>
        <v>8740</v>
      </c>
      <c r="F55" s="3246">
        <v>0</v>
      </c>
    </row>
    <row r="56" spans="1:6" ht="25.5" customHeight="1" thickBot="1">
      <c r="A56" s="3417" t="s">
        <v>3233</v>
      </c>
      <c r="B56" s="3418"/>
      <c r="C56" s="3418"/>
      <c r="D56" s="3242">
        <f>(D44+D52+D23+D8+D5)*(1)</f>
        <v>213164.89809066997</v>
      </c>
      <c r="F56" s="3249">
        <v>31156.25698141555</v>
      </c>
    </row>
    <row r="57" spans="1:6" ht="25.5" customHeight="1" thickTop="1">
      <c r="D57" s="3243"/>
      <c r="E57" s="3241"/>
      <c r="F57" s="3248">
        <v>240565.51521791553</v>
      </c>
    </row>
    <row r="58" spans="1:6">
      <c r="D58" s="3241"/>
      <c r="E58" s="3241"/>
      <c r="F58" s="3241">
        <f>F57-F52</f>
        <v>186406.35330835031</v>
      </c>
    </row>
    <row r="59" spans="1:6">
      <c r="D59" s="3241"/>
    </row>
    <row r="61" spans="1:6">
      <c r="D61" s="3241"/>
    </row>
    <row r="62" spans="1:6">
      <c r="C62" s="3241"/>
    </row>
    <row r="63" spans="1:6">
      <c r="D63" s="3241"/>
    </row>
    <row r="64" spans="1:6">
      <c r="D64" s="3241"/>
    </row>
  </sheetData>
  <mergeCells count="6">
    <mergeCell ref="A56:C56"/>
    <mergeCell ref="A1:D1"/>
    <mergeCell ref="A2:D2"/>
    <mergeCell ref="A3:C3"/>
    <mergeCell ref="A50:C50"/>
    <mergeCell ref="A51:C51"/>
  </mergeCells>
  <phoneticPr fontId="233" type="noConversion"/>
  <printOptions horizontalCentered="1"/>
  <pageMargins left="0.42" right="0.5" top="0.63" bottom="0.71" header="0.51" footer="0.31"/>
  <pageSetup paperSize="9" fitToHeight="2" orientation="portrait"/>
  <headerFooter alignWithMargins="0">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52" t="str">
        <f>项目基本情况!B1</f>
        <v>武汉市东湖新技术开发区花城大道以东、土吴路以西、松涛路以南出让国有建设用地使用权抵押价格预评估</v>
      </c>
      <c r="C37" s="3252"/>
      <c r="D37" s="3252"/>
      <c r="E37" s="3252"/>
      <c r="F37" s="3252"/>
      <c r="G37" s="3252"/>
      <c r="H37" s="3252"/>
      <c r="I37" s="3252"/>
    </row>
    <row r="38" spans="1:9">
      <c r="A38" s="1656"/>
      <c r="B38" s="1656"/>
    </row>
    <row r="39" spans="1:9">
      <c r="A39" s="1654" t="s">
        <v>1901</v>
      </c>
      <c r="B39" s="1654" t="s">
        <v>2047</v>
      </c>
    </row>
    <row r="40" spans="1:9">
      <c r="A40" s="1654"/>
      <c r="B40" s="1654" t="str">
        <f>项目基本情况!B5</f>
        <v>五矿国际信托有限公司</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王鹏、郑燚</v>
      </c>
    </row>
    <row r="47" spans="1:9">
      <c r="A47" s="1654"/>
      <c r="B47" s="1654"/>
    </row>
    <row r="48" spans="1:9">
      <c r="A48" s="1654" t="s">
        <v>1901</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0" zoomScale="80" zoomScaleNormal="95" zoomScaleSheetLayoutView="80" workbookViewId="0">
      <selection activeCell="E34" sqref="E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149910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5478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12707</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847</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433" t="s">
        <v>521</v>
      </c>
      <c r="D6" s="3434"/>
      <c r="E6" s="3433" t="s">
        <v>522</v>
      </c>
      <c r="F6" s="3434"/>
      <c r="G6" s="3433" t="s">
        <v>523</v>
      </c>
      <c r="H6" s="3434"/>
      <c r="I6" s="3433" t="s">
        <v>524</v>
      </c>
      <c r="J6" s="3434"/>
      <c r="K6" s="514" t="s">
        <v>525</v>
      </c>
      <c r="L6" s="2134"/>
      <c r="M6" s="2133"/>
      <c r="N6" s="2133"/>
      <c r="O6" s="2135"/>
      <c r="P6" s="3435" t="s">
        <v>526</v>
      </c>
      <c r="Q6" s="3436"/>
      <c r="R6" s="3441" t="s">
        <v>522</v>
      </c>
      <c r="S6" s="3442"/>
      <c r="T6" s="3441" t="s">
        <v>523</v>
      </c>
      <c r="U6" s="3442"/>
      <c r="V6" s="3428" t="s">
        <v>524</v>
      </c>
      <c r="W6" s="3428"/>
      <c r="X6" s="1567"/>
      <c r="Y6" s="3441" t="s">
        <v>526</v>
      </c>
      <c r="Z6" s="3442"/>
      <c r="AA6" s="3430" t="s">
        <v>522</v>
      </c>
      <c r="AB6" s="3431" t="s">
        <v>523</v>
      </c>
      <c r="AC6" s="3430" t="s">
        <v>524</v>
      </c>
    </row>
    <row r="7" spans="1:30" ht="20.25">
      <c r="A7" s="515"/>
      <c r="B7" s="516"/>
      <c r="C7" s="3451" t="s">
        <v>2916</v>
      </c>
      <c r="D7" s="3450"/>
      <c r="E7" s="3449" t="s">
        <v>3028</v>
      </c>
      <c r="F7" s="3450"/>
      <c r="G7" s="3449" t="s">
        <v>3030</v>
      </c>
      <c r="H7" s="3450"/>
      <c r="I7" s="3449" t="s">
        <v>3031</v>
      </c>
      <c r="J7" s="3450"/>
      <c r="K7" s="514"/>
      <c r="L7" s="2134"/>
      <c r="M7" s="2133"/>
      <c r="N7" s="2133"/>
      <c r="O7" s="2135"/>
      <c r="P7" s="3437"/>
      <c r="Q7" s="3438"/>
      <c r="R7" s="3443"/>
      <c r="S7" s="3444"/>
      <c r="T7" s="3443"/>
      <c r="U7" s="3444"/>
      <c r="V7" s="3428"/>
      <c r="W7" s="3428"/>
      <c r="X7" s="1567"/>
      <c r="Y7" s="3443"/>
      <c r="Z7" s="3444"/>
      <c r="AA7" s="3431"/>
      <c r="AB7" s="3431"/>
      <c r="AC7" s="3431"/>
    </row>
    <row r="8" spans="1:30" ht="21" thickBot="1">
      <c r="A8" s="515"/>
      <c r="B8" s="516"/>
      <c r="C8" s="3452" t="s">
        <v>2920</v>
      </c>
      <c r="D8" s="3453"/>
      <c r="E8" s="3454" t="s">
        <v>3134</v>
      </c>
      <c r="F8" s="3453"/>
      <c r="G8" s="3447" t="s">
        <v>3135</v>
      </c>
      <c r="H8" s="3448"/>
      <c r="I8" s="3447" t="s">
        <v>3136</v>
      </c>
      <c r="J8" s="3448"/>
      <c r="K8" s="514" t="s">
        <v>527</v>
      </c>
      <c r="L8" s="2134"/>
      <c r="M8" s="2133"/>
      <c r="N8" s="2133"/>
      <c r="O8" s="2135"/>
      <c r="P8" s="3439"/>
      <c r="Q8" s="3440"/>
      <c r="R8" s="3443"/>
      <c r="S8" s="3444"/>
      <c r="T8" s="3445"/>
      <c r="U8" s="3446"/>
      <c r="V8" s="3428"/>
      <c r="W8" s="3428"/>
      <c r="X8" s="1567"/>
      <c r="Y8" s="3445"/>
      <c r="Z8" s="3446"/>
      <c r="AA8" s="3432"/>
      <c r="AB8" s="3432"/>
      <c r="AC8" s="3432"/>
    </row>
    <row r="9" spans="1:30" s="1219" customFormat="1" ht="21" thickBot="1">
      <c r="A9" s="2937"/>
      <c r="B9" s="2944" t="s">
        <v>528</v>
      </c>
      <c r="C9" s="2936">
        <f>'数据-取费表'!B2</f>
        <v>43217</v>
      </c>
      <c r="D9" s="520">
        <v>100</v>
      </c>
      <c r="E9" s="521">
        <v>42950</v>
      </c>
      <c r="F9" s="522">
        <f>SUMIF(72:72,YEAR(E9)&amp;"-"&amp;INT((MONTH(E9)+2)/3),73:73)</f>
        <v>97</v>
      </c>
      <c r="G9" s="523">
        <v>43103</v>
      </c>
      <c r="H9" s="520">
        <f>SUMIF(72:72,YEAR(G9)&amp;"-"&amp;INT((MONTH(G9)+2)/3),73:73)</f>
        <v>99</v>
      </c>
      <c r="I9" s="523">
        <v>43095</v>
      </c>
      <c r="J9" s="520">
        <f>SUMIF(72:72,YEAR(I9)&amp;"-"&amp;INT((MONTH(I9)+2)/3),73:73)</f>
        <v>98</v>
      </c>
      <c r="K9" s="524"/>
      <c r="L9" s="2136"/>
      <c r="M9" s="2133"/>
      <c r="N9" s="2133"/>
      <c r="O9" s="2137"/>
      <c r="P9" s="3460" t="s">
        <v>529</v>
      </c>
      <c r="Q9" s="3462"/>
      <c r="R9" s="1568" t="s">
        <v>8</v>
      </c>
      <c r="S9" s="1569">
        <f t="shared" ref="S9:S17" si="0">F9</f>
        <v>97</v>
      </c>
      <c r="T9" s="1568" t="s">
        <v>8</v>
      </c>
      <c r="U9" s="1569">
        <f t="shared" ref="U9:U17" si="1">H9</f>
        <v>99</v>
      </c>
      <c r="V9" s="1568" t="s">
        <v>8</v>
      </c>
      <c r="W9" s="1569">
        <f t="shared" ref="W9:W17" si="2">J9</f>
        <v>98</v>
      </c>
      <c r="X9" s="1570"/>
      <c r="Y9" s="3460" t="s">
        <v>529</v>
      </c>
      <c r="Z9" s="3461"/>
      <c r="AA9" s="1571">
        <f>D9/F9</f>
        <v>1.0309278350515463</v>
      </c>
      <c r="AB9" s="1571">
        <f>D9/H9</f>
        <v>1.0101010101010102</v>
      </c>
      <c r="AC9" s="1571">
        <f>D9/J9</f>
        <v>1.0204081632653061</v>
      </c>
    </row>
    <row r="10" spans="1:30" s="1219" customFormat="1" ht="21" thickBot="1">
      <c r="A10" s="2938"/>
      <c r="B10" s="2945" t="s">
        <v>530</v>
      </c>
      <c r="C10" s="856" t="s">
        <v>531</v>
      </c>
      <c r="D10" s="520">
        <v>100</v>
      </c>
      <c r="E10" s="525" t="s">
        <v>3018</v>
      </c>
      <c r="F10" s="522">
        <f>SUMIF(75:75,E10,76:76)-SUMIF(75:75,C10,76:76)+100</f>
        <v>100</v>
      </c>
      <c r="G10" s="525" t="s">
        <v>3018</v>
      </c>
      <c r="H10" s="520">
        <f>SUMIF(75:75,G10,76:76)-SUMIF(75:75,C10,76:76)+100</f>
        <v>100</v>
      </c>
      <c r="I10" s="525" t="s">
        <v>3018</v>
      </c>
      <c r="J10" s="520">
        <f>SUMIF(75:75,I10,76:76)-SUMIF(75:75,C10,76:76)+100</f>
        <v>100</v>
      </c>
      <c r="K10" s="524"/>
      <c r="L10" s="2136"/>
      <c r="M10" s="2133"/>
      <c r="N10" s="2133"/>
      <c r="O10" s="2137"/>
      <c r="P10" s="3460" t="s">
        <v>532</v>
      </c>
      <c r="Q10" s="3461"/>
      <c r="R10" s="1568" t="s">
        <v>8</v>
      </c>
      <c r="S10" s="1569">
        <f t="shared" si="0"/>
        <v>100</v>
      </c>
      <c r="T10" s="1568" t="s">
        <v>8</v>
      </c>
      <c r="U10" s="1569">
        <f t="shared" si="1"/>
        <v>100</v>
      </c>
      <c r="V10" s="1568" t="s">
        <v>8</v>
      </c>
      <c r="W10" s="1569">
        <f t="shared" si="2"/>
        <v>100</v>
      </c>
      <c r="X10" s="1570"/>
      <c r="Y10" s="3460" t="s">
        <v>532</v>
      </c>
      <c r="Z10" s="3461"/>
      <c r="AA10" s="1571">
        <f t="shared" ref="AA10:AA47" si="3">D10/F10</f>
        <v>1</v>
      </c>
      <c r="AB10" s="1571">
        <f t="shared" ref="AB10:AB47" si="4">D10/H10</f>
        <v>1</v>
      </c>
      <c r="AC10" s="1571">
        <f t="shared" ref="AC10:AC47" si="5">D10/J10</f>
        <v>1</v>
      </c>
    </row>
    <row r="11" spans="1:30" s="1219" customFormat="1" ht="20.25">
      <c r="A11" s="2939"/>
      <c r="B11" s="2946" t="s">
        <v>2756</v>
      </c>
      <c r="C11" s="2933" t="s">
        <v>922</v>
      </c>
      <c r="D11" s="254">
        <v>100</v>
      </c>
      <c r="E11" s="2933" t="s">
        <v>922</v>
      </c>
      <c r="F11" s="254">
        <f>SUMIF(77:77,E11,78:78)-SUMIF(77:77,C11,78:78)+100</f>
        <v>100</v>
      </c>
      <c r="G11" s="2933" t="s">
        <v>922</v>
      </c>
      <c r="H11" s="254">
        <f>SUMIF(77:77,G11,78:78)-SUMIF(77:77,C11,78:78)+100</f>
        <v>100</v>
      </c>
      <c r="I11" s="2933" t="s">
        <v>922</v>
      </c>
      <c r="J11" s="254">
        <f>SUMIF(77:77,I11,78:78)-SUMIF(77:77,C11,78:78)+100</f>
        <v>100</v>
      </c>
      <c r="K11" s="524"/>
      <c r="L11" s="2136"/>
      <c r="M11" s="2133"/>
      <c r="N11" s="2133"/>
      <c r="O11" s="2138"/>
      <c r="P11" s="3427" t="s">
        <v>534</v>
      </c>
      <c r="Q11" s="1150" t="str">
        <f t="shared" ref="Q11:Q17" si="6">B11</f>
        <v>用途</v>
      </c>
      <c r="R11" s="1568" t="s">
        <v>8</v>
      </c>
      <c r="S11" s="1569">
        <f t="shared" si="0"/>
        <v>100</v>
      </c>
      <c r="T11" s="1568" t="s">
        <v>8</v>
      </c>
      <c r="U11" s="1569">
        <f t="shared" si="1"/>
        <v>100</v>
      </c>
      <c r="V11" s="1568" t="s">
        <v>8</v>
      </c>
      <c r="W11" s="1569">
        <f t="shared" si="2"/>
        <v>100</v>
      </c>
      <c r="X11" s="1570"/>
      <c r="Y11" s="3366" t="s">
        <v>535</v>
      </c>
      <c r="Z11" s="1149" t="str">
        <f t="shared" ref="Z11:Z17" si="7">Q11</f>
        <v>用途</v>
      </c>
      <c r="AA11" s="1571">
        <f t="shared" si="3"/>
        <v>1</v>
      </c>
      <c r="AB11" s="1571">
        <f t="shared" si="4"/>
        <v>1</v>
      </c>
      <c r="AC11" s="1571">
        <f t="shared" si="5"/>
        <v>1</v>
      </c>
    </row>
    <row r="12" spans="1:30" s="1337" customFormat="1" ht="57">
      <c r="A12" s="2940"/>
      <c r="B12" s="2945" t="s">
        <v>2757</v>
      </c>
      <c r="C12" s="909" t="s">
        <v>3137</v>
      </c>
      <c r="D12" s="255">
        <v>100</v>
      </c>
      <c r="E12" s="529" t="s">
        <v>3138</v>
      </c>
      <c r="F12" s="255">
        <f>ROUND(100/'数据-取费表'!G16,0)</f>
        <v>101</v>
      </c>
      <c r="G12" s="530" t="s">
        <v>3048</v>
      </c>
      <c r="H12" s="255">
        <f>ROUND(100/'数据-取费表'!G16,0)</f>
        <v>101</v>
      </c>
      <c r="I12" s="530" t="s">
        <v>3048</v>
      </c>
      <c r="J12" s="255">
        <f>ROUND(100/'数据-取费表'!G16,0)</f>
        <v>101</v>
      </c>
      <c r="K12" s="531"/>
      <c r="L12" s="2139"/>
      <c r="M12" s="2133"/>
      <c r="N12" s="2133"/>
      <c r="O12" s="2140"/>
      <c r="P12" s="3427"/>
      <c r="Q12" s="1150" t="str">
        <f t="shared" si="6"/>
        <v>土地使用年限（年）</v>
      </c>
      <c r="R12" s="1568" t="s">
        <v>8</v>
      </c>
      <c r="S12" s="1569">
        <f t="shared" si="0"/>
        <v>101</v>
      </c>
      <c r="T12" s="1568" t="s">
        <v>8</v>
      </c>
      <c r="U12" s="1569">
        <f t="shared" si="1"/>
        <v>101</v>
      </c>
      <c r="V12" s="1568" t="s">
        <v>8</v>
      </c>
      <c r="W12" s="1569">
        <f t="shared" si="2"/>
        <v>101</v>
      </c>
      <c r="X12" s="1570"/>
      <c r="Y12" s="3366"/>
      <c r="Z12" s="1149" t="str">
        <f t="shared" si="7"/>
        <v>土地使用年限（年）</v>
      </c>
      <c r="AA12" s="1571">
        <f t="shared" si="3"/>
        <v>0.99009900990099009</v>
      </c>
      <c r="AB12" s="1571">
        <f t="shared" si="4"/>
        <v>0.99009900990099009</v>
      </c>
      <c r="AC12" s="1571">
        <f t="shared" si="5"/>
        <v>0.99009900990099009</v>
      </c>
    </row>
    <row r="13" spans="1:30" ht="20.25">
      <c r="A13" s="2941"/>
      <c r="B13" s="2945" t="s">
        <v>2758</v>
      </c>
      <c r="C13" s="534">
        <f>'数据-汇总表'!I6</f>
        <v>1.88</v>
      </c>
      <c r="D13" s="255">
        <v>100</v>
      </c>
      <c r="E13" s="533">
        <v>1.35</v>
      </c>
      <c r="F13" s="255">
        <f>LOOKUP(E13,82:82,83:83)-LOOKUP(C13,82:82,83:83)+100</f>
        <v>105</v>
      </c>
      <c r="G13" s="534">
        <v>1.2</v>
      </c>
      <c r="H13" s="255">
        <f>LOOKUP(G13,82:82,83:83)-LOOKUP(C13,82:82,83:83)+100</f>
        <v>105</v>
      </c>
      <c r="I13" s="533">
        <v>1.4</v>
      </c>
      <c r="J13" s="255">
        <f>LOOKUP(I13,82:82,83:83)-LOOKUP(C13,82:82,83:83)+100</f>
        <v>105</v>
      </c>
      <c r="K13" s="535">
        <v>5</v>
      </c>
      <c r="L13" s="2141"/>
      <c r="M13" s="2133"/>
      <c r="N13" s="2133"/>
      <c r="O13" s="2142"/>
      <c r="P13" s="3427"/>
      <c r="Q13" s="1150" t="str">
        <f t="shared" si="6"/>
        <v>容积率</v>
      </c>
      <c r="R13" s="1568" t="s">
        <v>8</v>
      </c>
      <c r="S13" s="1569">
        <f t="shared" si="0"/>
        <v>105</v>
      </c>
      <c r="T13" s="1568" t="s">
        <v>8</v>
      </c>
      <c r="U13" s="1569">
        <f t="shared" si="1"/>
        <v>105</v>
      </c>
      <c r="V13" s="1568" t="s">
        <v>8</v>
      </c>
      <c r="W13" s="1569">
        <f t="shared" si="2"/>
        <v>105</v>
      </c>
      <c r="X13" s="1570"/>
      <c r="Y13" s="3366"/>
      <c r="Z13" s="1149" t="str">
        <f t="shared" si="7"/>
        <v>容积率</v>
      </c>
      <c r="AA13" s="1571">
        <f t="shared" si="3"/>
        <v>0.95238095238095233</v>
      </c>
      <c r="AB13" s="1571">
        <f t="shared" si="4"/>
        <v>0.95238095238095233</v>
      </c>
      <c r="AC13" s="1571">
        <f t="shared" si="5"/>
        <v>0.95238095238095233</v>
      </c>
    </row>
    <row r="14" spans="1:30" s="1219" customFormat="1" ht="20.25">
      <c r="A14" s="2938"/>
      <c r="B14" s="2947" t="s">
        <v>2759</v>
      </c>
      <c r="C14" s="2934" t="s">
        <v>3049</v>
      </c>
      <c r="D14" s="538">
        <v>100</v>
      </c>
      <c r="E14" s="1374" t="s">
        <v>3050</v>
      </c>
      <c r="F14" s="255">
        <f>SUMIF(84:84,E14,85:85)-SUMIF(84:84,C14,85:85)+100</f>
        <v>105</v>
      </c>
      <c r="G14" s="3191" t="s">
        <v>3049</v>
      </c>
      <c r="H14" s="255">
        <f>SUMIF(84:84,G14,85:85)-SUMIF(84:84,C14,85:85)+100</f>
        <v>100</v>
      </c>
      <c r="I14" s="3192" t="s">
        <v>3051</v>
      </c>
      <c r="J14" s="255">
        <f>SUMIF(84:84,I14,85:85)-SUMIF(84:84,C14,85:85)+100</f>
        <v>100</v>
      </c>
      <c r="K14" s="531"/>
      <c r="L14" s="2136"/>
      <c r="M14" s="2133"/>
      <c r="N14" s="2133"/>
      <c r="O14" s="2138"/>
      <c r="P14" s="3427"/>
      <c r="Q14" s="1150" t="str">
        <f t="shared" si="6"/>
        <v>配建</v>
      </c>
      <c r="R14" s="1568" t="s">
        <v>8</v>
      </c>
      <c r="S14" s="1569">
        <f t="shared" si="0"/>
        <v>105</v>
      </c>
      <c r="T14" s="1568" t="s">
        <v>8</v>
      </c>
      <c r="U14" s="1569">
        <f t="shared" si="1"/>
        <v>100</v>
      </c>
      <c r="V14" s="1568" t="s">
        <v>8</v>
      </c>
      <c r="W14" s="1569">
        <f t="shared" si="2"/>
        <v>100</v>
      </c>
      <c r="X14" s="1570"/>
      <c r="Y14" s="3366"/>
      <c r="Z14" s="1149" t="str">
        <f t="shared" si="7"/>
        <v>配建</v>
      </c>
      <c r="AA14" s="1571">
        <f>D14/F14</f>
        <v>0.95238095238095233</v>
      </c>
      <c r="AB14" s="1571">
        <f>D14/H14</f>
        <v>1</v>
      </c>
      <c r="AC14" s="1571">
        <f>D14/J14</f>
        <v>1</v>
      </c>
    </row>
    <row r="15" spans="1:30" ht="21" thickBot="1">
      <c r="A15" s="2942"/>
      <c r="B15" s="3207" t="s">
        <v>3130</v>
      </c>
      <c r="C15" s="3208" t="s">
        <v>3132</v>
      </c>
      <c r="D15" s="540">
        <v>100</v>
      </c>
      <c r="E15" s="3209" t="s">
        <v>3131</v>
      </c>
      <c r="F15" s="255">
        <f>SUMIF(86:86,E15,87:87)-SUMIF(86:86,C15,87:87)+100</f>
        <v>120</v>
      </c>
      <c r="G15" s="3209" t="s">
        <v>3131</v>
      </c>
      <c r="H15" s="540">
        <f>SUMIF(86:86,G15,87:87)-SUMIF(86:86,C15,87:87)+100</f>
        <v>120</v>
      </c>
      <c r="I15" s="3209" t="s">
        <v>3131</v>
      </c>
      <c r="J15" s="540">
        <f>SUMIF(86:86,I15,87:87)-SUMIF(86:86,C15,87:87)+100</f>
        <v>120</v>
      </c>
      <c r="K15" s="531"/>
      <c r="L15" s="2143"/>
      <c r="M15" s="2133"/>
      <c r="N15" s="2133"/>
      <c r="O15" s="2142"/>
      <c r="P15" s="3427"/>
      <c r="Q15" s="1150" t="str">
        <f t="shared" si="6"/>
        <v>溢价</v>
      </c>
      <c r="R15" s="1568" t="s">
        <v>8</v>
      </c>
      <c r="S15" s="1569">
        <f t="shared" si="0"/>
        <v>120</v>
      </c>
      <c r="T15" s="1568" t="s">
        <v>8</v>
      </c>
      <c r="U15" s="1569">
        <f t="shared" si="1"/>
        <v>120</v>
      </c>
      <c r="V15" s="1568" t="s">
        <v>8</v>
      </c>
      <c r="W15" s="1569">
        <f t="shared" si="2"/>
        <v>120</v>
      </c>
      <c r="X15" s="1570"/>
      <c r="Y15" s="3366"/>
      <c r="Z15" s="1149" t="str">
        <f t="shared" si="7"/>
        <v>溢价</v>
      </c>
      <c r="AA15" s="1571">
        <f>D15/F15</f>
        <v>0.83333333333333337</v>
      </c>
      <c r="AB15" s="1571">
        <f>D15/H15</f>
        <v>0.83333333333333337</v>
      </c>
      <c r="AC15" s="1571">
        <f>D15/J15</f>
        <v>0.83333333333333337</v>
      </c>
    </row>
    <row r="16" spans="1:30" ht="21" hidden="1" thickBot="1">
      <c r="A16" s="2943"/>
      <c r="B16" s="2949"/>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7"/>
      <c r="Q16" s="1150">
        <f t="shared" si="6"/>
        <v>0</v>
      </c>
      <c r="R16" s="1568" t="s">
        <v>8</v>
      </c>
      <c r="S16" s="1569">
        <f t="shared" si="0"/>
        <v>100</v>
      </c>
      <c r="T16" s="1568" t="s">
        <v>8</v>
      </c>
      <c r="U16" s="1569">
        <f t="shared" si="1"/>
        <v>100</v>
      </c>
      <c r="V16" s="1568" t="s">
        <v>8</v>
      </c>
      <c r="W16" s="1569">
        <f t="shared" si="2"/>
        <v>100</v>
      </c>
      <c r="X16" s="1570"/>
      <c r="Y16" s="3366"/>
      <c r="Z16" s="1149">
        <f t="shared" si="7"/>
        <v>0</v>
      </c>
      <c r="AA16" s="1571">
        <f>D16/F16</f>
        <v>1</v>
      </c>
      <c r="AB16" s="1571">
        <f>D16/H16</f>
        <v>1</v>
      </c>
      <c r="AC16" s="1571">
        <f>D16/J16</f>
        <v>1</v>
      </c>
    </row>
    <row r="17" spans="1:29" ht="20.25">
      <c r="A17" s="2935"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3</v>
      </c>
      <c r="L17" s="2143"/>
      <c r="M17" s="2133"/>
      <c r="N17" s="2133"/>
      <c r="O17" s="2142"/>
      <c r="P17" s="3463" t="s">
        <v>539</v>
      </c>
      <c r="Q17" s="1572" t="str">
        <f t="shared" si="6"/>
        <v>居住社区成熟度</v>
      </c>
      <c r="R17" s="1573" t="s">
        <v>8</v>
      </c>
      <c r="S17" s="1574">
        <f t="shared" si="0"/>
        <v>100</v>
      </c>
      <c r="T17" s="1573" t="s">
        <v>8</v>
      </c>
      <c r="U17" s="1574">
        <f t="shared" si="1"/>
        <v>100</v>
      </c>
      <c r="V17" s="1573" t="s">
        <v>8</v>
      </c>
      <c r="W17" s="1574">
        <f t="shared" si="2"/>
        <v>100</v>
      </c>
      <c r="X17" s="1567"/>
      <c r="Y17" s="3463" t="s">
        <v>539</v>
      </c>
      <c r="Z17" s="1575" t="str">
        <f t="shared" si="7"/>
        <v>居住社区成熟度</v>
      </c>
      <c r="AA17" s="1576">
        <f t="shared" si="3"/>
        <v>1</v>
      </c>
      <c r="AB17" s="1576">
        <f t="shared" si="4"/>
        <v>1</v>
      </c>
      <c r="AC17" s="1576">
        <f t="shared" si="5"/>
        <v>1</v>
      </c>
    </row>
    <row r="18" spans="1:29" ht="20.25">
      <c r="A18" s="532"/>
      <c r="B18" s="553"/>
      <c r="C18" s="554" t="s">
        <v>3019</v>
      </c>
      <c r="D18" s="557"/>
      <c r="E18" s="554" t="s">
        <v>3019</v>
      </c>
      <c r="F18" s="555"/>
      <c r="G18" s="554" t="s">
        <v>3019</v>
      </c>
      <c r="H18" s="559"/>
      <c r="I18" s="554" t="s">
        <v>3019</v>
      </c>
      <c r="J18" s="555"/>
      <c r="K18" s="531"/>
      <c r="L18" s="2143"/>
      <c r="M18" s="2133"/>
      <c r="N18" s="2133"/>
      <c r="O18" s="2142"/>
      <c r="P18" s="3464"/>
      <c r="Q18" s="1572"/>
      <c r="R18" s="1573"/>
      <c r="S18" s="1574"/>
      <c r="T18" s="1573"/>
      <c r="U18" s="1574"/>
      <c r="V18" s="1573"/>
      <c r="W18" s="1574"/>
      <c r="X18" s="1567"/>
      <c r="Y18" s="3464"/>
      <c r="Z18" s="1575"/>
      <c r="AA18" s="1576">
        <v>1</v>
      </c>
      <c r="AB18" s="1576">
        <v>1</v>
      </c>
      <c r="AC18" s="1576">
        <v>1</v>
      </c>
    </row>
    <row r="19" spans="1:29" ht="20.25" hidden="1">
      <c r="A19" s="532"/>
      <c r="B19" s="560" t="s">
        <v>540</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464"/>
      <c r="Q19" s="1572" t="str">
        <f>B19</f>
        <v>商业繁华度</v>
      </c>
      <c r="R19" s="1573" t="s">
        <v>8</v>
      </c>
      <c r="S19" s="1574">
        <f>F19</f>
        <v>100</v>
      </c>
      <c r="T19" s="1573" t="s">
        <v>8</v>
      </c>
      <c r="U19" s="1574">
        <f>H19</f>
        <v>100</v>
      </c>
      <c r="V19" s="1573" t="s">
        <v>8</v>
      </c>
      <c r="W19" s="1574">
        <f>J19</f>
        <v>100</v>
      </c>
      <c r="X19" s="1567"/>
      <c r="Y19" s="3464"/>
      <c r="Z19" s="1575" t="str">
        <f>Q19</f>
        <v>商业繁华度</v>
      </c>
      <c r="AA19" s="1576">
        <f t="shared" si="3"/>
        <v>1</v>
      </c>
      <c r="AB19" s="1576">
        <f t="shared" si="4"/>
        <v>1</v>
      </c>
      <c r="AC19" s="1576">
        <f t="shared" si="5"/>
        <v>1</v>
      </c>
    </row>
    <row r="20" spans="1:29" ht="20.25" hidden="1">
      <c r="A20" s="532"/>
      <c r="B20" s="566"/>
      <c r="C20" s="554" t="s">
        <v>3019</v>
      </c>
      <c r="D20" s="563"/>
      <c r="E20" s="554" t="s">
        <v>3019</v>
      </c>
      <c r="F20" s="559"/>
      <c r="G20" s="554" t="s">
        <v>3019</v>
      </c>
      <c r="H20" s="555"/>
      <c r="I20" s="554" t="s">
        <v>3019</v>
      </c>
      <c r="J20" s="555"/>
      <c r="K20" s="531"/>
      <c r="L20" s="2143"/>
      <c r="M20" s="2133"/>
      <c r="N20" s="2133"/>
      <c r="O20" s="2142"/>
      <c r="P20" s="3464"/>
      <c r="Q20" s="1572"/>
      <c r="R20" s="1573"/>
      <c r="S20" s="1574"/>
      <c r="T20" s="1573"/>
      <c r="U20" s="1574"/>
      <c r="V20" s="1573"/>
      <c r="W20" s="1574"/>
      <c r="X20" s="1567"/>
      <c r="Y20" s="3464"/>
      <c r="Z20" s="1575"/>
      <c r="AA20" s="1576">
        <v>1</v>
      </c>
      <c r="AB20" s="1576">
        <v>1</v>
      </c>
      <c r="AC20" s="1576">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3</v>
      </c>
      <c r="L21" s="2143"/>
      <c r="M21" s="2133"/>
      <c r="N21" s="2133"/>
      <c r="O21" s="2142"/>
      <c r="P21" s="3464"/>
      <c r="Q21" s="1572" t="str">
        <f>B21</f>
        <v>办公集聚程度</v>
      </c>
      <c r="R21" s="1573" t="s">
        <v>8</v>
      </c>
      <c r="S21" s="1574">
        <f>F21</f>
        <v>100</v>
      </c>
      <c r="T21" s="1573" t="s">
        <v>8</v>
      </c>
      <c r="U21" s="1574">
        <f>H21</f>
        <v>100</v>
      </c>
      <c r="V21" s="1573" t="s">
        <v>8</v>
      </c>
      <c r="W21" s="1574">
        <f>J21</f>
        <v>100</v>
      </c>
      <c r="X21" s="1567"/>
      <c r="Y21" s="3464"/>
      <c r="Z21" s="1575" t="str">
        <f>Q21</f>
        <v>办公集聚程度</v>
      </c>
      <c r="AA21" s="1576">
        <f t="shared" si="3"/>
        <v>1</v>
      </c>
      <c r="AB21" s="1576">
        <f t="shared" si="4"/>
        <v>1</v>
      </c>
      <c r="AC21" s="1576">
        <f t="shared" si="5"/>
        <v>1</v>
      </c>
    </row>
    <row r="22" spans="1:29" ht="20.25" hidden="1">
      <c r="A22" s="532"/>
      <c r="B22" s="566"/>
      <c r="C22" s="554" t="s">
        <v>3019</v>
      </c>
      <c r="D22" s="557"/>
      <c r="E22" s="554" t="s">
        <v>3019</v>
      </c>
      <c r="F22" s="555"/>
      <c r="G22" s="554" t="s">
        <v>3019</v>
      </c>
      <c r="H22" s="555"/>
      <c r="I22" s="554" t="s">
        <v>3019</v>
      </c>
      <c r="J22" s="555"/>
      <c r="K22" s="531"/>
      <c r="L22" s="2143"/>
      <c r="M22" s="2133"/>
      <c r="N22" s="2133"/>
      <c r="O22" s="2142"/>
      <c r="P22" s="3464"/>
      <c r="Q22" s="1572"/>
      <c r="R22" s="1573"/>
      <c r="S22" s="1574"/>
      <c r="T22" s="1573"/>
      <c r="U22" s="1574"/>
      <c r="V22" s="1573"/>
      <c r="W22" s="1574"/>
      <c r="X22" s="1567"/>
      <c r="Y22" s="3464"/>
      <c r="Z22" s="1575"/>
      <c r="AA22" s="1576">
        <v>1</v>
      </c>
      <c r="AB22" s="1576">
        <v>1</v>
      </c>
      <c r="AC22" s="1576">
        <v>1</v>
      </c>
    </row>
    <row r="23" spans="1:29" ht="20.25">
      <c r="A23" s="532"/>
      <c r="B23" s="560" t="s">
        <v>542</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5</v>
      </c>
      <c r="L23" s="2143"/>
      <c r="M23" s="2133"/>
      <c r="N23" s="2133"/>
      <c r="O23" s="2142"/>
      <c r="P23" s="3464"/>
      <c r="Q23" s="1572" t="str">
        <f>B23</f>
        <v>交通便捷度</v>
      </c>
      <c r="R23" s="1573" t="s">
        <v>8</v>
      </c>
      <c r="S23" s="1574">
        <f>F23</f>
        <v>100</v>
      </c>
      <c r="T23" s="1573" t="s">
        <v>8</v>
      </c>
      <c r="U23" s="1574">
        <f>H23</f>
        <v>100</v>
      </c>
      <c r="V23" s="1573" t="s">
        <v>8</v>
      </c>
      <c r="W23" s="1574">
        <f>J23</f>
        <v>100</v>
      </c>
      <c r="X23" s="1567"/>
      <c r="Y23" s="3464"/>
      <c r="Z23" s="1575" t="str">
        <f>Q23</f>
        <v>交通便捷度</v>
      </c>
      <c r="AA23" s="1576">
        <f t="shared" si="3"/>
        <v>1</v>
      </c>
      <c r="AB23" s="1576">
        <f t="shared" si="4"/>
        <v>1</v>
      </c>
      <c r="AC23" s="1576">
        <f t="shared" si="5"/>
        <v>1</v>
      </c>
    </row>
    <row r="24" spans="1:29" ht="20.25">
      <c r="A24" s="532"/>
      <c r="B24" s="578"/>
      <c r="C24" s="554" t="s">
        <v>3019</v>
      </c>
      <c r="D24" s="557"/>
      <c r="E24" s="554" t="s">
        <v>3019</v>
      </c>
      <c r="F24" s="555"/>
      <c r="G24" s="554" t="s">
        <v>3019</v>
      </c>
      <c r="H24" s="555"/>
      <c r="I24" s="554" t="s">
        <v>3019</v>
      </c>
      <c r="J24" s="555"/>
      <c r="K24" s="531"/>
      <c r="L24" s="2143"/>
      <c r="M24" s="2133"/>
      <c r="N24" s="2133"/>
      <c r="O24" s="2142"/>
      <c r="P24" s="3464"/>
      <c r="Q24" s="1572"/>
      <c r="R24" s="1573"/>
      <c r="S24" s="1574"/>
      <c r="T24" s="1573"/>
      <c r="U24" s="1574"/>
      <c r="V24" s="1573"/>
      <c r="W24" s="1574"/>
      <c r="X24" s="1567"/>
      <c r="Y24" s="3464"/>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64"/>
      <c r="Q25" s="1572" t="str">
        <f t="shared" ref="Q25:Q39" si="8">B25</f>
        <v>区域土地利用方向</v>
      </c>
      <c r="R25" s="1573" t="s">
        <v>8</v>
      </c>
      <c r="S25" s="1574">
        <f>F25</f>
        <v>100</v>
      </c>
      <c r="T25" s="1573" t="s">
        <v>8</v>
      </c>
      <c r="U25" s="1574">
        <f>H25</f>
        <v>100</v>
      </c>
      <c r="V25" s="1573" t="s">
        <v>8</v>
      </c>
      <c r="W25" s="1574">
        <f>J25</f>
        <v>100</v>
      </c>
      <c r="X25" s="1567"/>
      <c r="Y25" s="3464"/>
      <c r="Z25" s="1575" t="str">
        <f>Q25</f>
        <v>区域土地利用方向</v>
      </c>
      <c r="AA25" s="1576">
        <f t="shared" si="3"/>
        <v>1</v>
      </c>
      <c r="AB25" s="1576">
        <f t="shared" si="4"/>
        <v>1</v>
      </c>
      <c r="AC25" s="1576">
        <f t="shared" si="5"/>
        <v>1</v>
      </c>
    </row>
    <row r="26" spans="1:29" ht="20.25">
      <c r="A26" s="515"/>
      <c r="B26" s="1006"/>
      <c r="C26" s="554" t="s">
        <v>3019</v>
      </c>
      <c r="D26" s="557"/>
      <c r="E26" s="554" t="s">
        <v>3019</v>
      </c>
      <c r="F26" s="555"/>
      <c r="G26" s="554" t="s">
        <v>3019</v>
      </c>
      <c r="H26" s="555"/>
      <c r="I26" s="554" t="s">
        <v>3019</v>
      </c>
      <c r="J26" s="555"/>
      <c r="K26" s="531"/>
      <c r="L26" s="2143"/>
      <c r="M26" s="2133"/>
      <c r="N26" s="2133"/>
      <c r="O26" s="2142"/>
      <c r="P26" s="3464"/>
      <c r="Q26" s="1572"/>
      <c r="R26" s="1573"/>
      <c r="S26" s="1574"/>
      <c r="T26" s="1573"/>
      <c r="U26" s="1574"/>
      <c r="V26" s="1573"/>
      <c r="W26" s="1574"/>
      <c r="X26" s="1567"/>
      <c r="Y26" s="3464"/>
      <c r="Z26" s="1575"/>
      <c r="AA26" s="1576"/>
      <c r="AB26" s="1576"/>
      <c r="AC26" s="1576"/>
    </row>
    <row r="27" spans="1:29" ht="27">
      <c r="A27" s="515"/>
      <c r="B27" s="578" t="s">
        <v>544</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464"/>
      <c r="Q27" s="1572" t="str">
        <f t="shared" si="8"/>
        <v>自然及人文环境状况</v>
      </c>
      <c r="R27" s="1573" t="s">
        <v>8</v>
      </c>
      <c r="S27" s="1574">
        <f>F27</f>
        <v>100</v>
      </c>
      <c r="T27" s="1573" t="s">
        <v>8</v>
      </c>
      <c r="U27" s="1574">
        <f>H27</f>
        <v>100</v>
      </c>
      <c r="V27" s="1573" t="s">
        <v>8</v>
      </c>
      <c r="W27" s="1574">
        <f>J27</f>
        <v>100</v>
      </c>
      <c r="X27" s="1567"/>
      <c r="Y27" s="3464"/>
      <c r="Z27" s="1575" t="str">
        <f>Q27</f>
        <v>自然及人文环境状况</v>
      </c>
      <c r="AA27" s="1576">
        <f t="shared" si="3"/>
        <v>1</v>
      </c>
      <c r="AB27" s="1576">
        <f t="shared" si="4"/>
        <v>1</v>
      </c>
      <c r="AC27" s="1576">
        <f t="shared" si="5"/>
        <v>1</v>
      </c>
    </row>
    <row r="28" spans="1:29" ht="20.25">
      <c r="A28" s="515"/>
      <c r="B28" s="566"/>
      <c r="C28" s="554" t="s">
        <v>3019</v>
      </c>
      <c r="D28" s="557"/>
      <c r="E28" s="554" t="s">
        <v>3019</v>
      </c>
      <c r="F28" s="555"/>
      <c r="G28" s="554" t="s">
        <v>3019</v>
      </c>
      <c r="H28" s="555"/>
      <c r="I28" s="554" t="s">
        <v>3019</v>
      </c>
      <c r="J28" s="555"/>
      <c r="K28" s="531"/>
      <c r="L28" s="2143"/>
      <c r="M28" s="2133"/>
      <c r="N28" s="2133"/>
      <c r="O28" s="2142"/>
      <c r="P28" s="3464"/>
      <c r="Q28" s="1572"/>
      <c r="R28" s="1573"/>
      <c r="S28" s="1574"/>
      <c r="T28" s="1573"/>
      <c r="U28" s="1574"/>
      <c r="V28" s="1573"/>
      <c r="W28" s="1574"/>
      <c r="X28" s="1567"/>
      <c r="Y28" s="3464"/>
      <c r="Z28" s="1575"/>
      <c r="AA28" s="1576">
        <v>1</v>
      </c>
      <c r="AB28" s="1576">
        <v>1</v>
      </c>
      <c r="AC28" s="1576">
        <v>1</v>
      </c>
    </row>
    <row r="29" spans="1:29" s="1219" customFormat="1" ht="20.25">
      <c r="A29" s="577"/>
      <c r="B29" s="2616" t="s">
        <v>2548</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464"/>
      <c r="Q29" s="1150" t="str">
        <f t="shared" si="8"/>
        <v>公共配套设施</v>
      </c>
      <c r="R29" s="1568" t="s">
        <v>8</v>
      </c>
      <c r="S29" s="1569">
        <f>F29</f>
        <v>100</v>
      </c>
      <c r="T29" s="1568" t="s">
        <v>8</v>
      </c>
      <c r="U29" s="1569">
        <f>H29</f>
        <v>100</v>
      </c>
      <c r="V29" s="1568" t="s">
        <v>8</v>
      </c>
      <c r="W29" s="1569">
        <f>J29</f>
        <v>100</v>
      </c>
      <c r="X29" s="1570"/>
      <c r="Y29" s="3464"/>
      <c r="Z29" s="1149" t="str">
        <f>Q29</f>
        <v>公共配套设施</v>
      </c>
      <c r="AA29" s="1576">
        <f>D29/F29</f>
        <v>1</v>
      </c>
      <c r="AB29" s="1576">
        <f>D29/H29</f>
        <v>1</v>
      </c>
      <c r="AC29" s="1576">
        <f>D29/J29</f>
        <v>1</v>
      </c>
    </row>
    <row r="30" spans="1:29" s="1219" customFormat="1" ht="20.25">
      <c r="A30" s="577"/>
      <c r="B30" s="566"/>
      <c r="C30" s="554" t="s">
        <v>3019</v>
      </c>
      <c r="D30" s="557"/>
      <c r="E30" s="554" t="s">
        <v>3019</v>
      </c>
      <c r="F30" s="555"/>
      <c r="G30" s="554" t="s">
        <v>3019</v>
      </c>
      <c r="H30" s="555"/>
      <c r="I30" s="554" t="s">
        <v>3019</v>
      </c>
      <c r="J30" s="555"/>
      <c r="K30" s="531"/>
      <c r="L30" s="2136"/>
      <c r="M30" s="2133"/>
      <c r="N30" s="2133"/>
      <c r="O30" s="2138"/>
      <c r="P30" s="3464"/>
      <c r="Q30" s="1150"/>
      <c r="R30" s="1568"/>
      <c r="S30" s="1569"/>
      <c r="T30" s="1568"/>
      <c r="U30" s="1569"/>
      <c r="V30" s="1568"/>
      <c r="W30" s="1569"/>
      <c r="X30" s="1570"/>
      <c r="Y30" s="3464"/>
      <c r="Z30" s="1149"/>
      <c r="AA30" s="1576">
        <v>1</v>
      </c>
      <c r="AB30" s="1576">
        <v>1</v>
      </c>
      <c r="AC30" s="1576">
        <v>1</v>
      </c>
    </row>
    <row r="31" spans="1:29" s="1219" customFormat="1" ht="20.25">
      <c r="A31" s="577"/>
      <c r="B31" s="2616" t="s">
        <v>2549</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64"/>
      <c r="Q31" s="2603" t="str">
        <f t="shared" ref="Q31" si="9">B31</f>
        <v>基础设施水平</v>
      </c>
      <c r="R31" s="1568" t="s">
        <v>8</v>
      </c>
      <c r="S31" s="1569">
        <f>F31</f>
        <v>100</v>
      </c>
      <c r="T31" s="1568" t="s">
        <v>8</v>
      </c>
      <c r="U31" s="1569">
        <f>H31</f>
        <v>100</v>
      </c>
      <c r="V31" s="1568" t="s">
        <v>8</v>
      </c>
      <c r="W31" s="1569">
        <f>J31</f>
        <v>100</v>
      </c>
      <c r="X31" s="1570"/>
      <c r="Y31" s="3464"/>
      <c r="Z31" s="2600" t="str">
        <f>Q31</f>
        <v>基础设施水平</v>
      </c>
      <c r="AA31" s="1576">
        <f>D31/F31</f>
        <v>1</v>
      </c>
      <c r="AB31" s="1576">
        <f>D31/H31</f>
        <v>1</v>
      </c>
      <c r="AC31" s="1576">
        <f>D31/J31</f>
        <v>1</v>
      </c>
    </row>
    <row r="32" spans="1:29" s="1219" customFormat="1" ht="20.25">
      <c r="A32" s="577"/>
      <c r="B32" s="566"/>
      <c r="C32" s="579" t="s">
        <v>3020</v>
      </c>
      <c r="D32" s="557"/>
      <c r="E32" s="579" t="s">
        <v>3020</v>
      </c>
      <c r="F32" s="555"/>
      <c r="G32" s="579" t="s">
        <v>3020</v>
      </c>
      <c r="H32" s="555"/>
      <c r="I32" s="579" t="s">
        <v>3020</v>
      </c>
      <c r="J32" s="555"/>
      <c r="K32" s="531"/>
      <c r="L32" s="2136"/>
      <c r="M32" s="2133"/>
      <c r="N32" s="2133"/>
      <c r="O32" s="2138"/>
      <c r="P32" s="3464"/>
      <c r="Q32" s="2603"/>
      <c r="R32" s="1568"/>
      <c r="S32" s="1569"/>
      <c r="T32" s="1568"/>
      <c r="U32" s="1569"/>
      <c r="V32" s="1568"/>
      <c r="W32" s="1569"/>
      <c r="X32" s="1570"/>
      <c r="Y32" s="3464"/>
      <c r="Z32" s="2600"/>
      <c r="AA32" s="1576">
        <v>1</v>
      </c>
      <c r="AB32" s="1576">
        <v>1</v>
      </c>
      <c r="AC32" s="1576">
        <v>1</v>
      </c>
    </row>
    <row r="33" spans="1:29" ht="20.25">
      <c r="A33" s="532"/>
      <c r="B33" s="566" t="s">
        <v>546</v>
      </c>
      <c r="C33" s="580" t="s">
        <v>3021</v>
      </c>
      <c r="D33" s="575">
        <v>100</v>
      </c>
      <c r="E33" s="580" t="s">
        <v>3139</v>
      </c>
      <c r="F33" s="540">
        <f>SUMIF(106:106,E33,107:107)-SUMIF(106:106,C33,107:107)+100</f>
        <v>101</v>
      </c>
      <c r="G33" s="580" t="s">
        <v>3139</v>
      </c>
      <c r="H33" s="540">
        <f>SUMIF(106:106,G33,107:107)-SUMIF(106:106,C33,107:107)+100</f>
        <v>101</v>
      </c>
      <c r="I33" s="580" t="s">
        <v>3021</v>
      </c>
      <c r="J33" s="540">
        <f>SUMIF(106:106,I33,107:107)-SUMIF(106:106,C33,107:107)+100</f>
        <v>100</v>
      </c>
      <c r="K33" s="535">
        <v>1</v>
      </c>
      <c r="L33" s="2143"/>
      <c r="M33" s="2133"/>
      <c r="N33" s="2133"/>
      <c r="O33" s="2142"/>
      <c r="P33" s="3464"/>
      <c r="Q33" s="1572" t="str">
        <f t="shared" si="8"/>
        <v>临街状况</v>
      </c>
      <c r="R33" s="1573" t="s">
        <v>8</v>
      </c>
      <c r="S33" s="1574">
        <f t="shared" ref="S33:S47" si="10">F33</f>
        <v>101</v>
      </c>
      <c r="T33" s="1573" t="s">
        <v>8</v>
      </c>
      <c r="U33" s="1574">
        <f t="shared" ref="U33:U47" si="11">H33</f>
        <v>101</v>
      </c>
      <c r="V33" s="1573" t="s">
        <v>8</v>
      </c>
      <c r="W33" s="1574">
        <f t="shared" ref="W33:W47" si="12">J33</f>
        <v>100</v>
      </c>
      <c r="X33" s="1567"/>
      <c r="Y33" s="3464"/>
      <c r="Z33" s="1575" t="str">
        <f t="shared" ref="Z33:Z47" si="13">Q33</f>
        <v>临街状况</v>
      </c>
      <c r="AA33" s="1576">
        <f t="shared" si="3"/>
        <v>0.99009900990099009</v>
      </c>
      <c r="AB33" s="1576">
        <f t="shared" si="4"/>
        <v>0.99009900990099009</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64"/>
      <c r="Q34" s="1572" t="str">
        <f t="shared" si="8"/>
        <v>毗邻道路的类型与等级</v>
      </c>
      <c r="R34" s="1573" t="s">
        <v>8</v>
      </c>
      <c r="S34" s="1574">
        <f t="shared" si="10"/>
        <v>100</v>
      </c>
      <c r="T34" s="1573" t="s">
        <v>8</v>
      </c>
      <c r="U34" s="1574">
        <f t="shared" si="11"/>
        <v>100</v>
      </c>
      <c r="V34" s="1573" t="s">
        <v>8</v>
      </c>
      <c r="W34" s="1574">
        <f t="shared" si="12"/>
        <v>100</v>
      </c>
      <c r="X34" s="1567"/>
      <c r="Y34" s="3464"/>
      <c r="Z34" s="1575" t="str">
        <f t="shared" si="13"/>
        <v>毗邻道路的类型与等级</v>
      </c>
      <c r="AA34" s="1576">
        <f t="shared" si="3"/>
        <v>1</v>
      </c>
      <c r="AB34" s="1576">
        <f t="shared" si="4"/>
        <v>1</v>
      </c>
      <c r="AC34" s="1576">
        <f t="shared" si="5"/>
        <v>1</v>
      </c>
    </row>
    <row r="35" spans="1:29" ht="21" thickBot="1">
      <c r="A35" s="532"/>
      <c r="B35" s="566"/>
      <c r="C35" s="554" t="s">
        <v>3022</v>
      </c>
      <c r="D35" s="557"/>
      <c r="E35" s="554" t="s">
        <v>3022</v>
      </c>
      <c r="F35" s="555"/>
      <c r="G35" s="554" t="s">
        <v>3022</v>
      </c>
      <c r="H35" s="555"/>
      <c r="I35" s="554" t="s">
        <v>3022</v>
      </c>
      <c r="J35" s="555"/>
      <c r="K35" s="581"/>
      <c r="L35" s="2143"/>
      <c r="M35" s="2133"/>
      <c r="N35" s="2133"/>
      <c r="O35" s="2142"/>
      <c r="P35" s="3464"/>
      <c r="Q35" s="1572"/>
      <c r="R35" s="1573"/>
      <c r="S35" s="1574"/>
      <c r="T35" s="1573"/>
      <c r="U35" s="1574"/>
      <c r="V35" s="1573"/>
      <c r="W35" s="1574"/>
      <c r="X35" s="1567"/>
      <c r="Y35" s="3464"/>
      <c r="Z35" s="1575"/>
      <c r="AA35" s="1576">
        <v>1</v>
      </c>
      <c r="AB35" s="1576">
        <v>1</v>
      </c>
      <c r="AC35" s="1576">
        <v>1</v>
      </c>
    </row>
    <row r="36" spans="1:29" ht="21" hidden="1" thickBot="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64"/>
      <c r="Q36" s="1572" t="str">
        <f t="shared" si="8"/>
        <v>土地级别</v>
      </c>
      <c r="R36" s="1573" t="s">
        <v>8</v>
      </c>
      <c r="S36" s="1574">
        <f t="shared" si="10"/>
        <v>100</v>
      </c>
      <c r="T36" s="1573" t="s">
        <v>8</v>
      </c>
      <c r="U36" s="1574">
        <f t="shared" si="11"/>
        <v>100</v>
      </c>
      <c r="V36" s="1573" t="s">
        <v>8</v>
      </c>
      <c r="W36" s="1574">
        <f t="shared" si="12"/>
        <v>100</v>
      </c>
      <c r="X36" s="1567"/>
      <c r="Y36" s="3464"/>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64"/>
      <c r="Q37" s="1572">
        <f t="shared" si="8"/>
        <v>111</v>
      </c>
      <c r="R37" s="1573" t="s">
        <v>8</v>
      </c>
      <c r="S37" s="1574">
        <f t="shared" si="10"/>
        <v>100</v>
      </c>
      <c r="T37" s="1573" t="s">
        <v>8</v>
      </c>
      <c r="U37" s="1574">
        <f t="shared" si="11"/>
        <v>100</v>
      </c>
      <c r="V37" s="1573" t="s">
        <v>8</v>
      </c>
      <c r="W37" s="1574">
        <f t="shared" si="12"/>
        <v>100</v>
      </c>
      <c r="X37" s="1567"/>
      <c r="Y37" s="3464"/>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65" t="s">
        <v>549</v>
      </c>
      <c r="Q38" s="1572">
        <f t="shared" si="8"/>
        <v>111</v>
      </c>
      <c r="R38" s="1573" t="s">
        <v>8</v>
      </c>
      <c r="S38" s="1574">
        <f t="shared" si="10"/>
        <v>100</v>
      </c>
      <c r="T38" s="1573" t="s">
        <v>8</v>
      </c>
      <c r="U38" s="1574">
        <f t="shared" si="11"/>
        <v>100</v>
      </c>
      <c r="V38" s="1573" t="s">
        <v>8</v>
      </c>
      <c r="W38" s="1574">
        <f t="shared" si="12"/>
        <v>100</v>
      </c>
      <c r="X38" s="1567"/>
      <c r="Y38" s="3466" t="s">
        <v>549</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66"/>
      <c r="Q39" s="1572">
        <f t="shared" si="8"/>
        <v>111</v>
      </c>
      <c r="R39" s="1577" t="s">
        <v>8</v>
      </c>
      <c r="S39" s="1578">
        <f t="shared" si="10"/>
        <v>100</v>
      </c>
      <c r="T39" s="1577" t="s">
        <v>8</v>
      </c>
      <c r="U39" s="1578">
        <f t="shared" si="11"/>
        <v>100</v>
      </c>
      <c r="V39" s="1577" t="s">
        <v>8</v>
      </c>
      <c r="W39" s="1578">
        <f t="shared" si="12"/>
        <v>100</v>
      </c>
      <c r="X39" s="1579"/>
      <c r="Y39" s="3466"/>
      <c r="Z39" s="1580">
        <f t="shared" si="13"/>
        <v>111</v>
      </c>
      <c r="AA39" s="1576">
        <f t="shared" si="3"/>
        <v>1</v>
      </c>
      <c r="AB39" s="1576">
        <f t="shared" si="4"/>
        <v>1</v>
      </c>
      <c r="AC39" s="1576">
        <f t="shared" si="5"/>
        <v>1</v>
      </c>
    </row>
    <row r="40" spans="1:29" ht="20.25">
      <c r="A40" s="2932" t="s">
        <v>2755</v>
      </c>
      <c r="B40" s="595" t="s">
        <v>551</v>
      </c>
      <c r="C40" s="596">
        <f>'数据-基础表'!A3</f>
        <v>117974.91</v>
      </c>
      <c r="D40" s="597">
        <v>100</v>
      </c>
      <c r="E40" s="596">
        <v>99180.99</v>
      </c>
      <c r="F40" s="597">
        <f>LOOKUP(E40,119:119,120:120)-LOOKUP(C40,119:119,120:120)+100</f>
        <v>99</v>
      </c>
      <c r="G40" s="596">
        <v>52064.51</v>
      </c>
      <c r="H40" s="597">
        <f>LOOKUP(G40,119:119,120:120)-LOOKUP(C40,119:119,120:120)+100</f>
        <v>99</v>
      </c>
      <c r="I40" s="598">
        <v>68310.429999999993</v>
      </c>
      <c r="J40" s="597">
        <f>LOOKUP(I40,119:119,120:120)-LOOKUP(C40,119:119,120:120)+100</f>
        <v>99</v>
      </c>
      <c r="K40" s="581"/>
      <c r="L40" s="2143"/>
      <c r="M40" s="2133"/>
      <c r="N40" s="2133"/>
      <c r="O40" s="2142"/>
      <c r="P40" s="3466"/>
      <c r="Q40" s="1572" t="str">
        <f>B40</f>
        <v>宗地面积</v>
      </c>
      <c r="R40" s="1573" t="s">
        <v>8</v>
      </c>
      <c r="S40" s="1574">
        <f t="shared" si="10"/>
        <v>99</v>
      </c>
      <c r="T40" s="1573" t="s">
        <v>8</v>
      </c>
      <c r="U40" s="1574">
        <f t="shared" si="11"/>
        <v>99</v>
      </c>
      <c r="V40" s="1573" t="s">
        <v>8</v>
      </c>
      <c r="W40" s="1574">
        <f t="shared" si="12"/>
        <v>99</v>
      </c>
      <c r="X40" s="1567"/>
      <c r="Y40" s="3466"/>
      <c r="Z40" s="1575" t="str">
        <f t="shared" si="13"/>
        <v>宗地面积</v>
      </c>
      <c r="AA40" s="1576">
        <f t="shared" si="3"/>
        <v>1.0101010101010102</v>
      </c>
      <c r="AB40" s="1576">
        <f t="shared" si="4"/>
        <v>1.0101010101010102</v>
      </c>
      <c r="AC40" s="1576">
        <f t="shared" si="5"/>
        <v>1.0101010101010102</v>
      </c>
    </row>
    <row r="41" spans="1:29" ht="20.25">
      <c r="A41" s="594"/>
      <c r="B41" s="527" t="s">
        <v>552</v>
      </c>
      <c r="C41" s="599" t="s">
        <v>3023</v>
      </c>
      <c r="D41" s="540">
        <v>100</v>
      </c>
      <c r="E41" s="599" t="s">
        <v>3023</v>
      </c>
      <c r="F41" s="540">
        <f>SUMIF(121:121,E41,122:122)-SUMIF(121:121,C41,122:122)+100</f>
        <v>100</v>
      </c>
      <c r="G41" s="599" t="s">
        <v>3023</v>
      </c>
      <c r="H41" s="540">
        <f>SUMIF(121:121,G41,122:122)-SUMIF(121:121,C41,122:122)+100</f>
        <v>100</v>
      </c>
      <c r="I41" s="599" t="s">
        <v>3023</v>
      </c>
      <c r="J41" s="540">
        <f>SUMIF(121:121,I41,122:122)-SUMIF(121:121,C41,122:122)+100</f>
        <v>100</v>
      </c>
      <c r="K41" s="584">
        <v>1</v>
      </c>
      <c r="L41" s="2143"/>
      <c r="M41" s="2133"/>
      <c r="N41" s="2133"/>
      <c r="O41" s="2142"/>
      <c r="P41" s="3466"/>
      <c r="Q41" s="1572" t="str">
        <f t="shared" ref="Q41:Q47" si="14">B41</f>
        <v>宗地形状</v>
      </c>
      <c r="R41" s="1573" t="s">
        <v>8</v>
      </c>
      <c r="S41" s="1574">
        <f t="shared" si="10"/>
        <v>100</v>
      </c>
      <c r="T41" s="1573" t="s">
        <v>8</v>
      </c>
      <c r="U41" s="1574">
        <f t="shared" si="11"/>
        <v>100</v>
      </c>
      <c r="V41" s="1573" t="s">
        <v>8</v>
      </c>
      <c r="W41" s="1574">
        <f t="shared" si="12"/>
        <v>100</v>
      </c>
      <c r="X41" s="1567"/>
      <c r="Y41" s="3466"/>
      <c r="Z41" s="1575" t="str">
        <f t="shared" si="13"/>
        <v>宗地形状</v>
      </c>
      <c r="AA41" s="1576">
        <f t="shared" si="3"/>
        <v>1</v>
      </c>
      <c r="AB41" s="1576">
        <f t="shared" si="4"/>
        <v>1</v>
      </c>
      <c r="AC41" s="1576">
        <f t="shared" si="5"/>
        <v>1</v>
      </c>
    </row>
    <row r="42" spans="1:29" ht="20.25">
      <c r="A42" s="594"/>
      <c r="B42" s="527" t="s">
        <v>553</v>
      </c>
      <c r="C42" s="599" t="s">
        <v>3024</v>
      </c>
      <c r="D42" s="540">
        <v>100</v>
      </c>
      <c r="E42" s="599" t="s">
        <v>3024</v>
      </c>
      <c r="F42" s="540">
        <f>SUMIF(123:123,E42,124:124)-SUMIF(123:123,C42,124:124)+100</f>
        <v>100</v>
      </c>
      <c r="G42" s="599" t="s">
        <v>3024</v>
      </c>
      <c r="H42" s="540">
        <f>SUMIF(123:123,G42,124:124)-SUMIF(123:123,C42,124:124)+100</f>
        <v>100</v>
      </c>
      <c r="I42" s="599" t="s">
        <v>3024</v>
      </c>
      <c r="J42" s="540">
        <f>SUMIF(123:123,I42,124:124)-SUMIF(123:123,C42,124:124)+100</f>
        <v>100</v>
      </c>
      <c r="K42" s="584">
        <v>1</v>
      </c>
      <c r="L42" s="2143"/>
      <c r="M42" s="2133"/>
      <c r="N42" s="2133"/>
      <c r="O42" s="2142"/>
      <c r="P42" s="3466"/>
      <c r="Q42" s="1572" t="str">
        <f t="shared" si="14"/>
        <v>临街宽度及深度</v>
      </c>
      <c r="R42" s="1573" t="s">
        <v>8</v>
      </c>
      <c r="S42" s="1574">
        <f t="shared" si="10"/>
        <v>100</v>
      </c>
      <c r="T42" s="1573" t="s">
        <v>8</v>
      </c>
      <c r="U42" s="1574">
        <f t="shared" si="11"/>
        <v>100</v>
      </c>
      <c r="V42" s="1573" t="s">
        <v>8</v>
      </c>
      <c r="W42" s="1574">
        <f t="shared" si="12"/>
        <v>100</v>
      </c>
      <c r="X42" s="1567"/>
      <c r="Y42" s="3466"/>
      <c r="Z42" s="1575" t="str">
        <f t="shared" si="13"/>
        <v>临街宽度及深度</v>
      </c>
      <c r="AA42" s="1576">
        <f t="shared" si="3"/>
        <v>1</v>
      </c>
      <c r="AB42" s="1576">
        <f t="shared" si="4"/>
        <v>1</v>
      </c>
      <c r="AC42" s="1576">
        <f t="shared" si="5"/>
        <v>1</v>
      </c>
    </row>
    <row r="43" spans="1:29" s="1219" customFormat="1" ht="20.25">
      <c r="A43" s="600"/>
      <c r="B43" s="1896" t="s">
        <v>2426</v>
      </c>
      <c r="C43" s="601" t="s">
        <v>3025</v>
      </c>
      <c r="D43" s="255">
        <v>100</v>
      </c>
      <c r="E43" s="601" t="s">
        <v>3025</v>
      </c>
      <c r="F43" s="540">
        <f>SUMIF(125:125,E43,126:126)-SUMIF(125:125,C43,126:126)+100</f>
        <v>100</v>
      </c>
      <c r="G43" s="601" t="s">
        <v>3025</v>
      </c>
      <c r="H43" s="540">
        <f>SUMIF(125:125,G43,126:126)-SUMIF(125:125,C43,126:126)+100</f>
        <v>100</v>
      </c>
      <c r="I43" s="601" t="s">
        <v>3025</v>
      </c>
      <c r="J43" s="540">
        <f>SUMIF(125:125,I43,126:126)-SUMIF(125:125,C43,126:126)+100</f>
        <v>100</v>
      </c>
      <c r="K43" s="584">
        <v>1</v>
      </c>
      <c r="L43" s="2136"/>
      <c r="M43" s="2133"/>
      <c r="N43" s="2133"/>
      <c r="O43" s="2138"/>
      <c r="P43" s="3466"/>
      <c r="Q43" s="1572" t="str">
        <f t="shared" si="14"/>
        <v>宗地开发程度</v>
      </c>
      <c r="R43" s="1568" t="s">
        <v>8</v>
      </c>
      <c r="S43" s="1569">
        <f t="shared" si="10"/>
        <v>100</v>
      </c>
      <c r="T43" s="1568" t="s">
        <v>8</v>
      </c>
      <c r="U43" s="1569">
        <f t="shared" si="11"/>
        <v>100</v>
      </c>
      <c r="V43" s="1568" t="s">
        <v>8</v>
      </c>
      <c r="W43" s="1569">
        <f t="shared" si="12"/>
        <v>100</v>
      </c>
      <c r="X43" s="1570"/>
      <c r="Y43" s="3466"/>
      <c r="Z43" s="1149" t="str">
        <f t="shared" si="13"/>
        <v>宗地开发程度</v>
      </c>
      <c r="AA43" s="1571">
        <f t="shared" si="3"/>
        <v>1</v>
      </c>
      <c r="AB43" s="1571">
        <f t="shared" si="4"/>
        <v>1</v>
      </c>
      <c r="AC43" s="1571">
        <f t="shared" si="5"/>
        <v>1</v>
      </c>
    </row>
    <row r="44" spans="1:29" ht="21" thickBot="1">
      <c r="A44" s="594"/>
      <c r="B44" s="527" t="s">
        <v>554</v>
      </c>
      <c r="C44" s="599" t="s">
        <v>3019</v>
      </c>
      <c r="D44" s="540">
        <v>100</v>
      </c>
      <c r="E44" s="599" t="s">
        <v>3019</v>
      </c>
      <c r="F44" s="540">
        <f>SUMIF(127:127,E44,128:128)-SUMIF(127:127,C44,128:128)+100</f>
        <v>100</v>
      </c>
      <c r="G44" s="599" t="s">
        <v>3019</v>
      </c>
      <c r="H44" s="540">
        <f>SUMIF(127:127,G44,128:128)-SUMIF(127:127,C44,128:128)+100</f>
        <v>100</v>
      </c>
      <c r="I44" s="599" t="s">
        <v>3019</v>
      </c>
      <c r="J44" s="540">
        <f>SUMIF(127:127,I44,128:128)-SUMIF(127:127,C44,128:128)+100</f>
        <v>100</v>
      </c>
      <c r="K44" s="584">
        <v>1</v>
      </c>
      <c r="L44" s="2143"/>
      <c r="M44" s="2133"/>
      <c r="N44" s="2133"/>
      <c r="O44" s="2142"/>
      <c r="P44" s="3466" t="s">
        <v>549</v>
      </c>
      <c r="Q44" s="1572" t="str">
        <f t="shared" si="14"/>
        <v>工程地质条件</v>
      </c>
      <c r="R44" s="1573" t="s">
        <v>8</v>
      </c>
      <c r="S44" s="1574">
        <f t="shared" si="10"/>
        <v>100</v>
      </c>
      <c r="T44" s="1573" t="s">
        <v>8</v>
      </c>
      <c r="U44" s="1574">
        <f t="shared" si="11"/>
        <v>100</v>
      </c>
      <c r="V44" s="1573" t="s">
        <v>8</v>
      </c>
      <c r="W44" s="1574">
        <f t="shared" si="12"/>
        <v>100</v>
      </c>
      <c r="X44" s="1567"/>
      <c r="Y44" s="3466" t="s">
        <v>549</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66"/>
      <c r="Q45" s="1572">
        <f t="shared" si="14"/>
        <v>111</v>
      </c>
      <c r="R45" s="1573" t="s">
        <v>8</v>
      </c>
      <c r="S45" s="1574">
        <f t="shared" si="10"/>
        <v>100</v>
      </c>
      <c r="T45" s="1573" t="s">
        <v>8</v>
      </c>
      <c r="U45" s="1574">
        <f t="shared" si="11"/>
        <v>100</v>
      </c>
      <c r="V45" s="1573" t="s">
        <v>8</v>
      </c>
      <c r="W45" s="1574">
        <f t="shared" si="12"/>
        <v>100</v>
      </c>
      <c r="X45" s="1567"/>
      <c r="Y45" s="3466"/>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66"/>
      <c r="Q46" s="1572">
        <f t="shared" si="14"/>
        <v>111</v>
      </c>
      <c r="R46" s="1573" t="s">
        <v>8</v>
      </c>
      <c r="S46" s="1574">
        <f t="shared" si="10"/>
        <v>100</v>
      </c>
      <c r="T46" s="1573" t="s">
        <v>8</v>
      </c>
      <c r="U46" s="1574">
        <f t="shared" si="11"/>
        <v>100</v>
      </c>
      <c r="V46" s="1573" t="s">
        <v>8</v>
      </c>
      <c r="W46" s="1574">
        <f t="shared" si="12"/>
        <v>100</v>
      </c>
      <c r="X46" s="1567"/>
      <c r="Y46" s="3466"/>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66"/>
      <c r="Q47" s="1572">
        <f t="shared" si="14"/>
        <v>111</v>
      </c>
      <c r="R47" s="1577" t="s">
        <v>8</v>
      </c>
      <c r="S47" s="1578">
        <f t="shared" si="10"/>
        <v>100</v>
      </c>
      <c r="T47" s="1577" t="s">
        <v>8</v>
      </c>
      <c r="U47" s="1578">
        <f t="shared" si="11"/>
        <v>100</v>
      </c>
      <c r="V47" s="1577" t="s">
        <v>8</v>
      </c>
      <c r="W47" s="1578">
        <f t="shared" si="12"/>
        <v>100</v>
      </c>
      <c r="X47" s="1579"/>
      <c r="Y47" s="3466"/>
      <c r="Z47" s="1580">
        <f t="shared" si="13"/>
        <v>111</v>
      </c>
      <c r="AA47" s="1576">
        <f t="shared" si="3"/>
        <v>1</v>
      </c>
      <c r="AB47" s="1576">
        <f t="shared" si="4"/>
        <v>1</v>
      </c>
      <c r="AC47" s="1576">
        <f t="shared" si="5"/>
        <v>1</v>
      </c>
    </row>
    <row r="48" spans="1:29" ht="20.25">
      <c r="A48" s="607" t="s">
        <v>555</v>
      </c>
      <c r="B48" s="608" t="s">
        <v>3029</v>
      </c>
      <c r="C48" s="609" t="s">
        <v>1</v>
      </c>
      <c r="D48" s="610"/>
      <c r="E48" s="611">
        <v>10000</v>
      </c>
      <c r="F48" s="612"/>
      <c r="G48" s="613">
        <v>11367</v>
      </c>
      <c r="H48" s="614"/>
      <c r="I48" s="611">
        <v>10300</v>
      </c>
      <c r="J48" s="614"/>
      <c r="K48" s="1339"/>
      <c r="L48" s="2145"/>
      <c r="M48" s="2133"/>
      <c r="N48" s="2133"/>
      <c r="O48" s="2146"/>
      <c r="P48" s="3427" t="str">
        <f>A48</f>
        <v>成交单价</v>
      </c>
      <c r="Q48" s="3427"/>
      <c r="R48" s="3428">
        <f>E48</f>
        <v>10000</v>
      </c>
      <c r="S48" s="3428"/>
      <c r="T48" s="3428">
        <f>G48</f>
        <v>11367</v>
      </c>
      <c r="U48" s="3428"/>
      <c r="V48" s="3428">
        <f>I48</f>
        <v>10300</v>
      </c>
      <c r="W48" s="3428"/>
      <c r="X48" s="1559"/>
      <c r="Y48" s="1581"/>
      <c r="Z48" s="1559"/>
      <c r="AA48" s="1559"/>
      <c r="AB48" s="1559"/>
      <c r="AC48" s="1559"/>
    </row>
    <row r="49" spans="1:29" ht="21" thickBot="1">
      <c r="A49" s="615" t="s">
        <v>2693</v>
      </c>
      <c r="B49" s="616"/>
      <c r="C49" s="617">
        <f>R50</f>
        <v>8360</v>
      </c>
      <c r="D49" s="618"/>
      <c r="E49" s="617">
        <f>R49</f>
        <v>7716</v>
      </c>
      <c r="F49" s="619"/>
      <c r="G49" s="620">
        <f>T49</f>
        <v>9023</v>
      </c>
      <c r="H49" s="618"/>
      <c r="I49" s="617">
        <f>V49</f>
        <v>8342</v>
      </c>
      <c r="J49" s="618"/>
      <c r="K49" s="1340"/>
      <c r="L49" s="2145"/>
      <c r="M49" s="2133"/>
      <c r="N49" s="2133"/>
      <c r="O49" s="2146"/>
      <c r="P49" s="3427" t="str">
        <f>A49</f>
        <v>比较价格（元/平方米）</v>
      </c>
      <c r="Q49" s="3427"/>
      <c r="R49" s="3429">
        <f>ROUND(PRODUCT(R48,AA9:AA47),0)</f>
        <v>7716</v>
      </c>
      <c r="S49" s="3429"/>
      <c r="T49" s="3429">
        <f>ROUND(PRODUCT(T48,AB9:AB47),0)</f>
        <v>9023</v>
      </c>
      <c r="U49" s="3429"/>
      <c r="V49" s="3429">
        <f>ROUND(PRODUCT(V48,AC9:AC47),0)</f>
        <v>8342</v>
      </c>
      <c r="W49" s="3429"/>
      <c r="X49" s="1559"/>
      <c r="Y49" s="1559"/>
      <c r="Z49" s="1559"/>
      <c r="AA49" s="1559"/>
      <c r="AB49" s="1559"/>
      <c r="AC49" s="1559"/>
    </row>
    <row r="50" spans="1:29" ht="21" thickBot="1">
      <c r="A50" s="621" t="s">
        <v>2922</v>
      </c>
      <c r="B50" s="622"/>
      <c r="C50" s="623">
        <f>R50</f>
        <v>8360</v>
      </c>
      <c r="D50" s="623"/>
      <c r="E50" s="623"/>
      <c r="F50" s="623"/>
      <c r="G50" s="623"/>
      <c r="H50" s="623"/>
      <c r="I50" s="623"/>
      <c r="J50" s="623"/>
      <c r="K50" s="1341"/>
      <c r="L50" s="2145"/>
      <c r="M50" s="2133"/>
      <c r="N50" s="2133"/>
      <c r="O50" s="2146"/>
      <c r="P50" s="3424" t="str">
        <f>A50</f>
        <v>估价对象XX用房的比较价格（楼面单价，元/平方米）</v>
      </c>
      <c r="Q50" s="3425"/>
      <c r="R50" s="3426">
        <f>ROUND(AVERAGE(R49:V49),0)</f>
        <v>8360</v>
      </c>
      <c r="S50" s="3426"/>
      <c r="T50" s="3426"/>
      <c r="U50" s="3426"/>
      <c r="V50" s="3426"/>
      <c r="W50" s="342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0.29600829445308441</v>
      </c>
      <c r="F53" s="627" t="str">
        <f>IF(OR(E53&gt;=0.3,E53&lt;=-0.3),"超过30%","")</f>
        <v/>
      </c>
      <c r="G53" s="626">
        <f>IF(G48&lt;G49,G49/G48-1,G48/G49-1)</f>
        <v>0.25978056078909462</v>
      </c>
      <c r="H53" s="627" t="str">
        <f>IF(OR(G53&gt;=0.3,G53&lt;=-0.3),"超过30%","")</f>
        <v/>
      </c>
      <c r="I53" s="626">
        <f>IF(I48&lt;I49,I49/I48-1,I48/I49-1)</f>
        <v>0.23471589546871252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0.16938828408501805</v>
      </c>
      <c r="F54" s="627" t="str">
        <f>IF(OR(E54&gt;=0.2,E54&lt;=-0.2),"超过20%","")</f>
        <v/>
      </c>
      <c r="G54" s="626">
        <f>IF(G49&lt;I49,I49/G49-1,G49/I49-1)</f>
        <v>8.1635099496523589E-2</v>
      </c>
      <c r="H54" s="627" t="str">
        <f>IF(OR(G54&gt;=0.2,G54&lt;=-0.2),"超过20%","")</f>
        <v/>
      </c>
      <c r="I54" s="626">
        <f>IF(I49&lt;E49,E49/I49-1,I49/E49-1)</f>
        <v>8.1130119232763143E-2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0.13670000000000004</v>
      </c>
      <c r="F55" s="627" t="str">
        <f>IF(OR(E55&gt;=0.3,E55&lt;=-0.3),"超过30%","")</f>
        <v/>
      </c>
      <c r="G55" s="626">
        <f>IF(G48&lt;I48,I48/G48-1,G48/I48-1)</f>
        <v>0.10359223300970877</v>
      </c>
      <c r="H55" s="627" t="str">
        <f>IF(OR(G55&gt;=0.3,G55&lt;=-0.3),"超过30%","")</f>
        <v/>
      </c>
      <c r="I55" s="626">
        <f>IF(I48&lt;E48,E48/I48-1,I48/E48-1)</f>
        <v>3.0000000000000027E-2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2294</v>
      </c>
      <c r="E57" s="631" t="s">
        <v>561</v>
      </c>
      <c r="F57" s="632" t="s">
        <v>562</v>
      </c>
      <c r="G57" s="3455" t="s">
        <v>2282</v>
      </c>
      <c r="H57" s="3456"/>
      <c r="I57" s="1555" t="s">
        <v>1722</v>
      </c>
      <c r="J57" s="1555" t="str">
        <f>项目基本情况!F41</f>
        <v>武汉市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8360</v>
      </c>
      <c r="C58" s="635">
        <v>1</v>
      </c>
      <c r="D58" s="2229">
        <v>1</v>
      </c>
      <c r="E58" s="635">
        <f>'数据-汇总表'!E8+'数据-汇总表'!E9</f>
        <v>179318.65000000002</v>
      </c>
      <c r="F58" s="636">
        <f t="shared" ref="F58:F67" si="15">ROUND(B58*E58/10000,0)</f>
        <v>149910</v>
      </c>
      <c r="G58" s="3457"/>
      <c r="H58" s="345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459"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45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45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45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51622.080000000002</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2295</v>
      </c>
      <c r="E68" s="643">
        <f>IF(B48="楼面地价",SUM(E58:E67),'数据-汇总表'!D3)</f>
        <v>230940.73000000004</v>
      </c>
      <c r="F68" s="644">
        <f>IF(B48="楼面地价",SUM(F58:F67),ROUND(C50*E68/10000,0))</f>
        <v>149910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2532</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2647</v>
      </c>
      <c r="B73" s="479" t="str">
        <f>"北京市平均增长率"&amp;TEXT(SUMIF(基准地价!N21:N25,A73,基准地价!P21:P25),"0.00%")</f>
        <v>北京市平均增长率2.27%</v>
      </c>
      <c r="C73" s="893">
        <v>100</v>
      </c>
      <c r="D73" s="650">
        <v>99</v>
      </c>
      <c r="E73" s="650">
        <v>98</v>
      </c>
      <c r="F73" s="650">
        <v>97</v>
      </c>
      <c r="G73" s="650">
        <v>96</v>
      </c>
      <c r="H73" s="650">
        <v>95</v>
      </c>
      <c r="I73" s="650">
        <v>94</v>
      </c>
      <c r="J73" s="650">
        <v>93</v>
      </c>
      <c r="K73" s="650">
        <v>92</v>
      </c>
      <c r="L73" s="730"/>
      <c r="M73" s="2817"/>
      <c r="N73" s="2818"/>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2646</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8" t="s">
        <v>2989</v>
      </c>
      <c r="D77" s="3188" t="s">
        <v>2990</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2（含）-5</v>
      </c>
      <c r="H81" s="682" t="str">
        <f t="shared" si="20"/>
        <v>5（含）-6</v>
      </c>
      <c r="I81" s="682" t="str">
        <f t="shared" si="20"/>
        <v>6（含）-7</v>
      </c>
      <c r="J81" s="682" t="str">
        <f t="shared" si="20"/>
        <v>7（含）-8</v>
      </c>
      <c r="K81" s="682" t="str">
        <f t="shared" si="20"/>
        <v>8（含）-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v>5</v>
      </c>
      <c r="I82" s="541">
        <v>6</v>
      </c>
      <c r="J82" s="541">
        <v>7</v>
      </c>
      <c r="K82" s="684">
        <v>8</v>
      </c>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3190" t="s">
        <v>3049</v>
      </c>
      <c r="D84" s="1375" t="s">
        <v>3050</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100</v>
      </c>
      <c r="D85" s="671">
        <v>105</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t="str">
        <f>B15</f>
        <v>溢价</v>
      </c>
      <c r="C86" s="3190" t="s">
        <v>3131</v>
      </c>
      <c r="D86" s="3190" t="s">
        <v>3132</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v>100</v>
      </c>
      <c r="D87" s="692">
        <v>80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2548</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2550</v>
      </c>
      <c r="C104" s="2623" t="s">
        <v>2551</v>
      </c>
      <c r="D104" s="2623" t="s">
        <v>2552</v>
      </c>
      <c r="E104" s="2623" t="s">
        <v>2553</v>
      </c>
      <c r="F104" s="2623" t="s">
        <v>2554</v>
      </c>
      <c r="G104" s="2623"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t="s">
        <v>2991</v>
      </c>
      <c r="D108" s="688" t="s">
        <v>2992</v>
      </c>
      <c r="E108" s="688" t="s">
        <v>2993</v>
      </c>
      <c r="F108" s="688" t="s">
        <v>2994</v>
      </c>
      <c r="G108" s="688" t="s">
        <v>2995</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t="s">
        <v>2996</v>
      </c>
      <c r="D110" s="718" t="s">
        <v>2997</v>
      </c>
      <c r="E110" s="718" t="s">
        <v>2998</v>
      </c>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t="s">
        <v>2999</v>
      </c>
      <c r="D121" s="718" t="s">
        <v>3000</v>
      </c>
      <c r="E121" s="718" t="s">
        <v>3001</v>
      </c>
      <c r="F121" s="718" t="s">
        <v>3002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t="s">
        <v>3003</v>
      </c>
      <c r="D123" s="688" t="s">
        <v>3004</v>
      </c>
      <c r="E123" s="688" t="s">
        <v>3005</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3006</v>
      </c>
      <c r="D125" s="1375" t="s">
        <v>3007</v>
      </c>
      <c r="E125" s="1375" t="s">
        <v>3008</v>
      </c>
      <c r="F125" s="1375" t="s">
        <v>3009</v>
      </c>
      <c r="G125" s="1375" t="s">
        <v>3010</v>
      </c>
      <c r="H125" s="3189" t="s">
        <v>3011</v>
      </c>
      <c r="I125" s="3189" t="s">
        <v>3012</v>
      </c>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t="s">
        <v>3013</v>
      </c>
      <c r="D127" s="688" t="s">
        <v>3014</v>
      </c>
      <c r="E127" s="718" t="s">
        <v>3015</v>
      </c>
      <c r="F127" s="718" t="s">
        <v>3016</v>
      </c>
      <c r="G127" s="718" t="s">
        <v>3017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abSelected="1" workbookViewId="0">
      <selection activeCell="F10" sqref="F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11</v>
      </c>
    </row>
    <row r="2" spans="1:31" s="2042" customFormat="1" ht="18" customHeight="1">
      <c r="A2" s="2102" t="s">
        <v>466</v>
      </c>
      <c r="B2" s="2106">
        <f ca="1">C36</f>
        <v>132032</v>
      </c>
      <c r="C2" s="2105"/>
      <c r="D2" s="2105"/>
      <c r="E2" s="2105"/>
      <c r="F2" s="2105"/>
      <c r="G2" s="2105"/>
      <c r="H2" s="2105"/>
      <c r="I2" s="2105"/>
      <c r="J2" s="2105"/>
      <c r="K2" s="2105"/>
    </row>
    <row r="3" spans="1:31" s="2042" customFormat="1" ht="18" customHeight="1">
      <c r="A3" s="2107" t="s">
        <v>1684</v>
      </c>
      <c r="B3" s="2108">
        <f ca="1">ROUND(B2*10000/IF(B1="",'数据-汇总表'!E3,INDIRECT("'数据-取费表'!K"&amp;$K$1)),0)</f>
        <v>4824</v>
      </c>
      <c r="C3" s="2105"/>
      <c r="D3" s="2105"/>
      <c r="E3" s="2105"/>
      <c r="F3" s="2105"/>
      <c r="G3" s="2105"/>
      <c r="H3" s="2105"/>
      <c r="I3" s="2105"/>
      <c r="J3" s="2105"/>
      <c r="K3" s="2105"/>
    </row>
    <row r="4" spans="1:31" s="2042" customFormat="1" ht="18" customHeight="1">
      <c r="A4" s="426" t="s">
        <v>467</v>
      </c>
      <c r="B4" s="427">
        <f ca="1">ROUND(B2*10000/IF(B1="",'数据-汇总表'!D3,INDIRECT("'数据-取费表'!R"&amp;$K$1)),0)</f>
        <v>11192</v>
      </c>
      <c r="C4" s="428"/>
      <c r="D4" s="422"/>
      <c r="E4" s="422"/>
      <c r="F4" s="422"/>
      <c r="G4" s="422"/>
      <c r="H4" s="422"/>
      <c r="I4" s="422"/>
      <c r="J4" s="422"/>
      <c r="K4" s="422"/>
    </row>
    <row r="5" spans="1:31" s="2042" customFormat="1" ht="18" customHeight="1" thickBot="1">
      <c r="A5" s="429"/>
      <c r="B5" s="430">
        <f ca="1">ROUND(B2/(IF(B1="",'数据-汇总表'!D3,INDIRECT("'数据-取费表'!R"&amp;$K$1))/666.67),0)</f>
        <v>746</v>
      </c>
      <c r="C5" s="431" t="s">
        <v>468</v>
      </c>
      <c r="D5" s="422"/>
      <c r="E5" s="422"/>
      <c r="F5" s="422"/>
      <c r="G5" s="422"/>
      <c r="H5" s="422"/>
      <c r="I5" s="422"/>
      <c r="J5" s="422"/>
      <c r="K5" s="422"/>
    </row>
    <row r="6" spans="1:31" s="2112" customFormat="1" ht="16.5" customHeight="1">
      <c r="A6" s="2853" t="s">
        <v>1842</v>
      </c>
      <c r="B6" s="2854"/>
      <c r="C6" s="2855">
        <f ca="1">SUM(C10:K10)</f>
        <v>319600</v>
      </c>
      <c r="D6" s="2854"/>
      <c r="E6" s="2854"/>
      <c r="F6" s="2854"/>
      <c r="G6" s="2854"/>
      <c r="H6" s="2854"/>
      <c r="I6" s="2854"/>
      <c r="J6" s="2854"/>
      <c r="K6" s="2856"/>
    </row>
    <row r="7" spans="1:31" s="2114" customFormat="1" ht="15">
      <c r="A7" s="2857" t="s">
        <v>469</v>
      </c>
      <c r="B7" s="2858" t="s">
        <v>470</v>
      </c>
      <c r="C7" s="436" t="s">
        <v>3039</v>
      </c>
      <c r="D7" s="436" t="s">
        <v>3041</v>
      </c>
      <c r="E7" s="436" t="s">
        <v>3032</v>
      </c>
      <c r="F7" s="436" t="s">
        <v>3034</v>
      </c>
      <c r="G7" s="436" t="s">
        <v>35</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f>高层比较法!B3</f>
        <v>16333</v>
      </c>
      <c r="D8" s="2859">
        <f>中高层比较法!B3</f>
        <v>17193</v>
      </c>
      <c r="E8" s="2859">
        <f>叠拼比较法!B3</f>
        <v>26644</v>
      </c>
      <c r="F8" s="2859">
        <f ca="1">不动产收益法!B3</f>
        <v>15557</v>
      </c>
      <c r="G8" s="2859">
        <f>'不动产比较法-车位'!B3</f>
        <v>3029</v>
      </c>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147057.1</v>
      </c>
      <c r="D9" s="441">
        <f>SUMIF('数据-汇总表'!$C19:$C33,'剩余法-待开发'!D7,'数据-汇总表'!$E19:$E33)</f>
        <v>20585.38</v>
      </c>
      <c r="E9" s="441">
        <f>SUMIF('数据-汇总表'!$C19:$C33,'剩余法-待开发'!E7,'数据-汇总表'!$E19:$E33)</f>
        <v>9218.7000000000007</v>
      </c>
      <c r="F9" s="441">
        <f>SUMIF('数据-汇总表'!$C19:$C33,'剩余法-待开发'!F7,'数据-汇总表'!$E19:$E33)</f>
        <v>2457.4699999999998</v>
      </c>
      <c r="G9" s="441">
        <f>SUMIF('数据-汇总表'!$C19:$C33,'剩余法-待开发'!G7,'数据-汇总表'!$E19:$E33)</f>
        <v>51622.080000000002</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4">
        <f>高层比较法!B2</f>
        <v>240188</v>
      </c>
      <c r="D10" s="3054">
        <f>中高层比较法!B2</f>
        <v>35392</v>
      </c>
      <c r="E10" s="3054">
        <f>叠拼比较法!B2</f>
        <v>24562</v>
      </c>
      <c r="F10" s="2862">
        <f ca="1">不动产收益法!B2</f>
        <v>3823</v>
      </c>
      <c r="G10" s="2862">
        <f>'不动产比较法-车位'!B2</f>
        <v>15635</v>
      </c>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90146</v>
      </c>
      <c r="D13" s="2869"/>
      <c r="E13" s="2870"/>
      <c r="F13" s="2871"/>
      <c r="G13" s="2837"/>
      <c r="H13" s="2838"/>
      <c r="I13" s="2838"/>
      <c r="J13" s="2838"/>
      <c r="K13" s="2839"/>
    </row>
    <row r="14" spans="1:31" s="2117" customFormat="1" ht="13.5" customHeight="1">
      <c r="A14" s="2867" t="s">
        <v>1849</v>
      </c>
      <c r="B14" s="2868" t="s">
        <v>479</v>
      </c>
      <c r="C14" s="53">
        <f ca="1">ROUND(C13*F14,0)</f>
        <v>4507</v>
      </c>
      <c r="D14" s="2869"/>
      <c r="E14" s="2870"/>
      <c r="F14" s="2872">
        <f>'数据-取费表'!B33</f>
        <v>0.05</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6945</v>
      </c>
      <c r="D15" s="2869"/>
      <c r="E15" s="2870"/>
      <c r="F15" s="2872">
        <f>'数据-取费表'!B34</f>
        <v>0.1</v>
      </c>
      <c r="G15" s="2837" t="s">
        <v>482</v>
      </c>
      <c r="H15" s="2838"/>
      <c r="I15" s="2838"/>
      <c r="J15" s="2838"/>
      <c r="K15" s="2839"/>
    </row>
    <row r="16" spans="1:31" s="2118" customFormat="1" ht="13.5" customHeight="1">
      <c r="A16" s="2867" t="s">
        <v>1851</v>
      </c>
      <c r="B16" s="2868" t="s">
        <v>483</v>
      </c>
      <c r="C16" s="53">
        <f ca="1">ROUND(D16*E16/10000,0)</f>
        <v>5473</v>
      </c>
      <c r="D16" s="2869">
        <f ca="1">IF(B1="",'数据-汇总表'!E3,INDIRECT("'数据-取费表'!K"&amp;$K$1)+INDIRECT("'数据-取费表'!S"&amp;$K$1))</f>
        <v>273671.8</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1352</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108423</v>
      </c>
      <c r="D18" s="2878"/>
      <c r="E18" s="468"/>
      <c r="F18" s="468"/>
      <c r="G18" s="2841" t="s">
        <v>2432</v>
      </c>
      <c r="H18" s="2842"/>
      <c r="I18" s="2842"/>
      <c r="J18" s="2842"/>
      <c r="K18" s="2843"/>
    </row>
    <row r="19" spans="1:14" s="2117" customFormat="1" ht="13.5" customHeight="1">
      <c r="A19" s="2875" t="s">
        <v>1854</v>
      </c>
      <c r="B19" s="2876" t="s">
        <v>487</v>
      </c>
      <c r="C19" s="2833">
        <f ca="1">ROUND(D19*E19/10000,0)</f>
        <v>0</v>
      </c>
      <c r="D19" s="2879">
        <f ca="1">D16</f>
        <v>273671.8</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3284</v>
      </c>
      <c r="D20" s="2879"/>
      <c r="E20" s="2833"/>
      <c r="F20" s="2880"/>
      <c r="G20" s="3114"/>
      <c r="H20" s="2835"/>
      <c r="I20" s="2836" t="s">
        <v>2651</v>
      </c>
      <c r="J20" s="2842"/>
      <c r="K20" s="2843"/>
    </row>
    <row r="21" spans="1:14" s="2117" customFormat="1" ht="13.5" customHeight="1">
      <c r="A21" s="2867" t="s">
        <v>1856</v>
      </c>
      <c r="B21" s="2868" t="s">
        <v>490</v>
      </c>
      <c r="C21" s="53">
        <f ca="1">ROUND(D21*E21/10000,0)</f>
        <v>2152</v>
      </c>
      <c r="D21" s="2869">
        <f ca="1">IF(B1="",'数据-汇总表'!E5,IF(INDIRECT("'数据-取费表'!c"&amp;$K$1)="住宅",INDIRECT("'数据-取费表'!k"&amp;$K$1),0))</f>
        <v>179318.65000000002</v>
      </c>
      <c r="E21" s="53">
        <f>'数据-取费表'!B27</f>
        <v>120</v>
      </c>
      <c r="F21" s="2872"/>
      <c r="G21" s="26"/>
      <c r="H21" s="51"/>
      <c r="I21" s="51"/>
      <c r="J21" s="51"/>
      <c r="K21" s="2844"/>
    </row>
    <row r="22" spans="1:14" s="2117" customFormat="1" ht="13.5" customHeight="1">
      <c r="A22" s="2867" t="s">
        <v>1857</v>
      </c>
      <c r="B22" s="2868" t="s">
        <v>491</v>
      </c>
      <c r="C22" s="53">
        <f ca="1">ROUND(D22*E22/10000,0)</f>
        <v>1132</v>
      </c>
      <c r="D22" s="2869">
        <f ca="1">IF(B1="",'数据-汇总表'!E6,IF(INDIRECT("'数据-取费表'!c"&amp;$K$1)="住宅",INDIRECT("'数据-取费表'!s"&amp;$K$1),INDIRECT("'数据-取费表'!k"&amp;$K$1)+INDIRECT("'数据-取费表'!s"&amp;$K$1)))</f>
        <v>94353.149999999965</v>
      </c>
      <c r="E22" s="53">
        <f>'数据-取费表'!B28</f>
        <v>120</v>
      </c>
      <c r="F22" s="2872"/>
      <c r="G22" s="26"/>
      <c r="H22" s="51"/>
      <c r="I22" s="51"/>
      <c r="J22" s="51"/>
      <c r="K22" s="2844"/>
    </row>
    <row r="23" spans="1:14" s="2117" customFormat="1" ht="13.5" customHeight="1">
      <c r="A23" s="2875" t="s">
        <v>1858</v>
      </c>
      <c r="B23" s="3060" t="s">
        <v>2834</v>
      </c>
      <c r="C23" s="2877">
        <f ca="1">ROUND((C18+C19+C20)*F23,0)</f>
        <v>2234</v>
      </c>
      <c r="D23" s="468"/>
      <c r="E23" s="468"/>
      <c r="F23" s="2881">
        <f>'数据-取费表'!B37</f>
        <v>0.02</v>
      </c>
      <c r="G23" s="2837" t="s">
        <v>2433</v>
      </c>
      <c r="H23" s="2838"/>
      <c r="I23" s="2838"/>
      <c r="J23" s="2838"/>
      <c r="K23" s="2839"/>
      <c r="L23" s="2119"/>
      <c r="M23" s="2119"/>
      <c r="N23" s="2119"/>
    </row>
    <row r="24" spans="1:14" s="2117" customFormat="1" ht="13.5" customHeight="1">
      <c r="A24" s="2875" t="s">
        <v>1859</v>
      </c>
      <c r="B24" s="3060" t="s">
        <v>2837</v>
      </c>
      <c r="C24" s="2877">
        <f ca="1">ROUND(C6*F24,0)</f>
        <v>4794</v>
      </c>
      <c r="D24" s="475"/>
      <c r="E24" s="473"/>
      <c r="F24" s="2881">
        <f>'数据-取费表'!B38</f>
        <v>1.4999999999999999E-2</v>
      </c>
      <c r="G24" s="2846" t="s">
        <v>498</v>
      </c>
      <c r="H24" s="2840"/>
      <c r="I24" s="2840"/>
      <c r="J24" s="2840"/>
      <c r="K24" s="279"/>
      <c r="L24" s="2119"/>
      <c r="M24" s="2119"/>
      <c r="N24" s="2119"/>
    </row>
    <row r="25" spans="1:14" s="2120" customFormat="1" ht="13.5" customHeight="1">
      <c r="A25" s="2875" t="s">
        <v>1860</v>
      </c>
      <c r="B25" s="3060" t="s">
        <v>2835</v>
      </c>
      <c r="C25" s="467">
        <f>ROUND(F25/(1+'数据-取费表'!C42),4)</f>
        <v>3.8600000000000002E-2</v>
      </c>
      <c r="D25" s="462" t="s">
        <v>2829</v>
      </c>
      <c r="E25" s="469"/>
      <c r="F25" s="2881">
        <f>'数据-取费表'!B48+'数据-取费表'!B49</f>
        <v>4.0500000000000001E-2</v>
      </c>
      <c r="G25" s="2845" t="s">
        <v>2290</v>
      </c>
      <c r="H25" s="2838"/>
      <c r="I25" s="2838"/>
      <c r="J25" s="2838"/>
      <c r="K25" s="2839"/>
    </row>
    <row r="26" spans="1:14" s="2119" customFormat="1" ht="13.5" customHeight="1">
      <c r="A26" s="2875" t="s">
        <v>1861</v>
      </c>
      <c r="B26" s="3061" t="s">
        <v>2836</v>
      </c>
      <c r="C26" s="2882">
        <f ca="1">C28</f>
        <v>7091</v>
      </c>
      <c r="D26" s="467">
        <f ca="1">C27</f>
        <v>0.1278</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0.1278</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2838</v>
      </c>
      <c r="C28" s="2885">
        <f ca="1">ROUND(IF('数据-取费表'!B22&lt;=1,(C18+C19+C20+C23+C24)*F26*'数据-取费表'!B24/2,(C18+C19+C20+C23+C24)*(POWER((1+F26),'数据-取费表'!B24/2)-1)),0)</f>
        <v>7091</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 ca="1">ROUND(C6*F29/(1+'数据-取费表'!C42),0)</f>
        <v>16741</v>
      </c>
      <c r="D29" s="468"/>
      <c r="E29" s="468"/>
      <c r="F29" s="3062">
        <f>'数据-取费表'!B41</f>
        <v>5.5000000000000007E-2</v>
      </c>
      <c r="G29" s="2846" t="s">
        <v>497</v>
      </c>
      <c r="H29" s="2838"/>
      <c r="I29" s="2838"/>
      <c r="J29" s="2838"/>
      <c r="K29" s="2839"/>
    </row>
    <row r="30" spans="1:14" s="2122" customFormat="1" ht="13.5" customHeight="1">
      <c r="A30" s="1635" t="s">
        <v>1863</v>
      </c>
      <c r="B30" s="2887" t="s">
        <v>499</v>
      </c>
      <c r="C30" s="2882">
        <f ca="1">C31</f>
        <v>142567</v>
      </c>
      <c r="D30" s="477">
        <f ca="1">C32</f>
        <v>0.16639999999999999</v>
      </c>
      <c r="E30" s="469" t="s">
        <v>494</v>
      </c>
      <c r="F30" s="471"/>
      <c r="G30" s="2845" t="s">
        <v>2962</v>
      </c>
      <c r="H30" s="2838"/>
      <c r="I30" s="2838"/>
      <c r="J30" s="2838"/>
      <c r="K30" s="2839"/>
    </row>
    <row r="31" spans="1:14" s="2121" customFormat="1" ht="13.5" customHeight="1">
      <c r="A31" s="803" t="s">
        <v>1856</v>
      </c>
      <c r="B31" s="2883"/>
      <c r="C31" s="450">
        <f ca="1">C18+C19+C20+C23+C24+C26+C29</f>
        <v>142567</v>
      </c>
      <c r="D31" s="472"/>
      <c r="E31" s="473"/>
      <c r="F31" s="474"/>
      <c r="G31" s="261"/>
      <c r="H31" s="2840"/>
      <c r="I31" s="2840"/>
      <c r="J31" s="2840"/>
      <c r="K31" s="279"/>
    </row>
    <row r="32" spans="1:14" s="2121" customFormat="1" ht="13.5" customHeight="1">
      <c r="A32" s="803" t="s">
        <v>1857</v>
      </c>
      <c r="B32" s="2883"/>
      <c r="C32" s="53">
        <f ca="1">ROUND(C25+D26,4)</f>
        <v>0.16639999999999999</v>
      </c>
      <c r="D32" s="472"/>
      <c r="E32" s="473"/>
      <c r="F32" s="474"/>
      <c r="G32" s="261"/>
      <c r="H32" s="2840"/>
      <c r="I32" s="2840"/>
      <c r="J32" s="2840"/>
      <c r="K32" s="279"/>
    </row>
    <row r="33" spans="1:11" s="2123" customFormat="1" ht="13.5" customHeight="1">
      <c r="A33" s="3059" t="s">
        <v>2833</v>
      </c>
      <c r="B33" s="3057" t="s">
        <v>2831</v>
      </c>
      <c r="C33" s="478">
        <f ca="1">C35</f>
        <v>10686</v>
      </c>
      <c r="D33" s="467">
        <f ca="1">C34</f>
        <v>9.35E-2</v>
      </c>
      <c r="E33" s="469" t="s">
        <v>494</v>
      </c>
      <c r="F33" s="479">
        <f ca="1">IF(B1="",'数据-取费表'!Q16,INDIRECT("'数据-取费表'!q"&amp;$K$1))</f>
        <v>0.09</v>
      </c>
      <c r="G33" s="2841"/>
      <c r="H33" s="2842"/>
      <c r="I33" s="2842"/>
      <c r="J33" s="2842"/>
      <c r="K33" s="2843"/>
    </row>
    <row r="34" spans="1:11" s="2124" customFormat="1" ht="13.5" customHeight="1">
      <c r="A34" s="375" t="s">
        <v>1856</v>
      </c>
      <c r="B34" s="2888" t="s">
        <v>500</v>
      </c>
      <c r="C34" s="472">
        <f ca="1">ROUND((1+C25)*F33,4)</f>
        <v>9.35E-2</v>
      </c>
      <c r="D34" s="472"/>
      <c r="E34" s="473"/>
      <c r="F34" s="480"/>
      <c r="G34" s="261" t="s">
        <v>2291</v>
      </c>
      <c r="H34" s="2840"/>
      <c r="I34" s="2840"/>
      <c r="J34" s="2840"/>
      <c r="K34" s="279"/>
    </row>
    <row r="35" spans="1:11" s="2124" customFormat="1" ht="13.5" customHeight="1" thickBot="1">
      <c r="A35" s="1636" t="s">
        <v>1857</v>
      </c>
      <c r="B35" s="3058" t="s">
        <v>2839</v>
      </c>
      <c r="C35" s="1628">
        <f ca="1">ROUND((C18+C19+C20+C23+C24)*F33,0)</f>
        <v>10686</v>
      </c>
      <c r="D35" s="1629"/>
      <c r="E35" s="2889"/>
      <c r="F35" s="1630"/>
      <c r="G35" s="2847"/>
      <c r="H35" s="2848"/>
      <c r="I35" s="2848"/>
      <c r="J35" s="2848"/>
      <c r="K35" s="2849"/>
    </row>
    <row r="36" spans="1:11" s="2086" customFormat="1" ht="13.5" customHeight="1" thickBot="1">
      <c r="A36" s="284" t="s">
        <v>1844</v>
      </c>
      <c r="B36" s="2851"/>
      <c r="C36" s="2890">
        <f ca="1">ROUND((C6-C30-C33)/(1+D30+D33),0)</f>
        <v>132032</v>
      </c>
      <c r="D36" s="2851"/>
      <c r="E36" s="2851"/>
      <c r="F36" s="2851"/>
      <c r="G36" s="2850" t="s">
        <v>2840</v>
      </c>
      <c r="H36" s="2851"/>
      <c r="I36" s="2851"/>
      <c r="J36" s="2851"/>
      <c r="K36" s="2852"/>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11</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2652</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90146</v>
      </c>
      <c r="D13" s="451"/>
      <c r="E13" s="365"/>
      <c r="F13" s="452"/>
      <c r="G13" s="444"/>
      <c r="H13" s="447"/>
      <c r="I13" s="447"/>
      <c r="J13" s="447"/>
      <c r="K13" s="448"/>
    </row>
    <row r="14" spans="1:41" s="2117" customFormat="1" ht="13.5" customHeight="1">
      <c r="A14" s="1633" t="s">
        <v>1849</v>
      </c>
      <c r="B14" s="449" t="s">
        <v>479</v>
      </c>
      <c r="C14" s="53">
        <f ca="1">ROUND(C13*F14,0)</f>
        <v>4507</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6945</v>
      </c>
      <c r="D15" s="451"/>
      <c r="E15" s="365"/>
      <c r="F15" s="453">
        <f>'数据-取费表'!B34</f>
        <v>0.1</v>
      </c>
      <c r="G15" s="444" t="s">
        <v>501</v>
      </c>
      <c r="H15" s="447"/>
      <c r="I15" s="447"/>
      <c r="J15" s="447"/>
      <c r="K15" s="448"/>
    </row>
    <row r="16" spans="1:41" s="2118" customFormat="1" ht="13.5" customHeight="1">
      <c r="A16" s="1633" t="s">
        <v>1851</v>
      </c>
      <c r="B16" s="449" t="s">
        <v>483</v>
      </c>
      <c r="C16" s="53">
        <f ca="1">ROUND(D16*E16/10000,0)</f>
        <v>5473</v>
      </c>
      <c r="D16" s="451">
        <f ca="1">IF(B1="",'数据-汇总表'!E3,INDIRECT("'数据-取费表'!K"&amp;$K$1)+INDIRECT("'数据-取费表'!S"&amp;$K$1))</f>
        <v>273671.8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1352</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108423</v>
      </c>
      <c r="D18" s="461"/>
      <c r="E18" s="462"/>
      <c r="F18" s="462"/>
      <c r="G18" s="1326" t="s">
        <v>2434</v>
      </c>
      <c r="H18" s="447"/>
      <c r="I18" s="447"/>
      <c r="J18" s="447"/>
      <c r="K18" s="448"/>
    </row>
    <row r="19" spans="1:14" s="2120" customFormat="1" ht="13.5" customHeight="1">
      <c r="A19" s="1634" t="s">
        <v>1854</v>
      </c>
      <c r="B19" s="459" t="s">
        <v>492</v>
      </c>
      <c r="C19" s="460">
        <f ca="1">ROUND(C18*F19,0)</f>
        <v>2168</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5">
        <f>F20</f>
        <v>1.4999999999999999E-2</v>
      </c>
      <c r="D20" s="469" t="s">
        <v>504</v>
      </c>
      <c r="E20" s="469"/>
      <c r="F20" s="486">
        <f>'数据-取费表'!B38</f>
        <v>1.4999999999999999E-2</v>
      </c>
      <c r="G20" s="1326" t="s">
        <v>505</v>
      </c>
      <c r="H20" s="447"/>
      <c r="I20" s="447"/>
      <c r="J20" s="447"/>
      <c r="K20" s="448"/>
      <c r="L20" s="2122"/>
      <c r="M20" s="2122"/>
      <c r="N20" s="2122"/>
    </row>
    <row r="21" spans="1:14" s="2122" customFormat="1" ht="13.5" customHeight="1">
      <c r="A21" s="1634" t="s">
        <v>1858</v>
      </c>
      <c r="B21" s="461" t="s">
        <v>493</v>
      </c>
      <c r="C21" s="470">
        <f ca="1">C22</f>
        <v>6605</v>
      </c>
      <c r="D21" s="467">
        <f ca="1">C23</f>
        <v>8.9999999999999998E-4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1848</v>
      </c>
      <c r="B22" s="1327" t="s">
        <v>2437</v>
      </c>
      <c r="C22" s="487">
        <f ca="1">ROUND(IF('数据-取费表'!B22&lt;=1,(C18+C19)*F21*'数据-取费表'!B20/2,(C18+C19)*(POWER((1+F21),'数据-取费表'!B20/2)-1)),0)</f>
        <v>6605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8.9999999999999998E-4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7" t="s">
        <v>2832</v>
      </c>
      <c r="C24" s="478">
        <f ca="1">C25</f>
        <v>9953</v>
      </c>
      <c r="D24" s="489">
        <f ca="1">C26</f>
        <v>1.4E-3</v>
      </c>
      <c r="E24" s="469" t="s">
        <v>506</v>
      </c>
      <c r="F24" s="479">
        <f ca="1">IF(B1="",'数据-取费表'!Q16,INDIRECT("'数据-取费表'!q"&amp;$K$1))</f>
        <v>0.09</v>
      </c>
      <c r="G24" s="444"/>
      <c r="H24" s="447"/>
      <c r="I24" s="447"/>
      <c r="J24" s="447"/>
      <c r="K24" s="448"/>
    </row>
    <row r="25" spans="1:14" s="2121" customFormat="1" ht="13.5" customHeight="1">
      <c r="A25" s="1633" t="s">
        <v>1848</v>
      </c>
      <c r="B25" s="1327" t="s">
        <v>2438</v>
      </c>
      <c r="C25" s="490">
        <f ca="1">ROUND((C18+C19)*F24,0)</f>
        <v>9953</v>
      </c>
      <c r="D25" s="472"/>
      <c r="E25" s="473"/>
      <c r="F25" s="480"/>
      <c r="G25" s="1325" t="s">
        <v>2435</v>
      </c>
      <c r="H25" s="457"/>
      <c r="I25" s="457"/>
      <c r="J25" s="457"/>
      <c r="K25" s="458"/>
    </row>
    <row r="26" spans="1:14" s="2121" customFormat="1" ht="13.5" customHeight="1">
      <c r="A26" s="1633" t="s">
        <v>1849</v>
      </c>
      <c r="B26" s="1327" t="s">
        <v>508</v>
      </c>
      <c r="C26" s="491">
        <f ca="1">ROUND(F20*F24,4)</f>
        <v>1.4E-3</v>
      </c>
      <c r="D26" s="472"/>
      <c r="E26" s="481"/>
      <c r="F26" s="480"/>
      <c r="G26" s="1325" t="s">
        <v>509</v>
      </c>
      <c r="H26" s="457"/>
      <c r="I26" s="457"/>
      <c r="J26" s="457"/>
      <c r="K26" s="458"/>
    </row>
    <row r="27" spans="1:14" s="2121" customFormat="1" ht="13.5" customHeight="1">
      <c r="A27" s="1637" t="s">
        <v>1867</v>
      </c>
      <c r="B27" s="459" t="s">
        <v>510</v>
      </c>
      <c r="C27" s="3056">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7" t="s">
        <v>1868</v>
      </c>
      <c r="B28" s="476" t="s">
        <v>511</v>
      </c>
      <c r="C28" s="470">
        <f ca="1">ROUND((C18+C19+C21+C24)/(1-C20-D21-D24-C27),0)</f>
        <v>136675</v>
      </c>
      <c r="D28" s="477"/>
      <c r="E28" s="469"/>
      <c r="F28" s="471"/>
      <c r="G28" s="1326"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507" t="s">
        <v>1865</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433" t="s">
        <v>521</v>
      </c>
      <c r="D6" s="3434"/>
      <c r="E6" s="3470" t="s">
        <v>522</v>
      </c>
      <c r="F6" s="3471"/>
      <c r="G6" s="3433" t="s">
        <v>523</v>
      </c>
      <c r="H6" s="3434"/>
      <c r="I6" s="3433" t="s">
        <v>524</v>
      </c>
      <c r="J6" s="3434"/>
      <c r="K6" s="514" t="s">
        <v>525</v>
      </c>
      <c r="L6" s="2134"/>
      <c r="M6" s="2135"/>
      <c r="N6" s="2135"/>
      <c r="O6" s="2135"/>
      <c r="P6" s="3435" t="s">
        <v>526</v>
      </c>
      <c r="Q6" s="3436"/>
      <c r="R6" s="3441" t="s">
        <v>522</v>
      </c>
      <c r="S6" s="3442"/>
      <c r="T6" s="3441" t="s">
        <v>523</v>
      </c>
      <c r="U6" s="3442"/>
      <c r="V6" s="3428" t="s">
        <v>524</v>
      </c>
      <c r="W6" s="3428"/>
      <c r="X6" s="1567"/>
      <c r="Y6" s="3441" t="s">
        <v>526</v>
      </c>
      <c r="Z6" s="3442"/>
      <c r="AA6" s="3430" t="s">
        <v>522</v>
      </c>
      <c r="AB6" s="3431" t="s">
        <v>523</v>
      </c>
      <c r="AC6" s="3430" t="s">
        <v>524</v>
      </c>
    </row>
    <row r="7" spans="1:29" ht="15">
      <c r="A7" s="515"/>
      <c r="B7" s="516"/>
      <c r="C7" s="3451" t="s">
        <v>2916</v>
      </c>
      <c r="D7" s="3450"/>
      <c r="E7" s="3472" t="s">
        <v>2917</v>
      </c>
      <c r="F7" s="3473"/>
      <c r="G7" s="3451" t="s">
        <v>2918</v>
      </c>
      <c r="H7" s="3450"/>
      <c r="I7" s="3451" t="s">
        <v>2919</v>
      </c>
      <c r="J7" s="3450"/>
      <c r="K7" s="514"/>
      <c r="L7" s="2134"/>
      <c r="M7" s="2135"/>
      <c r="N7" s="2135"/>
      <c r="O7" s="2135"/>
      <c r="P7" s="3437"/>
      <c r="Q7" s="3438"/>
      <c r="R7" s="3443"/>
      <c r="S7" s="3444"/>
      <c r="T7" s="3443"/>
      <c r="U7" s="3444"/>
      <c r="V7" s="3428"/>
      <c r="W7" s="3428"/>
      <c r="X7" s="1567"/>
      <c r="Y7" s="3443"/>
      <c r="Z7" s="3444"/>
      <c r="AA7" s="3431"/>
      <c r="AB7" s="3431"/>
      <c r="AC7" s="3431"/>
    </row>
    <row r="8" spans="1:29" ht="15.75" thickBot="1">
      <c r="A8" s="517"/>
      <c r="B8" s="518"/>
      <c r="C8" s="3467" t="s">
        <v>2920</v>
      </c>
      <c r="D8" s="3448"/>
      <c r="E8" s="3468" t="s">
        <v>2920</v>
      </c>
      <c r="F8" s="3469"/>
      <c r="G8" s="3467" t="s">
        <v>2920</v>
      </c>
      <c r="H8" s="3448"/>
      <c r="I8" s="3467" t="s">
        <v>2920</v>
      </c>
      <c r="J8" s="3448"/>
      <c r="K8" s="514" t="s">
        <v>527</v>
      </c>
      <c r="L8" s="2134"/>
      <c r="M8" s="2135"/>
      <c r="N8" s="2135"/>
      <c r="O8" s="2135"/>
      <c r="P8" s="3439"/>
      <c r="Q8" s="3440"/>
      <c r="R8" s="3443"/>
      <c r="S8" s="3444"/>
      <c r="T8" s="3445"/>
      <c r="U8" s="3446"/>
      <c r="V8" s="3428"/>
      <c r="W8" s="3428"/>
      <c r="X8" s="1567"/>
      <c r="Y8" s="3445"/>
      <c r="Z8" s="3446"/>
      <c r="AA8" s="3432"/>
      <c r="AB8" s="3432"/>
      <c r="AC8" s="3432"/>
    </row>
    <row r="9" spans="1:29" s="1219" customFormat="1" ht="15.75" thickBot="1">
      <c r="A9" s="2937"/>
      <c r="B9" s="2944" t="s">
        <v>528</v>
      </c>
      <c r="C9" s="519">
        <f>'数据-取费表'!B2</f>
        <v>43217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60" t="s">
        <v>529</v>
      </c>
      <c r="Q9" s="3462"/>
      <c r="R9" s="1568" t="s">
        <v>8</v>
      </c>
      <c r="S9" s="1569">
        <f t="shared" ref="S9:S17" si="0">F9</f>
        <v>0</v>
      </c>
      <c r="T9" s="1568" t="s">
        <v>8</v>
      </c>
      <c r="U9" s="1569">
        <f t="shared" ref="U9:U17" si="1">H9</f>
        <v>0</v>
      </c>
      <c r="V9" s="1568" t="s">
        <v>8</v>
      </c>
      <c r="W9" s="1569">
        <f t="shared" ref="W9:W17" si="2">J9</f>
        <v>0</v>
      </c>
      <c r="X9" s="1570"/>
      <c r="Y9" s="3460" t="s">
        <v>529</v>
      </c>
      <c r="Z9" s="3461"/>
      <c r="AA9" s="1571" t="e">
        <f>D9/F9</f>
        <v>#DIV/0!</v>
      </c>
      <c r="AB9" s="1571" t="e">
        <f>D9/H9</f>
        <v>#DIV/0!</v>
      </c>
      <c r="AC9" s="1571" t="e">
        <f>D9/J9</f>
        <v>#DIV/0!</v>
      </c>
    </row>
    <row r="10" spans="1:29" s="1219"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60" t="s">
        <v>532</v>
      </c>
      <c r="Q10" s="3461"/>
      <c r="R10" s="1568" t="s">
        <v>8</v>
      </c>
      <c r="S10" s="1569">
        <f t="shared" si="0"/>
        <v>0</v>
      </c>
      <c r="T10" s="1568" t="s">
        <v>8</v>
      </c>
      <c r="U10" s="1569">
        <f t="shared" si="1"/>
        <v>0</v>
      </c>
      <c r="V10" s="1568" t="s">
        <v>8</v>
      </c>
      <c r="W10" s="1569">
        <f t="shared" si="2"/>
        <v>0</v>
      </c>
      <c r="X10" s="1570"/>
      <c r="Y10" s="3460" t="s">
        <v>532</v>
      </c>
      <c r="Z10" s="3461"/>
      <c r="AA10" s="1571" t="e">
        <f t="shared" ref="AA10:AA42" si="3">D10/F10</f>
        <v>#DIV/0!</v>
      </c>
      <c r="AB10" s="1571" t="e">
        <f t="shared" ref="AB10:AB42" si="4">D10/H10</f>
        <v>#DIV/0!</v>
      </c>
      <c r="AC10" s="1571" t="e">
        <f t="shared" ref="AC10:AC42" si="5">D10/J10</f>
        <v>#DIV/0!</v>
      </c>
    </row>
    <row r="11" spans="1:29" s="1219" customFormat="1" ht="15">
      <c r="A11" s="2939"/>
      <c r="B11" s="2946"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7" t="s">
        <v>534</v>
      </c>
      <c r="Q11" s="1150" t="str">
        <f t="shared" ref="Q11:Q17" si="6">B11</f>
        <v>用途</v>
      </c>
      <c r="R11" s="1568" t="s">
        <v>8</v>
      </c>
      <c r="S11" s="1569">
        <f t="shared" si="0"/>
        <v>100</v>
      </c>
      <c r="T11" s="1568" t="s">
        <v>8</v>
      </c>
      <c r="U11" s="1569">
        <f t="shared" si="1"/>
        <v>100</v>
      </c>
      <c r="V11" s="1568" t="s">
        <v>8</v>
      </c>
      <c r="W11" s="1569">
        <f t="shared" si="2"/>
        <v>100</v>
      </c>
      <c r="X11" s="1570"/>
      <c r="Y11" s="3366" t="s">
        <v>535</v>
      </c>
      <c r="Z11" s="1149" t="str">
        <f t="shared" ref="Z11:Z17" si="7">Q11</f>
        <v>用途</v>
      </c>
      <c r="AA11" s="1571">
        <f t="shared" si="3"/>
        <v>1</v>
      </c>
      <c r="AB11" s="1571">
        <f t="shared" si="4"/>
        <v>1</v>
      </c>
      <c r="AC11" s="1571">
        <f t="shared" si="5"/>
        <v>1</v>
      </c>
    </row>
    <row r="12" spans="1:29" s="1337" customFormat="1" ht="27">
      <c r="A12" s="2940"/>
      <c r="B12" s="2945"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27"/>
      <c r="Q12" s="1150" t="str">
        <f t="shared" si="6"/>
        <v>土地使用年限（年）</v>
      </c>
      <c r="R12" s="1568" t="s">
        <v>8</v>
      </c>
      <c r="S12" s="1569">
        <f t="shared" si="0"/>
        <v>101</v>
      </c>
      <c r="T12" s="1568" t="s">
        <v>8</v>
      </c>
      <c r="U12" s="1569">
        <f t="shared" si="1"/>
        <v>101</v>
      </c>
      <c r="V12" s="1568" t="s">
        <v>8</v>
      </c>
      <c r="W12" s="1569">
        <f t="shared" si="2"/>
        <v>101</v>
      </c>
      <c r="X12" s="1570"/>
      <c r="Y12" s="3366"/>
      <c r="Z12" s="1149" t="str">
        <f t="shared" si="7"/>
        <v>土地使用年限（年）</v>
      </c>
      <c r="AA12" s="1571">
        <f t="shared" si="3"/>
        <v>0.99009900990099009</v>
      </c>
      <c r="AB12" s="1571">
        <f t="shared" si="4"/>
        <v>0.99009900990099009</v>
      </c>
      <c r="AC12" s="1571">
        <f t="shared" si="5"/>
        <v>0.99009900990099009</v>
      </c>
    </row>
    <row r="13" spans="1:29" ht="15">
      <c r="A13" s="2941"/>
      <c r="B13" s="294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7"/>
      <c r="Q13" s="1150" t="str">
        <f t="shared" si="6"/>
        <v>容积率</v>
      </c>
      <c r="R13" s="1568" t="s">
        <v>8</v>
      </c>
      <c r="S13" s="1569" t="e">
        <f t="shared" si="0"/>
        <v>#N/A</v>
      </c>
      <c r="T13" s="1568" t="s">
        <v>8</v>
      </c>
      <c r="U13" s="1569" t="e">
        <f t="shared" si="1"/>
        <v>#N/A</v>
      </c>
      <c r="V13" s="1568" t="s">
        <v>8</v>
      </c>
      <c r="W13" s="1569" t="e">
        <f t="shared" si="2"/>
        <v>#N/A</v>
      </c>
      <c r="X13" s="1570"/>
      <c r="Y13" s="3366"/>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7"/>
      <c r="Q14" s="1150">
        <f t="shared" si="6"/>
        <v>111</v>
      </c>
      <c r="R14" s="1568" t="s">
        <v>8</v>
      </c>
      <c r="S14" s="1569">
        <f t="shared" si="0"/>
        <v>100</v>
      </c>
      <c r="T14" s="1568" t="s">
        <v>8</v>
      </c>
      <c r="U14" s="1569">
        <f t="shared" si="1"/>
        <v>100</v>
      </c>
      <c r="V14" s="1568" t="s">
        <v>8</v>
      </c>
      <c r="W14" s="1569">
        <f t="shared" si="2"/>
        <v>100</v>
      </c>
      <c r="X14" s="1570"/>
      <c r="Y14" s="3366"/>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7"/>
      <c r="Q15" s="1150">
        <f t="shared" si="6"/>
        <v>111</v>
      </c>
      <c r="R15" s="1568" t="s">
        <v>8</v>
      </c>
      <c r="S15" s="1569">
        <f t="shared" si="0"/>
        <v>100</v>
      </c>
      <c r="T15" s="1568" t="s">
        <v>8</v>
      </c>
      <c r="U15" s="1569">
        <f t="shared" si="1"/>
        <v>100</v>
      </c>
      <c r="V15" s="1568" t="s">
        <v>8</v>
      </c>
      <c r="W15" s="1569">
        <f t="shared" si="2"/>
        <v>100</v>
      </c>
      <c r="X15" s="1570"/>
      <c r="Y15" s="3366"/>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7"/>
      <c r="Q16" s="1150">
        <f t="shared" si="6"/>
        <v>111</v>
      </c>
      <c r="R16" s="1568" t="s">
        <v>8</v>
      </c>
      <c r="S16" s="1569">
        <f t="shared" si="0"/>
        <v>100</v>
      </c>
      <c r="T16" s="1568" t="s">
        <v>8</v>
      </c>
      <c r="U16" s="1569">
        <f t="shared" si="1"/>
        <v>100</v>
      </c>
      <c r="V16" s="1568" t="s">
        <v>8</v>
      </c>
      <c r="W16" s="1569">
        <f t="shared" si="2"/>
        <v>100</v>
      </c>
      <c r="X16" s="1570"/>
      <c r="Y16" s="3366"/>
      <c r="Z16" s="1149">
        <f t="shared" si="7"/>
        <v>111</v>
      </c>
      <c r="AA16" s="1571">
        <f t="shared" si="3"/>
        <v>1</v>
      </c>
      <c r="AB16" s="1571">
        <f t="shared" si="4"/>
        <v>1</v>
      </c>
      <c r="AC16" s="1571">
        <f t="shared" si="5"/>
        <v>1</v>
      </c>
    </row>
    <row r="17" spans="1:29" ht="15">
      <c r="A17" s="2935" t="s">
        <v>2754</v>
      </c>
      <c r="B17" s="166" t="s">
        <v>597</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63" t="s">
        <v>539</v>
      </c>
      <c r="Q17" s="1572" t="str">
        <f t="shared" si="6"/>
        <v>产业集聚程度</v>
      </c>
      <c r="R17" s="1573" t="s">
        <v>8</v>
      </c>
      <c r="S17" s="1574">
        <f t="shared" si="0"/>
        <v>100</v>
      </c>
      <c r="T17" s="1573" t="s">
        <v>8</v>
      </c>
      <c r="U17" s="1574">
        <f t="shared" si="1"/>
        <v>100</v>
      </c>
      <c r="V17" s="1573" t="s">
        <v>8</v>
      </c>
      <c r="W17" s="1574">
        <f t="shared" si="2"/>
        <v>100</v>
      </c>
      <c r="X17" s="1567"/>
      <c r="Y17" s="3463"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64"/>
      <c r="Q18" s="1572"/>
      <c r="R18" s="1573"/>
      <c r="S18" s="1574"/>
      <c r="T18" s="1573"/>
      <c r="U18" s="1574"/>
      <c r="V18" s="1573"/>
      <c r="W18" s="1574"/>
      <c r="X18" s="1567"/>
      <c r="Y18" s="3464"/>
      <c r="Z18" s="1575"/>
      <c r="AA18" s="1576">
        <v>1</v>
      </c>
      <c r="AB18" s="1576">
        <v>1</v>
      </c>
      <c r="AC18" s="1576">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64"/>
      <c r="Q19" s="1572" t="str">
        <f>B19</f>
        <v>交通便捷度</v>
      </c>
      <c r="R19" s="1573" t="s">
        <v>8</v>
      </c>
      <c r="S19" s="1574">
        <f>F19</f>
        <v>100</v>
      </c>
      <c r="T19" s="1573" t="s">
        <v>8</v>
      </c>
      <c r="U19" s="1574">
        <f>H19</f>
        <v>100</v>
      </c>
      <c r="V19" s="1573" t="s">
        <v>8</v>
      </c>
      <c r="W19" s="1574">
        <f>J19</f>
        <v>100</v>
      </c>
      <c r="X19" s="1567"/>
      <c r="Y19" s="346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64"/>
      <c r="Q20" s="1572"/>
      <c r="R20" s="1573"/>
      <c r="S20" s="1574"/>
      <c r="T20" s="1573"/>
      <c r="U20" s="1574"/>
      <c r="V20" s="1573"/>
      <c r="W20" s="1574"/>
      <c r="X20" s="1567"/>
      <c r="Y20" s="3464"/>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64"/>
      <c r="Q21" s="1572" t="str">
        <f t="shared" ref="Q21:Q35" si="8">B21</f>
        <v>区域土地利用方向</v>
      </c>
      <c r="R21" s="1573" t="s">
        <v>8</v>
      </c>
      <c r="S21" s="1574">
        <f>F21</f>
        <v>100</v>
      </c>
      <c r="T21" s="1573" t="s">
        <v>8</v>
      </c>
      <c r="U21" s="1574">
        <f>H21</f>
        <v>100</v>
      </c>
      <c r="V21" s="1573" t="s">
        <v>8</v>
      </c>
      <c r="W21" s="1574">
        <f>J21</f>
        <v>100</v>
      </c>
      <c r="X21" s="1567"/>
      <c r="Y21" s="346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64"/>
      <c r="Q22" s="1572"/>
      <c r="R22" s="1573"/>
      <c r="S22" s="1574"/>
      <c r="T22" s="1573"/>
      <c r="U22" s="1574"/>
      <c r="V22" s="1573"/>
      <c r="W22" s="1574"/>
      <c r="X22" s="1567"/>
      <c r="Y22" s="3464"/>
      <c r="Z22" s="1575"/>
      <c r="AA22" s="1576"/>
      <c r="AB22" s="1576"/>
      <c r="AC22" s="1576"/>
    </row>
    <row r="23" spans="1:29" ht="15">
      <c r="A23" s="515"/>
      <c r="B23" s="921"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64"/>
      <c r="Q23" s="1572" t="str">
        <f t="shared" si="8"/>
        <v>环境状况</v>
      </c>
      <c r="R23" s="1573" t="s">
        <v>8</v>
      </c>
      <c r="S23" s="1574">
        <f>F23</f>
        <v>100</v>
      </c>
      <c r="T23" s="1573" t="s">
        <v>8</v>
      </c>
      <c r="U23" s="1574">
        <f>H23</f>
        <v>100</v>
      </c>
      <c r="V23" s="1573" t="s">
        <v>8</v>
      </c>
      <c r="W23" s="1574">
        <f>J23</f>
        <v>100</v>
      </c>
      <c r="X23" s="1567"/>
      <c r="Y23" s="346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64"/>
      <c r="Q24" s="1572"/>
      <c r="R24" s="1573"/>
      <c r="S24" s="1574"/>
      <c r="T24" s="1573"/>
      <c r="U24" s="1574"/>
      <c r="V24" s="1573"/>
      <c r="W24" s="1574"/>
      <c r="X24" s="1567"/>
      <c r="Y24" s="3464"/>
      <c r="Z24" s="1575"/>
      <c r="AA24" s="1576">
        <v>1</v>
      </c>
      <c r="AB24" s="1576">
        <v>1</v>
      </c>
      <c r="AC24" s="1576">
        <v>1</v>
      </c>
    </row>
    <row r="25" spans="1:29" s="1219" customFormat="1" ht="15">
      <c r="A25" s="577"/>
      <c r="B25" s="2618" t="s">
        <v>2548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64"/>
      <c r="Q25" s="1150" t="str">
        <f t="shared" si="8"/>
        <v>公共配套设施</v>
      </c>
      <c r="R25" s="1568" t="s">
        <v>8</v>
      </c>
      <c r="S25" s="1569">
        <f>F25</f>
        <v>100</v>
      </c>
      <c r="T25" s="1568" t="s">
        <v>8</v>
      </c>
      <c r="U25" s="1569">
        <f>H25</f>
        <v>100</v>
      </c>
      <c r="V25" s="1568" t="s">
        <v>8</v>
      </c>
      <c r="W25" s="1569">
        <f>J25</f>
        <v>100</v>
      </c>
      <c r="X25" s="1570"/>
      <c r="Y25" s="3464"/>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464"/>
      <c r="Q26" s="1150"/>
      <c r="R26" s="1568"/>
      <c r="S26" s="1569"/>
      <c r="T26" s="1568"/>
      <c r="U26" s="1569"/>
      <c r="V26" s="1568"/>
      <c r="W26" s="1569"/>
      <c r="X26" s="1570"/>
      <c r="Y26" s="3464"/>
      <c r="Z26" s="1149"/>
      <c r="AA26" s="1571">
        <v>1</v>
      </c>
      <c r="AB26" s="1571">
        <v>1</v>
      </c>
      <c r="AC26" s="1571">
        <v>1</v>
      </c>
    </row>
    <row r="27" spans="1:29" s="1219" customFormat="1" ht="15">
      <c r="A27" s="577"/>
      <c r="B27" s="2618" t="s">
        <v>2549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64"/>
      <c r="Q27" s="2603" t="str">
        <f t="shared" ref="Q27" si="9">B27</f>
        <v>基础设施水平</v>
      </c>
      <c r="R27" s="1568" t="s">
        <v>8</v>
      </c>
      <c r="S27" s="1569">
        <f>F27</f>
        <v>100</v>
      </c>
      <c r="T27" s="1568" t="s">
        <v>8</v>
      </c>
      <c r="U27" s="1569">
        <f>H27</f>
        <v>100</v>
      </c>
      <c r="V27" s="1568" t="s">
        <v>8</v>
      </c>
      <c r="W27" s="1569">
        <f>J27</f>
        <v>100</v>
      </c>
      <c r="X27" s="1570"/>
      <c r="Y27" s="3464"/>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464"/>
      <c r="Q28" s="2603"/>
      <c r="R28" s="1568"/>
      <c r="S28" s="1569"/>
      <c r="T28" s="1568"/>
      <c r="U28" s="1569"/>
      <c r="V28" s="1568"/>
      <c r="W28" s="1569"/>
      <c r="X28" s="1570"/>
      <c r="Y28" s="3464"/>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6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64"/>
      <c r="Z29" s="1575" t="str">
        <f t="shared" ref="Z29:Z42" si="13">Q29</f>
        <v>临街状况</v>
      </c>
      <c r="AA29" s="1576">
        <f t="shared" si="3"/>
        <v>1</v>
      </c>
      <c r="AB29" s="1576">
        <f t="shared" si="4"/>
        <v>1</v>
      </c>
      <c r="AC29" s="1576">
        <f t="shared" si="5"/>
        <v>1</v>
      </c>
    </row>
    <row r="30" spans="1:29" ht="27">
      <c r="A30" s="532"/>
      <c r="B30" s="921"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64"/>
      <c r="Q30" s="1572" t="str">
        <f t="shared" si="8"/>
        <v>毗邻道路的类型与等级</v>
      </c>
      <c r="R30" s="1573" t="s">
        <v>8</v>
      </c>
      <c r="S30" s="1574">
        <f t="shared" si="10"/>
        <v>100</v>
      </c>
      <c r="T30" s="1573" t="s">
        <v>8</v>
      </c>
      <c r="U30" s="1574">
        <f t="shared" si="11"/>
        <v>100</v>
      </c>
      <c r="V30" s="1573" t="s">
        <v>8</v>
      </c>
      <c r="W30" s="1574">
        <f t="shared" si="12"/>
        <v>100</v>
      </c>
      <c r="X30" s="1567"/>
      <c r="Y30" s="346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64"/>
      <c r="Q31" s="1572"/>
      <c r="R31" s="1573"/>
      <c r="S31" s="1574"/>
      <c r="T31" s="1573"/>
      <c r="U31" s="1574"/>
      <c r="V31" s="1573"/>
      <c r="W31" s="1574"/>
      <c r="X31" s="1567"/>
      <c r="Y31" s="3464"/>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64"/>
      <c r="Q32" s="1572" t="str">
        <f t="shared" si="8"/>
        <v>土地级别</v>
      </c>
      <c r="R32" s="1573" t="s">
        <v>8</v>
      </c>
      <c r="S32" s="1574">
        <f t="shared" si="10"/>
        <v>100</v>
      </c>
      <c r="T32" s="1573" t="s">
        <v>8</v>
      </c>
      <c r="U32" s="1574">
        <f t="shared" si="11"/>
        <v>100</v>
      </c>
      <c r="V32" s="1573" t="s">
        <v>8</v>
      </c>
      <c r="W32" s="1574">
        <f t="shared" si="12"/>
        <v>100</v>
      </c>
      <c r="X32" s="1567"/>
      <c r="Y32" s="346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64"/>
      <c r="Q33" s="1572">
        <f t="shared" si="8"/>
        <v>111</v>
      </c>
      <c r="R33" s="1573" t="s">
        <v>8</v>
      </c>
      <c r="S33" s="1574">
        <f t="shared" si="10"/>
        <v>100</v>
      </c>
      <c r="T33" s="1573" t="s">
        <v>8</v>
      </c>
      <c r="U33" s="1574">
        <f t="shared" si="11"/>
        <v>100</v>
      </c>
      <c r="V33" s="1573" t="s">
        <v>8</v>
      </c>
      <c r="W33" s="1574">
        <f t="shared" si="12"/>
        <v>100</v>
      </c>
      <c r="X33" s="1567"/>
      <c r="Y33" s="346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65" t="s">
        <v>549</v>
      </c>
      <c r="Q34" s="1572">
        <f t="shared" si="8"/>
        <v>111</v>
      </c>
      <c r="R34" s="1573" t="s">
        <v>8</v>
      </c>
      <c r="S34" s="1574">
        <f t="shared" si="10"/>
        <v>100</v>
      </c>
      <c r="T34" s="1573" t="s">
        <v>8</v>
      </c>
      <c r="U34" s="1574">
        <f t="shared" si="11"/>
        <v>100</v>
      </c>
      <c r="V34" s="1573" t="s">
        <v>8</v>
      </c>
      <c r="W34" s="1574">
        <f t="shared" si="12"/>
        <v>100</v>
      </c>
      <c r="X34" s="1567"/>
      <c r="Y34" s="3466" t="s">
        <v>549</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66"/>
      <c r="Q35" s="1572">
        <f t="shared" si="8"/>
        <v>111</v>
      </c>
      <c r="R35" s="1577" t="s">
        <v>8</v>
      </c>
      <c r="S35" s="1578">
        <f t="shared" si="10"/>
        <v>100</v>
      </c>
      <c r="T35" s="1577" t="s">
        <v>8</v>
      </c>
      <c r="U35" s="1578">
        <f t="shared" si="11"/>
        <v>100</v>
      </c>
      <c r="V35" s="1577" t="s">
        <v>8</v>
      </c>
      <c r="W35" s="1578">
        <f t="shared" si="12"/>
        <v>100</v>
      </c>
      <c r="X35" s="1579"/>
      <c r="Y35" s="3466"/>
      <c r="Z35" s="1580">
        <f t="shared" si="13"/>
        <v>111</v>
      </c>
      <c r="AA35" s="1576">
        <f t="shared" si="3"/>
        <v>1</v>
      </c>
      <c r="AB35" s="1576">
        <f t="shared" si="4"/>
        <v>1</v>
      </c>
      <c r="AC35" s="1576">
        <f t="shared" si="5"/>
        <v>1</v>
      </c>
    </row>
    <row r="36" spans="1:29" ht="15">
      <c r="A36" s="2932"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66"/>
      <c r="Q36" s="1572" t="str">
        <f>B36</f>
        <v>宗地面积</v>
      </c>
      <c r="R36" s="1573" t="s">
        <v>8</v>
      </c>
      <c r="S36" s="1574" t="e">
        <f t="shared" si="10"/>
        <v>#N/A</v>
      </c>
      <c r="T36" s="1573" t="s">
        <v>8</v>
      </c>
      <c r="U36" s="1574" t="e">
        <f t="shared" si="11"/>
        <v>#N/A</v>
      </c>
      <c r="V36" s="1573" t="s">
        <v>8</v>
      </c>
      <c r="W36" s="1574" t="e">
        <f t="shared" si="12"/>
        <v>#N/A</v>
      </c>
      <c r="X36" s="1567"/>
      <c r="Y36" s="3466"/>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66"/>
      <c r="Q37" s="1572" t="str">
        <f t="shared" ref="Q37:Q42" si="14">B37</f>
        <v>宗地形状</v>
      </c>
      <c r="R37" s="1573" t="s">
        <v>8</v>
      </c>
      <c r="S37" s="1574">
        <f t="shared" si="10"/>
        <v>100</v>
      </c>
      <c r="T37" s="1573" t="s">
        <v>8</v>
      </c>
      <c r="U37" s="1574">
        <f t="shared" si="11"/>
        <v>100</v>
      </c>
      <c r="V37" s="1573" t="s">
        <v>8</v>
      </c>
      <c r="W37" s="1574">
        <f t="shared" si="12"/>
        <v>100</v>
      </c>
      <c r="X37" s="1567"/>
      <c r="Y37" s="3466"/>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66"/>
      <c r="Q38" s="1572" t="str">
        <f t="shared" si="14"/>
        <v>宗地开发程度</v>
      </c>
      <c r="R38" s="1568" t="s">
        <v>8</v>
      </c>
      <c r="S38" s="1569">
        <f t="shared" si="10"/>
        <v>100</v>
      </c>
      <c r="T38" s="1568" t="s">
        <v>8</v>
      </c>
      <c r="U38" s="1569">
        <f t="shared" si="11"/>
        <v>100</v>
      </c>
      <c r="V38" s="1568" t="s">
        <v>8</v>
      </c>
      <c r="W38" s="1569">
        <f t="shared" si="12"/>
        <v>100</v>
      </c>
      <c r="X38" s="1570"/>
      <c r="Y38" s="3466"/>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66" t="s">
        <v>600</v>
      </c>
      <c r="Q39" s="1572" t="str">
        <f t="shared" si="14"/>
        <v>工程地质条件</v>
      </c>
      <c r="R39" s="1573" t="s">
        <v>8</v>
      </c>
      <c r="S39" s="1574">
        <f t="shared" si="10"/>
        <v>100</v>
      </c>
      <c r="T39" s="1573" t="s">
        <v>8</v>
      </c>
      <c r="U39" s="1574">
        <f t="shared" si="11"/>
        <v>100</v>
      </c>
      <c r="V39" s="1573" t="s">
        <v>8</v>
      </c>
      <c r="W39" s="1574">
        <f t="shared" si="12"/>
        <v>100</v>
      </c>
      <c r="X39" s="1567"/>
      <c r="Y39" s="3466"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66"/>
      <c r="Q40" s="1572">
        <f t="shared" si="14"/>
        <v>111</v>
      </c>
      <c r="R40" s="1573" t="s">
        <v>8</v>
      </c>
      <c r="S40" s="1574">
        <f t="shared" si="10"/>
        <v>100</v>
      </c>
      <c r="T40" s="1573" t="s">
        <v>8</v>
      </c>
      <c r="U40" s="1574">
        <f t="shared" si="11"/>
        <v>100</v>
      </c>
      <c r="V40" s="1573" t="s">
        <v>8</v>
      </c>
      <c r="W40" s="1574">
        <f t="shared" si="12"/>
        <v>100</v>
      </c>
      <c r="X40" s="1567"/>
      <c r="Y40" s="346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66"/>
      <c r="Q41" s="1572">
        <f t="shared" si="14"/>
        <v>111</v>
      </c>
      <c r="R41" s="1573" t="s">
        <v>8</v>
      </c>
      <c r="S41" s="1574">
        <f t="shared" si="10"/>
        <v>100</v>
      </c>
      <c r="T41" s="1573" t="s">
        <v>8</v>
      </c>
      <c r="U41" s="1574">
        <f t="shared" si="11"/>
        <v>100</v>
      </c>
      <c r="V41" s="1573" t="s">
        <v>8</v>
      </c>
      <c r="W41" s="1574">
        <f t="shared" si="12"/>
        <v>100</v>
      </c>
      <c r="X41" s="1567"/>
      <c r="Y41" s="346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66"/>
      <c r="Q42" s="1572">
        <f t="shared" si="14"/>
        <v>111</v>
      </c>
      <c r="R42" s="1577" t="s">
        <v>8</v>
      </c>
      <c r="S42" s="1578">
        <f t="shared" si="10"/>
        <v>100</v>
      </c>
      <c r="T42" s="1577" t="s">
        <v>8</v>
      </c>
      <c r="U42" s="1578">
        <f t="shared" si="11"/>
        <v>100</v>
      </c>
      <c r="V42" s="1577" t="s">
        <v>8</v>
      </c>
      <c r="W42" s="1578">
        <f t="shared" si="12"/>
        <v>100</v>
      </c>
      <c r="X42" s="1579"/>
      <c r="Y42" s="3466"/>
      <c r="Z42" s="1580">
        <f t="shared" si="13"/>
        <v>111</v>
      </c>
      <c r="AA42" s="1576">
        <f t="shared" si="3"/>
        <v>1</v>
      </c>
      <c r="AB42" s="1576">
        <f t="shared" si="4"/>
        <v>1</v>
      </c>
      <c r="AC42" s="1576">
        <f t="shared" si="5"/>
        <v>1</v>
      </c>
    </row>
    <row r="43" spans="1:29" ht="15">
      <c r="A43" s="607" t="s">
        <v>555</v>
      </c>
      <c r="B43" s="608" t="s">
        <v>2921</v>
      </c>
      <c r="C43" s="609" t="s">
        <v>1</v>
      </c>
      <c r="D43" s="610"/>
      <c r="E43" s="611"/>
      <c r="F43" s="612"/>
      <c r="G43" s="613"/>
      <c r="H43" s="614"/>
      <c r="I43" s="611"/>
      <c r="J43" s="614"/>
      <c r="K43" s="1339"/>
      <c r="L43" s="2145"/>
      <c r="M43" s="2135"/>
      <c r="N43" s="2135"/>
      <c r="O43" s="2146"/>
      <c r="P43" s="3427" t="str">
        <f>A43</f>
        <v>成交单价</v>
      </c>
      <c r="Q43" s="3427"/>
      <c r="R43" s="3428">
        <f>E43</f>
        <v>0</v>
      </c>
      <c r="S43" s="3428"/>
      <c r="T43" s="3428">
        <f>G43</f>
        <v>0</v>
      </c>
      <c r="U43" s="3428"/>
      <c r="V43" s="3428">
        <f>I43</f>
        <v>0</v>
      </c>
      <c r="W43" s="3428"/>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0"/>
      <c r="L44" s="2145"/>
      <c r="M44" s="2135"/>
      <c r="N44" s="2135"/>
      <c r="O44" s="2146"/>
      <c r="P44" s="3427" t="str">
        <f>A44</f>
        <v>比较价格（元/平方米）</v>
      </c>
      <c r="Q44" s="3427"/>
      <c r="R44" s="3429" t="e">
        <f>ROUND(PRODUCT(R43,AA9:AA42),0)</f>
        <v>#DIV/0!</v>
      </c>
      <c r="S44" s="3429"/>
      <c r="T44" s="3429" t="e">
        <f>ROUND(PRODUCT(T43,AB9:AB42),0)</f>
        <v>#DIV/0!</v>
      </c>
      <c r="U44" s="3429"/>
      <c r="V44" s="3429" t="e">
        <f>ROUND(PRODUCT(V43,AC9:AC42),0)</f>
        <v>#DIV/0!</v>
      </c>
      <c r="W44" s="3429"/>
      <c r="X44" s="1559"/>
      <c r="Y44" s="1559"/>
      <c r="Z44" s="1559"/>
      <c r="AA44" s="1559"/>
      <c r="AB44" s="1559"/>
      <c r="AC44" s="1559"/>
    </row>
    <row r="45" spans="1:29" ht="15.75" thickBot="1">
      <c r="A45" s="621" t="s">
        <v>2922</v>
      </c>
      <c r="B45" s="622"/>
      <c r="C45" s="623" t="e">
        <f>R45</f>
        <v>#DIV/0!</v>
      </c>
      <c r="D45" s="623"/>
      <c r="E45" s="623"/>
      <c r="F45" s="623"/>
      <c r="G45" s="623"/>
      <c r="H45" s="623"/>
      <c r="I45" s="623"/>
      <c r="J45" s="623"/>
      <c r="K45" s="1341"/>
      <c r="L45" s="2145"/>
      <c r="M45" s="2135"/>
      <c r="N45" s="2135"/>
      <c r="O45" s="2146"/>
      <c r="P45" s="3424" t="str">
        <f>A45</f>
        <v>估价对象XX用房的比较价格（楼面单价，元/平方米）</v>
      </c>
      <c r="Q45" s="3425"/>
      <c r="R45" s="3426" t="e">
        <f>ROUND(AVERAGE(R44:V44),0)</f>
        <v>#DIV/0!</v>
      </c>
      <c r="S45" s="3426"/>
      <c r="T45" s="3426"/>
      <c r="U45" s="3426"/>
      <c r="V45" s="3426"/>
      <c r="W45" s="342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2294</v>
      </c>
      <c r="E52" s="631" t="s">
        <v>561</v>
      </c>
      <c r="F52" s="1952" t="s">
        <v>562</v>
      </c>
      <c r="G52" s="3474" t="s">
        <v>2285</v>
      </c>
      <c r="H52" s="3475"/>
      <c r="I52" s="1953" t="s">
        <v>1947</v>
      </c>
      <c r="J52" s="1555" t="str">
        <f>项目基本情况!F41</f>
        <v>武汉市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179318.65000000002</v>
      </c>
      <c r="F53" s="1951" t="e">
        <f t="shared" ref="F53:F62" si="15">ROUND(B53*E53/10000,0)</f>
        <v>#DIV/0!</v>
      </c>
      <c r="G53" s="3476"/>
      <c r="H53" s="347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78"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7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7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7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51622.080000000002</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2295</v>
      </c>
      <c r="E63" s="643">
        <f>IF(B43="楼面地价",SUM(E53:E62),'数据-汇总表'!D3)</f>
        <v>117974.91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2533</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2649</v>
      </c>
      <c r="B68" s="479" t="str">
        <f>"北京市平均增长率"&amp;TEXT(基准地价!P24,"0.00%")</f>
        <v>北京市平均增长率1.35%</v>
      </c>
      <c r="C68" s="893">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2548</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2550</v>
      </c>
      <c r="C95" s="2623" t="s">
        <v>2551</v>
      </c>
      <c r="D95" s="2623" t="s">
        <v>2552</v>
      </c>
      <c r="E95" s="2623" t="s">
        <v>2553</v>
      </c>
      <c r="F95" s="2623" t="s">
        <v>2554</v>
      </c>
      <c r="G95" s="2623"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77"/>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61" t="s">
        <v>2762</v>
      </c>
      <c r="S1" s="2961" t="s">
        <v>2763</v>
      </c>
      <c r="T1" s="2961" t="s">
        <v>2784</v>
      </c>
      <c r="U1" s="2961" t="s">
        <v>2785</v>
      </c>
      <c r="V1" s="2961" t="s">
        <v>2786</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2923</v>
      </c>
      <c r="G3" s="1038">
        <f>IF(F3="宗地容积率",'数据-汇总表'!I4,IF(F3="估价对象容积率",'数据-汇总表'!I6,'数据-汇总表'!I7))</f>
        <v>1.88</v>
      </c>
      <c r="H3" s="1414" t="s">
        <v>928</v>
      </c>
      <c r="I3" s="1039">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88" t="str">
        <f>IF(E2="商业",IF(C8="不临58条商业街","",2),"")</f>
        <v/>
      </c>
      <c r="B7" s="1427" t="s">
        <v>931</v>
      </c>
      <c r="C7" s="1042" t="e">
        <f>IF(C8="不临58条商业街",1,ROUND(1+(1.6*E8+1.2*E9+0.8*E10+0.4*E11)*C9,4))</f>
        <v>#DIV/0!</v>
      </c>
      <c r="D7" s="1428" t="s">
        <v>932</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2765</v>
      </c>
      <c r="X7" s="2952">
        <f>G2</f>
        <v>0</v>
      </c>
      <c r="Y7" s="2952" t="s">
        <v>2766</v>
      </c>
      <c r="Z7" s="2953">
        <f>G3</f>
        <v>1.88</v>
      </c>
      <c r="AA7" s="2193"/>
      <c r="AB7" s="2193"/>
      <c r="AC7" s="2194"/>
      <c r="AD7" s="2954"/>
      <c r="AE7" s="2954"/>
      <c r="AF7" s="2954"/>
      <c r="AG7" s="2954"/>
      <c r="AH7" s="2954"/>
      <c r="AI7" s="2954"/>
      <c r="AJ7" s="2955"/>
    </row>
    <row r="8" spans="1:39" ht="15">
      <c r="A8" s="3489"/>
      <c r="B8" s="1414" t="s">
        <v>933</v>
      </c>
      <c r="C8" s="1529"/>
      <c r="D8" s="1044" t="s">
        <v>934</v>
      </c>
      <c r="E8" s="1045"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80" t="s">
        <v>2783</v>
      </c>
      <c r="X8" s="3481"/>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89"/>
      <c r="B9" s="1414" t="s">
        <v>936</v>
      </c>
      <c r="C9" s="1046">
        <f>SUMIF(修正!C59:C119,C8,修正!E59:E119)</f>
        <v>0</v>
      </c>
      <c r="D9" s="1047" t="s">
        <v>937</v>
      </c>
      <c r="E9" s="1047"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79" t="s">
        <v>2779</v>
      </c>
      <c r="X9" s="2956" t="s">
        <v>2780</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89"/>
      <c r="B10" s="1414" t="s">
        <v>939</v>
      </c>
      <c r="C10" s="1047">
        <f>SUMIF(修正!C59:C119,C8,修正!F59:F119)</f>
        <v>0</v>
      </c>
      <c r="D10" s="1047" t="s">
        <v>940</v>
      </c>
      <c r="E10" s="1047"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7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89"/>
      <c r="B11" s="1435" t="s">
        <v>942</v>
      </c>
      <c r="C11" s="1048">
        <f>C10/4</f>
        <v>0</v>
      </c>
      <c r="D11" s="1048" t="s">
        <v>943</v>
      </c>
      <c r="E11" s="1048"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79" t="s">
        <v>2781</v>
      </c>
      <c r="X11" s="1047" t="s">
        <v>2766</v>
      </c>
      <c r="Y11" s="1653">
        <f>$G$3</f>
        <v>1.88</v>
      </c>
      <c r="Z11" s="1653">
        <f t="shared" ref="Z11:AJ11" si="3">$G$3</f>
        <v>1.88</v>
      </c>
      <c r="AA11" s="1653">
        <f t="shared" si="3"/>
        <v>1.88</v>
      </c>
      <c r="AB11" s="1653">
        <f t="shared" si="3"/>
        <v>1.88</v>
      </c>
      <c r="AC11" s="1653">
        <f t="shared" si="3"/>
        <v>1.88</v>
      </c>
      <c r="AD11" s="1653">
        <f t="shared" si="3"/>
        <v>1.88</v>
      </c>
      <c r="AE11" s="1653">
        <f t="shared" si="3"/>
        <v>1.88</v>
      </c>
      <c r="AF11" s="1653">
        <f t="shared" si="3"/>
        <v>1.88</v>
      </c>
      <c r="AG11" s="1653">
        <f t="shared" si="3"/>
        <v>1.88</v>
      </c>
      <c r="AH11" s="1653">
        <f t="shared" si="3"/>
        <v>1.88</v>
      </c>
      <c r="AI11" s="1653">
        <f t="shared" si="3"/>
        <v>1.88</v>
      </c>
      <c r="AJ11" s="1653">
        <f t="shared" si="3"/>
        <v>1.88</v>
      </c>
    </row>
    <row r="12" spans="1:39" ht="25.5" thickBot="1">
      <c r="A12" s="3488" t="s">
        <v>1871</v>
      </c>
      <c r="B12" s="1439" t="s">
        <v>945</v>
      </c>
      <c r="C12" s="1042">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79"/>
      <c r="X12" s="2959" t="s">
        <v>2782</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90"/>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79"/>
      <c r="X13" s="2959"/>
      <c r="Y13" s="2958">
        <f>(-0.163*(Y12^2)-0.59*Y12+7617)*(10^(-4))/Y11</f>
        <v>0.40515957446808515</v>
      </c>
      <c r="Z13" s="2958">
        <f t="shared" ref="Z13:AJ13" si="5">(-0.163*(Z12^2)-0.59*Z12+7617)*(10^(-4))/Z11</f>
        <v>0.40515957446808515</v>
      </c>
      <c r="AA13" s="2958">
        <f t="shared" si="5"/>
        <v>0.40515957446808515</v>
      </c>
      <c r="AB13" s="2958">
        <f t="shared" si="5"/>
        <v>0.40515957446808515</v>
      </c>
      <c r="AC13" s="2958">
        <f t="shared" si="5"/>
        <v>0.40515957446808515</v>
      </c>
      <c r="AD13" s="2958">
        <f t="shared" si="5"/>
        <v>0.40515957446808515</v>
      </c>
      <c r="AE13" s="2958">
        <f t="shared" si="5"/>
        <v>0.40515957446808515</v>
      </c>
      <c r="AF13" s="2958">
        <f t="shared" si="5"/>
        <v>0.40515957446808515</v>
      </c>
      <c r="AG13" s="2958">
        <f t="shared" si="5"/>
        <v>0.40515957446808515</v>
      </c>
      <c r="AH13" s="2958">
        <f t="shared" si="5"/>
        <v>0.40515957446808515</v>
      </c>
      <c r="AI13" s="2958">
        <f t="shared" si="5"/>
        <v>0.40515957446808515</v>
      </c>
      <c r="AJ13" s="2958">
        <f t="shared" si="5"/>
        <v>0.40515957446808515</v>
      </c>
    </row>
    <row r="14" spans="1:39" ht="12.75" customHeight="1" thickBot="1">
      <c r="A14" s="3490"/>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91"/>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88"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89"/>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ROUND(IF(H19="按公示增长率计算",SUMPRODUCT((地价!A3:A22=YEAR(G19)&amp;"-"&amp;ROUNDUP(MONTH(G19)/3,0))*(地价!X2:AB2=E2)*(地价!X3:AB22)),IF(H19="地价指数",M20/M19,(1+I19)^O19)),4)</f>
        <v>#DIV/0!</v>
      </c>
      <c r="D19" s="1474" t="s">
        <v>957</v>
      </c>
      <c r="E19" s="1057">
        <v>41640</v>
      </c>
      <c r="F19" s="1474" t="s">
        <v>958</v>
      </c>
      <c r="G19" s="1058">
        <f>'数据-取费表'!B2</f>
        <v>43217</v>
      </c>
      <c r="H19" s="1475" t="s">
        <v>2924</v>
      </c>
      <c r="I19" s="2809" t="str">
        <f>IF(H19="季度增幅（自定义）",SUMIF(N21:N24,E2,O21:O24),"")</f>
        <v/>
      </c>
      <c r="J19" s="1471"/>
      <c r="K19" s="1481"/>
      <c r="L19" s="3065" t="s">
        <v>2841</v>
      </c>
      <c r="M19" s="3066">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21">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7" t="s">
        <v>2842</v>
      </c>
      <c r="M20" s="3068">
        <f>ROUND(SUMPRODUCT((地价!A4:A22=YEAR(G19)&amp;"-"&amp;ROUNDUP(MONTH(G19)/3,0))*(地价!B2:F2=E2)*(地价!B4:F22)),0)</f>
        <v>0</v>
      </c>
      <c r="N20" s="2814" t="s">
        <v>2645</v>
      </c>
      <c r="O20" s="2812" t="s">
        <v>2644</v>
      </c>
      <c r="P20" s="2813" t="s">
        <v>2650</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2761</v>
      </c>
      <c r="C21" s="1157">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1.9000000000000001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2648</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94" t="s">
        <v>2951</v>
      </c>
      <c r="B33" s="1524" t="s">
        <v>999</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95"/>
      <c r="B34" s="1445" t="s">
        <v>1000</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95"/>
      <c r="B35" s="1445" t="s">
        <v>1001</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96"/>
      <c r="B36" s="1445" t="s">
        <v>1002</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33" t="s">
        <v>1009</v>
      </c>
      <c r="C46" s="2455" t="s">
        <v>1010</v>
      </c>
      <c r="D46" s="2456" t="s">
        <v>1011</v>
      </c>
      <c r="E46" s="2457" t="s">
        <v>1013</v>
      </c>
      <c r="F46" s="2458" t="s">
        <v>2251</v>
      </c>
      <c r="G46" s="2456" t="s">
        <v>1014</v>
      </c>
      <c r="H46" s="2439" t="s">
        <v>2420</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1020</v>
      </c>
      <c r="B47" s="2436">
        <f>估价对象房地状况!C16</f>
        <v>0</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1021</v>
      </c>
      <c r="B48" s="2433">
        <f>估价对象房地状况!C18</f>
        <v>0</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123" t="s">
        <v>2926</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122" t="s">
        <v>2925</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f>估价对象房地状况!C21</f>
        <v>0</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f>估价对象房地状况!C22</f>
        <v>0</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1028</v>
      </c>
      <c r="B55" s="2437">
        <f>估价对象房地状况!C20</f>
        <v>0</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33"/>
      <c r="C57" s="2455" t="s">
        <v>1010</v>
      </c>
      <c r="D57" s="2456" t="s">
        <v>1011</v>
      </c>
      <c r="E57" s="2457" t="s">
        <v>1013</v>
      </c>
      <c r="F57" s="2458" t="s">
        <v>2252</v>
      </c>
      <c r="G57" s="2456" t="s">
        <v>1014</v>
      </c>
      <c r="H57" s="2439" t="s">
        <v>2420</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1030</v>
      </c>
      <c r="B58" s="2436">
        <f>估价对象房地状况!C17</f>
        <v>0</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1021</v>
      </c>
      <c r="B59" s="2433">
        <f>估价对象房地状况!C18</f>
        <v>0</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123" t="s">
        <v>2927</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122" t="s">
        <v>2925</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34">
        <f>估价对象房地状况!C21</f>
        <v>0</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34">
        <f>估价对象房地状况!C22</f>
        <v>0</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1028</v>
      </c>
      <c r="B66" s="2438">
        <f>估价对象房地状况!C20</f>
        <v>0</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33"/>
      <c r="C68" s="2455" t="s">
        <v>1010</v>
      </c>
      <c r="D68" s="2456" t="s">
        <v>1011</v>
      </c>
      <c r="E68" s="2457" t="s">
        <v>1013</v>
      </c>
      <c r="F68" s="2458" t="s">
        <v>2253</v>
      </c>
      <c r="G68" s="2456" t="s">
        <v>1014</v>
      </c>
      <c r="H68" s="2439" t="s">
        <v>2420</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1032</v>
      </c>
      <c r="B69" s="2436">
        <f>估价对象房地状况!C15</f>
        <v>0</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1033</v>
      </c>
      <c r="B70" s="2433">
        <f>估价对象房地状况!C18</f>
        <v>0</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34">
        <f>估价对象房地状况!C21</f>
        <v>0</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34">
        <f>估价对象房地状况!C22</f>
        <v>0</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122" t="s">
        <v>2925</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1028</v>
      </c>
      <c r="B76" s="2436">
        <f>估价对象房地状况!C20</f>
        <v>0</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1008</v>
      </c>
      <c r="B79" s="2433"/>
      <c r="C79" s="2455" t="s">
        <v>1010</v>
      </c>
      <c r="D79" s="2456" t="s">
        <v>1011</v>
      </c>
      <c r="E79" s="2457" t="s">
        <v>1013</v>
      </c>
      <c r="F79" s="2458" t="s">
        <v>2254</v>
      </c>
      <c r="G79" s="2456" t="s">
        <v>1014</v>
      </c>
      <c r="H79" s="2439" t="s">
        <v>2420</v>
      </c>
      <c r="I79" s="2456" t="s">
        <v>1012</v>
      </c>
      <c r="J79" s="2459" t="s">
        <v>1015</v>
      </c>
      <c r="K79" s="2459" t="s">
        <v>1016</v>
      </c>
      <c r="L79" s="2459" t="s">
        <v>1017</v>
      </c>
      <c r="M79" s="2459" t="s">
        <v>1018</v>
      </c>
      <c r="N79" s="2459" t="s">
        <v>1019</v>
      </c>
      <c r="AC79" s="1405"/>
      <c r="AD79" s="1404"/>
      <c r="AJ79" s="1403"/>
      <c r="AN79" s="1404"/>
    </row>
    <row r="80" spans="1:40" ht="24">
      <c r="A80" s="1066" t="s">
        <v>1037</v>
      </c>
      <c r="B80" s="2433">
        <f>估价对象房地状况!G15</f>
        <v>0</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6" t="s">
        <v>1033</v>
      </c>
      <c r="B81" s="2433">
        <f>估价对象房地状况!G16</f>
        <v>0</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1022</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1034</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1026</v>
      </c>
      <c r="B84" s="2434">
        <f>估价对象房地状况!G19</f>
        <v>0</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1027</v>
      </c>
      <c r="B85" s="2434">
        <f>估价对象房地状况!G20</f>
        <v>0</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1025</v>
      </c>
      <c r="B86" s="3122" t="s">
        <v>2925</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1038</v>
      </c>
      <c r="B87" s="2435">
        <f>估价对象房地状况!G18</f>
        <v>0</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92" t="s">
        <v>1633</v>
      </c>
      <c r="B90" s="3492"/>
      <c r="C90" s="3492"/>
      <c r="D90" s="3492"/>
      <c r="E90" s="3492"/>
      <c r="F90" s="3492"/>
      <c r="G90" s="3492"/>
      <c r="H90" s="3492"/>
      <c r="I90" s="3492"/>
      <c r="J90" s="3492"/>
      <c r="K90" s="2475"/>
      <c r="L90" s="2475"/>
      <c r="M90" s="2475"/>
      <c r="N90" s="2475"/>
    </row>
    <row r="91" spans="1:40">
      <c r="A91" s="3493" t="s">
        <v>1443</v>
      </c>
      <c r="B91" s="3493" t="s">
        <v>1634</v>
      </c>
      <c r="C91" s="1139" t="s">
        <v>1635</v>
      </c>
      <c r="D91" s="1140"/>
      <c r="E91" s="1140"/>
      <c r="F91" s="1140"/>
      <c r="G91" s="1140"/>
      <c r="H91" s="1140"/>
      <c r="I91" s="1140"/>
      <c r="J91" s="1141"/>
      <c r="K91" s="1133"/>
      <c r="L91" s="1133"/>
      <c r="M91" s="1133"/>
      <c r="N91" s="1133"/>
    </row>
    <row r="92" spans="1:40">
      <c r="A92" s="3493"/>
      <c r="B92" s="3493"/>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82"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2" t="s">
        <v>1637</v>
      </c>
      <c r="B101" s="1146" t="s">
        <v>905</v>
      </c>
      <c r="C101" s="1147">
        <f>$G$3</f>
        <v>1.88</v>
      </c>
      <c r="D101" s="1147">
        <f t="shared" ref="D101:N101" si="31">$G$3</f>
        <v>1.88</v>
      </c>
      <c r="E101" s="1147">
        <f t="shared" si="31"/>
        <v>1.88</v>
      </c>
      <c r="F101" s="1147">
        <f t="shared" si="31"/>
        <v>1.88</v>
      </c>
      <c r="G101" s="1147">
        <f t="shared" si="31"/>
        <v>1.88</v>
      </c>
      <c r="H101" s="1147">
        <f t="shared" si="31"/>
        <v>1.88</v>
      </c>
      <c r="I101" s="1147">
        <f t="shared" si="31"/>
        <v>1.88</v>
      </c>
      <c r="J101" s="1147">
        <f t="shared" si="31"/>
        <v>1.88</v>
      </c>
      <c r="K101" s="1147">
        <f t="shared" si="31"/>
        <v>1.88</v>
      </c>
      <c r="L101" s="1147">
        <f t="shared" si="31"/>
        <v>1.88</v>
      </c>
      <c r="M101" s="1147">
        <f t="shared" si="31"/>
        <v>1.88</v>
      </c>
      <c r="N101" s="1147">
        <f t="shared" si="31"/>
        <v>1.88</v>
      </c>
    </row>
    <row r="102" spans="1:14">
      <c r="A102" s="3483"/>
      <c r="B102" s="1142">
        <v>1</v>
      </c>
      <c r="C102" s="1143">
        <f>1.9362/C101</f>
        <v>1.0298936170212767</v>
      </c>
      <c r="D102" s="1143">
        <f>1.9362/D101</f>
        <v>1.0298936170212767</v>
      </c>
      <c r="E102" s="1143">
        <f>1.8629/E101</f>
        <v>0.99090425531914894</v>
      </c>
      <c r="F102" s="1143">
        <f>1.8629/F101</f>
        <v>0.99090425531914894</v>
      </c>
      <c r="G102" s="1143">
        <f>1.8629/G101</f>
        <v>0.99090425531914894</v>
      </c>
      <c r="H102" s="1143">
        <f>1.8629/H101</f>
        <v>0.99090425531914894</v>
      </c>
      <c r="I102" s="1143">
        <f>1.8629/I101</f>
        <v>0.99090425531914894</v>
      </c>
      <c r="J102" s="1143">
        <f>1.942/J101</f>
        <v>1.0329787234042553</v>
      </c>
      <c r="K102" s="1143">
        <f>1.942/K101</f>
        <v>1.0329787234042553</v>
      </c>
      <c r="L102" s="1143">
        <f>1.942/L101</f>
        <v>1.0329787234042553</v>
      </c>
      <c r="M102" s="1143">
        <f>1.942/M101</f>
        <v>1.0329787234042553</v>
      </c>
      <c r="N102" s="1143">
        <f>1.942/N101</f>
        <v>1.0329787234042553</v>
      </c>
    </row>
    <row r="103" spans="1:14">
      <c r="A103" s="3483"/>
      <c r="B103" s="1142">
        <v>2</v>
      </c>
      <c r="C103" s="1143">
        <f>1.4198/C101</f>
        <v>0.7552127659574468</v>
      </c>
      <c r="D103" s="1143">
        <f>1.4198/D101</f>
        <v>0.7552127659574468</v>
      </c>
      <c r="E103" s="1143">
        <f>1.3372/E101</f>
        <v>0.71127659574468083</v>
      </c>
      <c r="F103" s="1143">
        <f>1.3372/F101</f>
        <v>0.71127659574468083</v>
      </c>
      <c r="G103" s="1143">
        <f>1.3372/G101</f>
        <v>0.71127659574468083</v>
      </c>
      <c r="H103" s="1143">
        <f>1.3372/H101</f>
        <v>0.71127659574468083</v>
      </c>
      <c r="I103" s="1143">
        <f>1.3372/I101</f>
        <v>0.71127659574468083</v>
      </c>
      <c r="J103" s="1143">
        <f>1.2799/J101</f>
        <v>0.68079787234042555</v>
      </c>
      <c r="K103" s="1143">
        <f>1.2799/K101</f>
        <v>0.68079787234042555</v>
      </c>
      <c r="L103" s="1143">
        <f>1.2799/L101</f>
        <v>0.68079787234042555</v>
      </c>
      <c r="M103" s="1143">
        <f>1.2799/M101</f>
        <v>0.68079787234042555</v>
      </c>
      <c r="N103" s="1143">
        <f>1.2799/N101</f>
        <v>0.68079787234042555</v>
      </c>
    </row>
    <row r="104" spans="1:14">
      <c r="A104" s="3483"/>
      <c r="B104" s="1142">
        <v>3</v>
      </c>
      <c r="C104" s="1143">
        <f>1.1594/C101</f>
        <v>0.61670212765957455</v>
      </c>
      <c r="D104" s="1143">
        <f>1.1594/D101</f>
        <v>0.61670212765957455</v>
      </c>
      <c r="E104" s="1143">
        <f>1.0788/E101</f>
        <v>0.57382978723404254</v>
      </c>
      <c r="F104" s="1143">
        <f>1.0788/F101</f>
        <v>0.57382978723404254</v>
      </c>
      <c r="G104" s="1143">
        <f>1.0788/G101</f>
        <v>0.57382978723404254</v>
      </c>
      <c r="H104" s="1143">
        <f>1.0788/H101</f>
        <v>0.57382978723404254</v>
      </c>
      <c r="I104" s="1143">
        <f>1.0788/I101</f>
        <v>0.57382978723404254</v>
      </c>
      <c r="J104" s="1143">
        <f>1.0072/J101</f>
        <v>0.53574468085106386</v>
      </c>
      <c r="K104" s="1143">
        <f>1.0072/K101</f>
        <v>0.53574468085106386</v>
      </c>
      <c r="L104" s="1143">
        <f>1.0072/L101</f>
        <v>0.53574468085106386</v>
      </c>
      <c r="M104" s="1143">
        <f>1.0072/M101</f>
        <v>0.53574468085106386</v>
      </c>
      <c r="N104" s="1143">
        <f>1.0072/N101</f>
        <v>0.53574468085106386</v>
      </c>
    </row>
    <row r="105" spans="1:14">
      <c r="A105" s="3483"/>
      <c r="B105" s="1142">
        <v>4</v>
      </c>
      <c r="C105" s="1143">
        <f>0.9622/C101</f>
        <v>0.51180851063829791</v>
      </c>
      <c r="D105" s="1143">
        <f>0.9622/D101</f>
        <v>0.51180851063829791</v>
      </c>
      <c r="E105" s="1143">
        <f>0.8656/E101</f>
        <v>0.46042553191489366</v>
      </c>
      <c r="F105" s="1143">
        <f>0.8656/F101</f>
        <v>0.46042553191489366</v>
      </c>
      <c r="G105" s="1143">
        <f>0.8656/G101</f>
        <v>0.46042553191489366</v>
      </c>
      <c r="H105" s="1143">
        <f>0.8656/H101</f>
        <v>0.46042553191489366</v>
      </c>
      <c r="I105" s="1143">
        <f>0.8656/I101</f>
        <v>0.46042553191489366</v>
      </c>
      <c r="J105" s="1143">
        <f>0.7525/J101</f>
        <v>0.40026595744680848</v>
      </c>
      <c r="K105" s="1143">
        <f>0.7525/K101</f>
        <v>0.40026595744680848</v>
      </c>
      <c r="L105" s="1143">
        <f>0.7525/L101</f>
        <v>0.40026595744680848</v>
      </c>
      <c r="M105" s="1143">
        <f>0.7525/M101</f>
        <v>0.40026595744680848</v>
      </c>
      <c r="N105" s="1143">
        <f>0.7525/N101</f>
        <v>0.40026595744680848</v>
      </c>
    </row>
    <row r="106" spans="1:14">
      <c r="A106" s="3483"/>
      <c r="B106" s="1142">
        <v>5</v>
      </c>
      <c r="C106" s="1143">
        <f>0.8417/C101</f>
        <v>0.44771276595744686</v>
      </c>
      <c r="D106" s="1143">
        <f>0.8417/D101</f>
        <v>0.44771276595744686</v>
      </c>
      <c r="E106" s="1143">
        <f>0.7371/E101</f>
        <v>0.39207446808510638</v>
      </c>
      <c r="F106" s="1143">
        <f>0.7371/F101</f>
        <v>0.39207446808510638</v>
      </c>
      <c r="G106" s="1143">
        <f>0.7371/G101</f>
        <v>0.39207446808510638</v>
      </c>
      <c r="H106" s="1143">
        <f>0.7371/H101</f>
        <v>0.39207446808510638</v>
      </c>
      <c r="I106" s="1143">
        <f>0.7371/I101</f>
        <v>0.39207446808510638</v>
      </c>
      <c r="J106" s="1143">
        <f>0.5659/J101</f>
        <v>0.30101063829787233</v>
      </c>
      <c r="K106" s="1143">
        <f>0.5659/K101</f>
        <v>0.30101063829787233</v>
      </c>
      <c r="L106" s="1143">
        <f>0.5659/L101</f>
        <v>0.30101063829787233</v>
      </c>
      <c r="M106" s="1143">
        <f>0.5659/M101</f>
        <v>0.30101063829787233</v>
      </c>
      <c r="N106" s="1143">
        <f>0.5659/N101</f>
        <v>0.30101063829787233</v>
      </c>
    </row>
    <row r="107" spans="1:14">
      <c r="A107" s="3483"/>
      <c r="B107" s="1142">
        <v>6</v>
      </c>
      <c r="C107" s="1143">
        <f>0.7608/C101</f>
        <v>0.40468085106382984</v>
      </c>
      <c r="D107" s="1143">
        <f>0.7608/D101</f>
        <v>0.40468085106382984</v>
      </c>
      <c r="E107" s="1143">
        <f>0.6482/E101</f>
        <v>0.34478723404255324</v>
      </c>
      <c r="F107" s="1143">
        <f>0.6482/F101</f>
        <v>0.34478723404255324</v>
      </c>
      <c r="G107" s="1143">
        <f>0.6482/G101</f>
        <v>0.34478723404255324</v>
      </c>
      <c r="H107" s="1143">
        <f>0.6482/H101</f>
        <v>0.34478723404255324</v>
      </c>
      <c r="I107" s="1143">
        <f>0.6482/I101</f>
        <v>0.34478723404255324</v>
      </c>
      <c r="J107" s="1143">
        <f>0.4525/J101</f>
        <v>0.24069148936170215</v>
      </c>
      <c r="K107" s="1143">
        <f>0.4525/K101</f>
        <v>0.24069148936170215</v>
      </c>
      <c r="L107" s="1143">
        <f>0.4525/L101</f>
        <v>0.24069148936170215</v>
      </c>
      <c r="M107" s="1143">
        <f>0.4525/M101</f>
        <v>0.24069148936170215</v>
      </c>
      <c r="N107" s="1143">
        <f>0.4525/N101</f>
        <v>0.24069148936170215</v>
      </c>
    </row>
    <row r="108" spans="1:14">
      <c r="A108" s="3483"/>
      <c r="B108" s="348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4"/>
      <c r="B109" s="3486"/>
      <c r="C109" s="1145">
        <f>(-0.163*(C108^2)-0.59*C108+7617)*(10^(-4))/C101</f>
        <v>0.40435361702127659</v>
      </c>
      <c r="D109" s="1145">
        <f>(-0.163*(D108^2)-0.59*D108+7617)*(10^(-4))/D101</f>
        <v>0.40435361702127659</v>
      </c>
      <c r="E109" s="1145">
        <f>(-0.161*(E108^2)-7.509*E108+6533)*(10^(-4))/E101</f>
        <v>0.34375659574468087</v>
      </c>
      <c r="F109" s="1145">
        <f>(-0.161*(F108^2)-7.509*F108+6533)*(10^(-4))/F101</f>
        <v>0.34375659574468087</v>
      </c>
      <c r="G109" s="1145">
        <f>(-0.161*(G108^2)-7.509*G108+6533)*(10^(-4))/G101</f>
        <v>0.34375659574468087</v>
      </c>
      <c r="H109" s="1145">
        <f>(-0.161*(H108^2)-7.509*H108+6533)*(10^(-4))/H101</f>
        <v>0.34375659574468087</v>
      </c>
      <c r="I109" s="1145">
        <f>(-0.161*(I108^2)-7.509*I108+6533)*(10^(-4))/I101</f>
        <v>0.34375659574468087</v>
      </c>
      <c r="J109" s="1145">
        <f>(-0.214*(J108^2)-21.991*J108+4665)*(10^(-4))/J101</f>
        <v>0.23805191489361704</v>
      </c>
      <c r="K109" s="1145">
        <f>(-0.214*(K108^2)-21.991*K108+4665)*(10^(-4))/K101</f>
        <v>0.23805191489361704</v>
      </c>
      <c r="L109" s="1145">
        <f>(-0.214*(L108^2)-21.991*L108+4665)*(10^(-4))/L101</f>
        <v>0.23805191489361704</v>
      </c>
      <c r="M109" s="1145">
        <f>(-0.214*(M108^2)-21.991*M108+4665)*(10^(-4))/M101</f>
        <v>0.23805191489361704</v>
      </c>
      <c r="N109" s="1145">
        <f>(-0.214*(N108^2)-21.991*N108+4665)*(10^(-4))/N101</f>
        <v>0.23805191489361704</v>
      </c>
    </row>
    <row r="110" spans="1:14">
      <c r="A110" s="3487" t="s">
        <v>1639</v>
      </c>
      <c r="B110" s="3487"/>
      <c r="C110" s="3487"/>
      <c r="D110" s="3487"/>
      <c r="E110" s="3487"/>
      <c r="F110" s="3487"/>
      <c r="G110" s="3487"/>
      <c r="H110" s="3487"/>
      <c r="I110" s="3487"/>
      <c r="J110" s="3487"/>
      <c r="K110" s="2473"/>
      <c r="L110" s="2473"/>
      <c r="M110" s="2473"/>
      <c r="N110" s="2473"/>
    </row>
    <row r="112" spans="1:14" ht="12.75" thickBot="1"/>
    <row r="113" spans="1:13" ht="25.5" thickBot="1">
      <c r="A113" s="1015" t="s">
        <v>895</v>
      </c>
      <c r="B113" s="2476">
        <f>G3</f>
        <v>1.88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0.91579999999999995</v>
      </c>
      <c r="C115" s="1029">
        <f>B115</f>
        <v>0.91579999999999995</v>
      </c>
      <c r="D115" s="1029">
        <f>ROUND(0.8331-0.0109*B113,4)</f>
        <v>0.81259999999999999</v>
      </c>
      <c r="E115" s="1029">
        <f>D115</f>
        <v>0.81259999999999999</v>
      </c>
      <c r="F115" s="1029">
        <f>E115</f>
        <v>0.81259999999999999</v>
      </c>
      <c r="G115" s="1029">
        <f>F115</f>
        <v>0.81259999999999999</v>
      </c>
      <c r="H115" s="1029">
        <f>G115</f>
        <v>0.81259999999999999</v>
      </c>
      <c r="I115" s="1029">
        <f>ROUND(0.689-0.0155*B113,4)</f>
        <v>0.65990000000000004</v>
      </c>
      <c r="J115" s="1029">
        <f t="shared" ref="J115:M118" si="33">I115</f>
        <v>0.65990000000000004</v>
      </c>
      <c r="K115" s="1029">
        <f t="shared" si="33"/>
        <v>0.65990000000000004</v>
      </c>
      <c r="L115" s="1029">
        <f t="shared" si="33"/>
        <v>0.65990000000000004</v>
      </c>
      <c r="M115" s="1030">
        <f t="shared" si="33"/>
        <v>0.65990000000000004</v>
      </c>
    </row>
    <row r="116" spans="1:13" ht="12.75">
      <c r="A116" s="1028" t="s">
        <v>900</v>
      </c>
      <c r="B116" s="1029">
        <f>ROUND(0.949-0.012*B113,4)</f>
        <v>0.9264</v>
      </c>
      <c r="C116" s="1029">
        <f>B116</f>
        <v>0.9264</v>
      </c>
      <c r="D116" s="1029">
        <f>ROUND(0.8567-0.013*B113,4)</f>
        <v>0.83230000000000004</v>
      </c>
      <c r="E116" s="1029">
        <f t="shared" ref="E116:H117" si="34">D116</f>
        <v>0.83230000000000004</v>
      </c>
      <c r="F116" s="1029">
        <f t="shared" si="34"/>
        <v>0.83230000000000004</v>
      </c>
      <c r="G116" s="1029">
        <f t="shared" si="34"/>
        <v>0.83230000000000004</v>
      </c>
      <c r="H116" s="1029">
        <f t="shared" si="34"/>
        <v>0.83230000000000004</v>
      </c>
      <c r="I116" s="1029">
        <f>ROUND(0.7694-0.014*B113,4)</f>
        <v>0.74309999999999998</v>
      </c>
      <c r="J116" s="1029">
        <f t="shared" si="33"/>
        <v>0.74309999999999998</v>
      </c>
      <c r="K116" s="1029">
        <f t="shared" si="33"/>
        <v>0.74309999999999998</v>
      </c>
      <c r="L116" s="1029">
        <f t="shared" si="33"/>
        <v>0.74309999999999998</v>
      </c>
      <c r="M116" s="1030">
        <f t="shared" si="33"/>
        <v>0.74309999999999998</v>
      </c>
    </row>
    <row r="117" spans="1:13" ht="12.75">
      <c r="A117" s="1031" t="s">
        <v>901</v>
      </c>
      <c r="B117" s="1029">
        <f>ROUND(0.8808-0.006*B113,4)</f>
        <v>0.86950000000000005</v>
      </c>
      <c r="C117" s="1029">
        <f>B117</f>
        <v>0.86950000000000005</v>
      </c>
      <c r="D117" s="1029">
        <f>ROUND(0.8748-0.008*B113,4)</f>
        <v>0.85980000000000001</v>
      </c>
      <c r="E117" s="1029">
        <f t="shared" si="34"/>
        <v>0.85980000000000001</v>
      </c>
      <c r="F117" s="1029">
        <f t="shared" si="34"/>
        <v>0.85980000000000001</v>
      </c>
      <c r="G117" s="1029">
        <f t="shared" si="34"/>
        <v>0.85980000000000001</v>
      </c>
      <c r="H117" s="1029">
        <f t="shared" si="34"/>
        <v>0.85980000000000001</v>
      </c>
      <c r="I117" s="1029">
        <f>ROUND(0.7412-0.0095*B113,4)</f>
        <v>0.72330000000000005</v>
      </c>
      <c r="J117" s="1029">
        <f t="shared" si="33"/>
        <v>0.72330000000000005</v>
      </c>
      <c r="K117" s="1029">
        <f t="shared" si="33"/>
        <v>0.72330000000000005</v>
      </c>
      <c r="L117" s="1029">
        <f t="shared" si="33"/>
        <v>0.72330000000000005</v>
      </c>
      <c r="M117" s="1030">
        <f t="shared" si="33"/>
        <v>0.72330000000000005</v>
      </c>
    </row>
    <row r="118" spans="1:13" ht="13.5" thickBot="1">
      <c r="A118" s="1032" t="s">
        <v>902</v>
      </c>
      <c r="B118" s="1033">
        <f>ROUND(0.7275-0.01*B113,4)</f>
        <v>0.7087</v>
      </c>
      <c r="C118" s="1033">
        <f>B118</f>
        <v>0.7087</v>
      </c>
      <c r="D118" s="1033">
        <f>ROUND(0.7043-0.012*B113,4)</f>
        <v>0.68169999999999997</v>
      </c>
      <c r="E118" s="1033">
        <f>D118</f>
        <v>0.68169999999999997</v>
      </c>
      <c r="F118" s="1033">
        <f>E118</f>
        <v>0.68169999999999997</v>
      </c>
      <c r="G118" s="1033">
        <f>ROUND(0.6299-0.0122*B113,4)</f>
        <v>0.60699999999999998</v>
      </c>
      <c r="H118" s="1033">
        <f>G118</f>
        <v>0.60699999999999998</v>
      </c>
      <c r="I118" s="1033">
        <f>ROUND(0.5667-0.0136*B113,4)</f>
        <v>0.54110000000000003</v>
      </c>
      <c r="J118" s="1033">
        <f t="shared" si="33"/>
        <v>0.54110000000000003</v>
      </c>
      <c r="K118" s="1033">
        <f t="shared" si="33"/>
        <v>0.54110000000000003</v>
      </c>
      <c r="L118" s="1033">
        <f t="shared" si="33"/>
        <v>0.54110000000000003</v>
      </c>
      <c r="M118" s="1034">
        <f t="shared" si="33"/>
        <v>0.54110000000000003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93" t="s">
        <v>1007</v>
      </c>
      <c r="B18" s="1153" t="s">
        <v>1446</v>
      </c>
      <c r="C18" s="1130" t="s">
        <v>1447</v>
      </c>
      <c r="D18" s="1131"/>
      <c r="E18" s="1153">
        <v>1</v>
      </c>
      <c r="F18" s="1132" t="s">
        <v>1448</v>
      </c>
      <c r="G18" s="1133"/>
      <c r="H18" s="1104"/>
      <c r="I18" s="1104"/>
    </row>
    <row r="19" spans="1:9" s="1599" customFormat="1" ht="19.5" customHeight="1">
      <c r="A19" s="3493"/>
      <c r="B19" s="3493" t="s">
        <v>1449</v>
      </c>
      <c r="C19" s="1130" t="s">
        <v>1450</v>
      </c>
      <c r="D19" s="1131"/>
      <c r="E19" s="1153">
        <v>0.9</v>
      </c>
      <c r="F19" s="1132" t="s">
        <v>1451</v>
      </c>
      <c r="G19" s="1133"/>
      <c r="H19" s="1104"/>
      <c r="I19" s="1104"/>
    </row>
    <row r="20" spans="1:9" s="1599" customFormat="1" ht="19.5" customHeight="1">
      <c r="A20" s="3493"/>
      <c r="B20" s="3493"/>
      <c r="C20" s="1130" t="s">
        <v>1452</v>
      </c>
      <c r="D20" s="1131"/>
      <c r="E20" s="1153">
        <v>1.1000000000000001</v>
      </c>
      <c r="F20" s="1132" t="s">
        <v>1453</v>
      </c>
      <c r="G20" s="1133"/>
      <c r="H20" s="1104"/>
      <c r="I20" s="1104"/>
    </row>
    <row r="21" spans="1:9" s="1599" customFormat="1" ht="19.5" customHeight="1">
      <c r="A21" s="3493"/>
      <c r="B21" s="3493"/>
      <c r="C21" s="1130" t="s">
        <v>1454</v>
      </c>
      <c r="D21" s="1131"/>
      <c r="E21" s="1153">
        <v>0.8</v>
      </c>
      <c r="F21" s="1132" t="s">
        <v>1455</v>
      </c>
      <c r="G21" s="1133"/>
      <c r="H21" s="1104"/>
      <c r="I21" s="1104"/>
    </row>
    <row r="22" spans="1:9" s="1599" customFormat="1" ht="19.5" customHeight="1">
      <c r="A22" s="3493"/>
      <c r="B22" s="3493"/>
      <c r="C22" s="1130" t="s">
        <v>1456</v>
      </c>
      <c r="D22" s="1131"/>
      <c r="E22" s="1153">
        <v>0.5</v>
      </c>
      <c r="F22" s="1132"/>
      <c r="G22" s="1133"/>
      <c r="H22" s="1104"/>
      <c r="I22" s="1104"/>
    </row>
    <row r="23" spans="1:9" s="1599" customFormat="1" ht="19.5" customHeight="1">
      <c r="A23" s="3493" t="s">
        <v>1029</v>
      </c>
      <c r="B23" s="1153" t="s">
        <v>1446</v>
      </c>
      <c r="C23" s="1130" t="s">
        <v>1457</v>
      </c>
      <c r="D23" s="1131"/>
      <c r="E23" s="1153">
        <v>1</v>
      </c>
      <c r="F23" s="1132" t="s">
        <v>1458</v>
      </c>
      <c r="G23" s="1133"/>
      <c r="H23" s="1104"/>
      <c r="I23" s="1104"/>
    </row>
    <row r="24" spans="1:9" s="1599" customFormat="1" ht="19.5" customHeight="1">
      <c r="A24" s="3493"/>
      <c r="B24" s="3493" t="s">
        <v>1449</v>
      </c>
      <c r="C24" s="1130" t="s">
        <v>1459</v>
      </c>
      <c r="D24" s="1131"/>
      <c r="E24" s="1153">
        <v>0.5</v>
      </c>
      <c r="F24" s="1132"/>
      <c r="G24" s="1133"/>
      <c r="H24" s="1104"/>
      <c r="I24" s="1104"/>
    </row>
    <row r="25" spans="1:9" s="1599" customFormat="1" ht="19.5" customHeight="1">
      <c r="A25" s="3493"/>
      <c r="B25" s="3493"/>
      <c r="C25" s="1130" t="s">
        <v>1460</v>
      </c>
      <c r="D25" s="1131"/>
      <c r="E25" s="1153">
        <v>1.1000000000000001</v>
      </c>
      <c r="F25" s="1132"/>
      <c r="G25" s="1133"/>
      <c r="H25" s="1104"/>
      <c r="I25" s="1104"/>
    </row>
    <row r="26" spans="1:9" s="1599" customFormat="1" ht="19.5" customHeight="1">
      <c r="A26" s="3493"/>
      <c r="B26" s="3493"/>
      <c r="C26" s="1130" t="s">
        <v>1461</v>
      </c>
      <c r="D26" s="1131"/>
      <c r="E26" s="1153">
        <v>1.1000000000000001</v>
      </c>
      <c r="F26" s="1132"/>
      <c r="G26" s="1133"/>
      <c r="H26" s="1104"/>
      <c r="I26" s="1104"/>
    </row>
    <row r="27" spans="1:9" s="1599" customFormat="1" ht="19.5" customHeight="1">
      <c r="A27" s="3493"/>
      <c r="B27" s="3493"/>
      <c r="C27" s="1130" t="s">
        <v>1462</v>
      </c>
      <c r="D27" s="1131"/>
      <c r="E27" s="1153">
        <v>0.9</v>
      </c>
      <c r="F27" s="1132" t="s">
        <v>1463</v>
      </c>
      <c r="G27" s="1133"/>
      <c r="H27" s="1104"/>
      <c r="I27" s="1104"/>
    </row>
    <row r="28" spans="1:9" s="1599" customFormat="1" ht="19.5" customHeight="1">
      <c r="A28" s="3493"/>
      <c r="B28" s="3493"/>
      <c r="C28" s="1130" t="s">
        <v>1464</v>
      </c>
      <c r="D28" s="1131"/>
      <c r="E28" s="1153">
        <v>0.9</v>
      </c>
      <c r="F28" s="1132" t="s">
        <v>1465</v>
      </c>
      <c r="G28" s="1133"/>
      <c r="H28" s="1104"/>
      <c r="I28" s="1104"/>
    </row>
    <row r="29" spans="1:9" s="1599" customFormat="1" ht="19.5" customHeight="1">
      <c r="A29" s="3493"/>
      <c r="B29" s="3493"/>
      <c r="C29" s="1130" t="s">
        <v>1466</v>
      </c>
      <c r="D29" s="1131"/>
      <c r="E29" s="1153">
        <v>0.9</v>
      </c>
      <c r="F29" s="1132" t="s">
        <v>1467</v>
      </c>
      <c r="G29" s="1133"/>
      <c r="H29" s="1104"/>
      <c r="I29" s="1104"/>
    </row>
    <row r="30" spans="1:9" s="1599" customFormat="1" ht="19.5" customHeight="1">
      <c r="A30" s="3493"/>
      <c r="B30" s="3493"/>
      <c r="C30" s="1130" t="s">
        <v>1468</v>
      </c>
      <c r="D30" s="1131"/>
      <c r="E30" s="1153">
        <v>0.9</v>
      </c>
      <c r="F30" s="1132" t="s">
        <v>1469</v>
      </c>
      <c r="G30" s="1133"/>
      <c r="H30" s="1104"/>
      <c r="I30" s="1104"/>
    </row>
    <row r="31" spans="1:9" s="1599" customFormat="1" ht="19.5" customHeight="1">
      <c r="A31" s="3493"/>
      <c r="B31" s="3493"/>
      <c r="C31" s="1130" t="s">
        <v>1470</v>
      </c>
      <c r="D31" s="1131"/>
      <c r="E31" s="1153">
        <v>0.8</v>
      </c>
      <c r="F31" s="1132" t="s">
        <v>1471</v>
      </c>
      <c r="G31" s="1133"/>
      <c r="H31" s="1104"/>
      <c r="I31" s="1104"/>
    </row>
    <row r="32" spans="1:9" s="1599" customFormat="1" ht="19.5" customHeight="1">
      <c r="A32" s="3493"/>
      <c r="B32" s="3493"/>
      <c r="C32" s="1130" t="s">
        <v>1472</v>
      </c>
      <c r="D32" s="1131"/>
      <c r="E32" s="1153">
        <v>0.8</v>
      </c>
      <c r="F32" s="1132" t="s">
        <v>1473</v>
      </c>
      <c r="G32" s="1133"/>
      <c r="H32" s="1104"/>
      <c r="I32" s="1104"/>
    </row>
    <row r="33" spans="1:9" s="1599" customFormat="1" ht="19.5" customHeight="1">
      <c r="A33" s="3493" t="s">
        <v>1474</v>
      </c>
      <c r="B33" s="1153" t="s">
        <v>1446</v>
      </c>
      <c r="C33" s="1130" t="s">
        <v>1475</v>
      </c>
      <c r="D33" s="1131"/>
      <c r="E33" s="1153">
        <v>1</v>
      </c>
      <c r="F33" s="1132" t="s">
        <v>1476</v>
      </c>
      <c r="G33" s="1133"/>
      <c r="H33" s="1104"/>
      <c r="I33" s="1104"/>
    </row>
    <row r="34" spans="1:9" s="1599" customFormat="1" ht="19.5" customHeight="1">
      <c r="A34" s="3493"/>
      <c r="B34" s="1153" t="s">
        <v>1449</v>
      </c>
      <c r="C34" s="1130" t="s">
        <v>1477</v>
      </c>
      <c r="D34" s="1131"/>
      <c r="E34" s="1153">
        <v>1.5</v>
      </c>
      <c r="F34" s="1132" t="s">
        <v>1478</v>
      </c>
      <c r="G34" s="1133"/>
      <c r="H34" s="1104"/>
      <c r="I34" s="1104"/>
    </row>
    <row r="35" spans="1:9" s="1599" customFormat="1" ht="19.5" customHeight="1">
      <c r="A35" s="3493" t="s">
        <v>1432</v>
      </c>
      <c r="B35" s="1153" t="s">
        <v>1446</v>
      </c>
      <c r="C35" s="1130" t="s">
        <v>1479</v>
      </c>
      <c r="D35" s="1131"/>
      <c r="E35" s="1153">
        <v>1</v>
      </c>
      <c r="F35" s="1132" t="s">
        <v>1480</v>
      </c>
      <c r="G35" s="1133"/>
      <c r="H35" s="1104"/>
      <c r="I35" s="1104"/>
    </row>
    <row r="36" spans="1:9" s="1599" customFormat="1" ht="19.5" customHeight="1">
      <c r="A36" s="3493"/>
      <c r="B36" s="3493" t="s">
        <v>1449</v>
      </c>
      <c r="C36" s="1130" t="s">
        <v>1481</v>
      </c>
      <c r="D36" s="1131"/>
      <c r="E36" s="1153">
        <v>1</v>
      </c>
      <c r="F36" s="1132" t="s">
        <v>1482</v>
      </c>
      <c r="G36" s="1133"/>
      <c r="H36" s="1104"/>
      <c r="I36" s="1104"/>
    </row>
    <row r="37" spans="1:9" s="1599" customFormat="1" ht="19.5" customHeight="1">
      <c r="A37" s="3493"/>
      <c r="B37" s="3493"/>
      <c r="C37" s="1130" t="s">
        <v>1483</v>
      </c>
      <c r="D37" s="1131"/>
      <c r="E37" s="1153">
        <v>1.5</v>
      </c>
      <c r="F37" s="1132" t="s">
        <v>1484</v>
      </c>
      <c r="G37" s="1133"/>
      <c r="H37" s="1104"/>
      <c r="I37" s="1104"/>
    </row>
    <row r="38" spans="1:9" s="1599" customFormat="1" ht="19.5" customHeight="1">
      <c r="A38" s="3493"/>
      <c r="B38" s="3493"/>
      <c r="C38" s="1130" t="s">
        <v>1485</v>
      </c>
      <c r="D38" s="1131"/>
      <c r="E38" s="1153">
        <v>1</v>
      </c>
      <c r="F38" s="1132" t="s">
        <v>1486</v>
      </c>
      <c r="G38" s="1133"/>
      <c r="H38" s="1104"/>
      <c r="I38" s="1104"/>
    </row>
    <row r="39" spans="1:9" s="1599" customFormat="1" ht="19.5" customHeight="1">
      <c r="A39" s="3493"/>
      <c r="B39" s="3493"/>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93" t="s">
        <v>1501</v>
      </c>
      <c r="C61" s="1067" t="s">
        <v>1502</v>
      </c>
      <c r="D61" s="1067" t="s">
        <v>1503</v>
      </c>
      <c r="E61" s="1138">
        <v>0.5</v>
      </c>
      <c r="F61" s="1153">
        <v>80</v>
      </c>
      <c r="H61" s="1104">
        <f>SUMIF(C59:C119,基准地价!C8,E59:E119)</f>
        <v>0</v>
      </c>
    </row>
    <row r="62" spans="1:8" s="1104" customFormat="1" ht="24">
      <c r="A62" s="1153">
        <v>2</v>
      </c>
      <c r="B62" s="3493"/>
      <c r="C62" s="1067" t="s">
        <v>1504</v>
      </c>
      <c r="D62" s="1067" t="s">
        <v>1505</v>
      </c>
      <c r="E62" s="1138">
        <v>0.5</v>
      </c>
      <c r="F62" s="1153">
        <v>80</v>
      </c>
    </row>
    <row r="63" spans="1:8" s="1104" customFormat="1" ht="36">
      <c r="A63" s="1153">
        <v>3</v>
      </c>
      <c r="B63" s="3493"/>
      <c r="C63" s="1067" t="s">
        <v>1506</v>
      </c>
      <c r="D63" s="1067" t="s">
        <v>1507</v>
      </c>
      <c r="E63" s="1138">
        <v>0.5</v>
      </c>
      <c r="F63" s="1153">
        <v>80</v>
      </c>
    </row>
    <row r="64" spans="1:8" s="1104" customFormat="1" ht="36">
      <c r="A64" s="1153">
        <v>4</v>
      </c>
      <c r="B64" s="3493"/>
      <c r="C64" s="1067" t="s">
        <v>1508</v>
      </c>
      <c r="D64" s="1067" t="s">
        <v>1509</v>
      </c>
      <c r="E64" s="1138">
        <v>0.4</v>
      </c>
      <c r="F64" s="1153">
        <v>60</v>
      </c>
    </row>
    <row r="65" spans="1:6" s="1104" customFormat="1" ht="36">
      <c r="A65" s="1153">
        <v>5</v>
      </c>
      <c r="B65" s="3493"/>
      <c r="C65" s="1067" t="s">
        <v>1510</v>
      </c>
      <c r="D65" s="1067" t="s">
        <v>1511</v>
      </c>
      <c r="E65" s="1138">
        <v>0.2</v>
      </c>
      <c r="F65" s="1153">
        <v>30</v>
      </c>
    </row>
    <row r="66" spans="1:6" s="1104" customFormat="1" ht="36">
      <c r="A66" s="1153">
        <v>6</v>
      </c>
      <c r="B66" s="3493"/>
      <c r="C66" s="1067" t="s">
        <v>1512</v>
      </c>
      <c r="D66" s="1067" t="s">
        <v>1513</v>
      </c>
      <c r="E66" s="1138">
        <v>0.3</v>
      </c>
      <c r="F66" s="1153">
        <v>50</v>
      </c>
    </row>
    <row r="67" spans="1:6" s="1104" customFormat="1" ht="36">
      <c r="A67" s="1153">
        <v>7</v>
      </c>
      <c r="B67" s="3493"/>
      <c r="C67" s="1067" t="s">
        <v>1514</v>
      </c>
      <c r="D67" s="1067" t="s">
        <v>1515</v>
      </c>
      <c r="E67" s="1138">
        <v>0.2</v>
      </c>
      <c r="F67" s="1153">
        <v>30</v>
      </c>
    </row>
    <row r="68" spans="1:6" s="1104" customFormat="1" ht="36">
      <c r="A68" s="1153">
        <v>8</v>
      </c>
      <c r="B68" s="3493"/>
      <c r="C68" s="1067" t="s">
        <v>1516</v>
      </c>
      <c r="D68" s="1067" t="s">
        <v>1517</v>
      </c>
      <c r="E68" s="1138">
        <v>0.2</v>
      </c>
      <c r="F68" s="1153">
        <v>30</v>
      </c>
    </row>
    <row r="69" spans="1:6" s="1104" customFormat="1" ht="36">
      <c r="A69" s="1153">
        <v>9</v>
      </c>
      <c r="B69" s="3493"/>
      <c r="C69" s="1067" t="s">
        <v>1518</v>
      </c>
      <c r="D69" s="1067" t="s">
        <v>1519</v>
      </c>
      <c r="E69" s="1138">
        <v>0.2</v>
      </c>
      <c r="F69" s="1153">
        <v>30</v>
      </c>
    </row>
    <row r="70" spans="1:6" s="1104" customFormat="1" ht="48">
      <c r="A70" s="1153">
        <v>10</v>
      </c>
      <c r="B70" s="3493"/>
      <c r="C70" s="1067" t="s">
        <v>1520</v>
      </c>
      <c r="D70" s="1067" t="s">
        <v>1521</v>
      </c>
      <c r="E70" s="1138">
        <v>0.2</v>
      </c>
      <c r="F70" s="1153">
        <v>30</v>
      </c>
    </row>
    <row r="71" spans="1:6" s="1104" customFormat="1" ht="48">
      <c r="A71" s="1153">
        <v>11</v>
      </c>
      <c r="B71" s="3493"/>
      <c r="C71" s="1067" t="s">
        <v>1522</v>
      </c>
      <c r="D71" s="1067" t="s">
        <v>1523</v>
      </c>
      <c r="E71" s="1138">
        <v>0.2</v>
      </c>
      <c r="F71" s="1153">
        <v>30</v>
      </c>
    </row>
    <row r="72" spans="1:6" s="1104" customFormat="1" ht="36">
      <c r="A72" s="1153">
        <v>12</v>
      </c>
      <c r="B72" s="3493"/>
      <c r="C72" s="1067" t="s">
        <v>1524</v>
      </c>
      <c r="D72" s="1067" t="s">
        <v>1525</v>
      </c>
      <c r="E72" s="1138">
        <v>0.5</v>
      </c>
      <c r="F72" s="1153">
        <v>80</v>
      </c>
    </row>
    <row r="73" spans="1:6" s="1104" customFormat="1" ht="24">
      <c r="A73" s="1153">
        <v>13</v>
      </c>
      <c r="B73" s="3493"/>
      <c r="C73" s="1067" t="s">
        <v>1526</v>
      </c>
      <c r="D73" s="1067" t="s">
        <v>1527</v>
      </c>
      <c r="E73" s="1138">
        <v>0.4</v>
      </c>
      <c r="F73" s="1153">
        <v>60</v>
      </c>
    </row>
    <row r="74" spans="1:6" s="1104" customFormat="1" ht="24">
      <c r="A74" s="1153">
        <v>14</v>
      </c>
      <c r="B74" s="3493"/>
      <c r="C74" s="1067" t="s">
        <v>1528</v>
      </c>
      <c r="D74" s="1067" t="s">
        <v>1529</v>
      </c>
      <c r="E74" s="1138">
        <v>0.2</v>
      </c>
      <c r="F74" s="1153">
        <v>30</v>
      </c>
    </row>
    <row r="75" spans="1:6" s="1104" customFormat="1" ht="24">
      <c r="A75" s="1153">
        <v>15</v>
      </c>
      <c r="B75" s="3493"/>
      <c r="C75" s="1067" t="s">
        <v>1530</v>
      </c>
      <c r="D75" s="1067" t="s">
        <v>1531</v>
      </c>
      <c r="E75" s="1138">
        <v>0.2</v>
      </c>
      <c r="F75" s="1153">
        <v>30</v>
      </c>
    </row>
    <row r="76" spans="1:6" s="1104" customFormat="1" ht="24">
      <c r="A76" s="1153">
        <v>16</v>
      </c>
      <c r="B76" s="3493" t="s">
        <v>1532</v>
      </c>
      <c r="C76" s="1067" t="s">
        <v>1533</v>
      </c>
      <c r="D76" s="1067" t="s">
        <v>1534</v>
      </c>
      <c r="E76" s="1138">
        <v>0.5</v>
      </c>
      <c r="F76" s="1153">
        <v>80</v>
      </c>
    </row>
    <row r="77" spans="1:6" s="1104" customFormat="1" ht="24">
      <c r="A77" s="1153">
        <v>17</v>
      </c>
      <c r="B77" s="3493"/>
      <c r="C77" s="1067" t="s">
        <v>1535</v>
      </c>
      <c r="D77" s="1067" t="s">
        <v>1536</v>
      </c>
      <c r="E77" s="1138">
        <v>0.5</v>
      </c>
      <c r="F77" s="1153">
        <v>80</v>
      </c>
    </row>
    <row r="78" spans="1:6" s="1104" customFormat="1" ht="24">
      <c r="A78" s="1153">
        <v>18</v>
      </c>
      <c r="B78" s="3493"/>
      <c r="C78" s="1067" t="s">
        <v>1537</v>
      </c>
      <c r="D78" s="1067" t="s">
        <v>1538</v>
      </c>
      <c r="E78" s="1138">
        <v>0.2</v>
      </c>
      <c r="F78" s="1153">
        <v>30</v>
      </c>
    </row>
    <row r="79" spans="1:6" s="1104" customFormat="1" ht="24">
      <c r="A79" s="1153">
        <v>19</v>
      </c>
      <c r="B79" s="3493"/>
      <c r="C79" s="1067" t="s">
        <v>1539</v>
      </c>
      <c r="D79" s="1067" t="s">
        <v>1540</v>
      </c>
      <c r="E79" s="1138">
        <v>0.5</v>
      </c>
      <c r="F79" s="1153">
        <v>80</v>
      </c>
    </row>
    <row r="80" spans="1:6" s="1104" customFormat="1" ht="36">
      <c r="A80" s="1153">
        <v>20</v>
      </c>
      <c r="B80" s="3493"/>
      <c r="C80" s="1067" t="s">
        <v>1541</v>
      </c>
      <c r="D80" s="1067" t="s">
        <v>1542</v>
      </c>
      <c r="E80" s="1138">
        <v>0.2</v>
      </c>
      <c r="F80" s="1153">
        <v>30</v>
      </c>
    </row>
    <row r="81" spans="1:6" s="1104" customFormat="1" ht="36">
      <c r="A81" s="1153">
        <v>21</v>
      </c>
      <c r="B81" s="3493"/>
      <c r="C81" s="1067" t="s">
        <v>1543</v>
      </c>
      <c r="D81" s="1067" t="s">
        <v>1544</v>
      </c>
      <c r="E81" s="1138">
        <v>0.2</v>
      </c>
      <c r="F81" s="1153">
        <v>30</v>
      </c>
    </row>
    <row r="82" spans="1:6" s="1104" customFormat="1" ht="48">
      <c r="A82" s="1153">
        <v>22</v>
      </c>
      <c r="B82" s="3493"/>
      <c r="C82" s="1067" t="s">
        <v>1545</v>
      </c>
      <c r="D82" s="1067" t="s">
        <v>1546</v>
      </c>
      <c r="E82" s="1138">
        <v>0.2</v>
      </c>
      <c r="F82" s="1153">
        <v>30</v>
      </c>
    </row>
    <row r="83" spans="1:6" s="1104" customFormat="1" ht="48">
      <c r="A83" s="1153">
        <v>23</v>
      </c>
      <c r="B83" s="3493"/>
      <c r="C83" s="1067" t="s">
        <v>1547</v>
      </c>
      <c r="D83" s="1067" t="s">
        <v>1548</v>
      </c>
      <c r="E83" s="1138">
        <v>0.2</v>
      </c>
      <c r="F83" s="1153">
        <v>30</v>
      </c>
    </row>
    <row r="84" spans="1:6" s="1104" customFormat="1" ht="36">
      <c r="A84" s="1153">
        <v>24</v>
      </c>
      <c r="B84" s="3493"/>
      <c r="C84" s="1067" t="s">
        <v>1549</v>
      </c>
      <c r="D84" s="1067" t="s">
        <v>1550</v>
      </c>
      <c r="E84" s="1138">
        <v>0.2</v>
      </c>
      <c r="F84" s="1153">
        <v>30</v>
      </c>
    </row>
    <row r="85" spans="1:6" s="1104" customFormat="1" ht="36">
      <c r="A85" s="1153">
        <v>25</v>
      </c>
      <c r="B85" s="3493"/>
      <c r="C85" s="1067" t="s">
        <v>1551</v>
      </c>
      <c r="D85" s="1067" t="s">
        <v>1552</v>
      </c>
      <c r="E85" s="1138">
        <v>0.5</v>
      </c>
      <c r="F85" s="1153">
        <v>80</v>
      </c>
    </row>
    <row r="86" spans="1:6" s="1104" customFormat="1" ht="36">
      <c r="A86" s="1153">
        <v>26</v>
      </c>
      <c r="B86" s="3493"/>
      <c r="C86" s="1067" t="s">
        <v>1553</v>
      </c>
      <c r="D86" s="1067" t="s">
        <v>1554</v>
      </c>
      <c r="E86" s="1138">
        <v>0.2</v>
      </c>
      <c r="F86" s="1153">
        <v>30</v>
      </c>
    </row>
    <row r="87" spans="1:6" s="1104" customFormat="1" ht="36">
      <c r="A87" s="1153">
        <v>27</v>
      </c>
      <c r="B87" s="3493"/>
      <c r="C87" s="1067" t="s">
        <v>1555</v>
      </c>
      <c r="D87" s="1067" t="s">
        <v>1556</v>
      </c>
      <c r="E87" s="1138">
        <v>0.2</v>
      </c>
      <c r="F87" s="1153">
        <v>30</v>
      </c>
    </row>
    <row r="88" spans="1:6" s="1104" customFormat="1" ht="36">
      <c r="A88" s="1153">
        <v>28</v>
      </c>
      <c r="B88" s="3493"/>
      <c r="C88" s="1067" t="s">
        <v>1557</v>
      </c>
      <c r="D88" s="1067" t="s">
        <v>1558</v>
      </c>
      <c r="E88" s="1138">
        <v>0.2</v>
      </c>
      <c r="F88" s="1153">
        <v>30</v>
      </c>
    </row>
    <row r="89" spans="1:6" s="1104" customFormat="1" ht="24">
      <c r="A89" s="1153">
        <v>29</v>
      </c>
      <c r="B89" s="3493"/>
      <c r="C89" s="1067" t="s">
        <v>1559</v>
      </c>
      <c r="D89" s="1067" t="s">
        <v>1560</v>
      </c>
      <c r="E89" s="1138">
        <v>0.2</v>
      </c>
      <c r="F89" s="1153">
        <v>30</v>
      </c>
    </row>
    <row r="90" spans="1:6" s="1104" customFormat="1" ht="24">
      <c r="A90" s="1153">
        <v>30</v>
      </c>
      <c r="B90" s="3493"/>
      <c r="C90" s="1067" t="s">
        <v>1561</v>
      </c>
      <c r="D90" s="1067" t="s">
        <v>1562</v>
      </c>
      <c r="E90" s="1138">
        <v>0.2</v>
      </c>
      <c r="F90" s="1153">
        <v>30</v>
      </c>
    </row>
    <row r="91" spans="1:6" s="1104" customFormat="1" ht="36">
      <c r="A91" s="1153">
        <v>31</v>
      </c>
      <c r="B91" s="3493"/>
      <c r="C91" s="1067" t="s">
        <v>1563</v>
      </c>
      <c r="D91" s="1067" t="s">
        <v>1564</v>
      </c>
      <c r="E91" s="1138">
        <v>0.2</v>
      </c>
      <c r="F91" s="1153">
        <v>30</v>
      </c>
    </row>
    <row r="92" spans="1:6" s="1104" customFormat="1" ht="24">
      <c r="A92" s="1153">
        <v>32</v>
      </c>
      <c r="B92" s="3493" t="s">
        <v>1565</v>
      </c>
      <c r="C92" s="1153" t="s">
        <v>1566</v>
      </c>
      <c r="D92" s="1067" t="s">
        <v>1567</v>
      </c>
      <c r="E92" s="1138">
        <v>0.2</v>
      </c>
      <c r="F92" s="1153">
        <v>30</v>
      </c>
    </row>
    <row r="93" spans="1:6" s="1104" customFormat="1" ht="36">
      <c r="A93" s="1153">
        <v>33</v>
      </c>
      <c r="B93" s="3493"/>
      <c r="C93" s="1153" t="s">
        <v>1568</v>
      </c>
      <c r="D93" s="1067" t="s">
        <v>1569</v>
      </c>
      <c r="E93" s="1138">
        <v>0.2</v>
      </c>
      <c r="F93" s="1153">
        <v>30</v>
      </c>
    </row>
    <row r="94" spans="1:6" s="1104" customFormat="1" ht="48">
      <c r="A94" s="1153">
        <v>34</v>
      </c>
      <c r="B94" s="3493"/>
      <c r="C94" s="1153" t="s">
        <v>1570</v>
      </c>
      <c r="D94" s="1067" t="s">
        <v>1571</v>
      </c>
      <c r="E94" s="1138">
        <v>0.2</v>
      </c>
      <c r="F94" s="1153">
        <v>30</v>
      </c>
    </row>
    <row r="95" spans="1:6" s="1104" customFormat="1" ht="36">
      <c r="A95" s="1153">
        <v>35</v>
      </c>
      <c r="B95" s="3493"/>
      <c r="C95" s="1153" t="s">
        <v>1572</v>
      </c>
      <c r="D95" s="1067" t="s">
        <v>1573</v>
      </c>
      <c r="E95" s="1138">
        <v>0.2</v>
      </c>
      <c r="F95" s="1153">
        <v>30</v>
      </c>
    </row>
    <row r="96" spans="1:6" s="1104" customFormat="1" ht="48">
      <c r="A96" s="1153">
        <v>36</v>
      </c>
      <c r="B96" s="3493"/>
      <c r="C96" s="1067" t="s">
        <v>1574</v>
      </c>
      <c r="D96" s="1067" t="s">
        <v>1575</v>
      </c>
      <c r="E96" s="1138">
        <v>0.2</v>
      </c>
      <c r="F96" s="1153">
        <v>30</v>
      </c>
    </row>
    <row r="97" spans="1:6" s="1104" customFormat="1" ht="36">
      <c r="A97" s="1153">
        <v>37</v>
      </c>
      <c r="B97" s="3493"/>
      <c r="C97" s="1153" t="s">
        <v>1576</v>
      </c>
      <c r="D97" s="1067" t="s">
        <v>1577</v>
      </c>
      <c r="E97" s="1138">
        <v>0.2</v>
      </c>
      <c r="F97" s="1153">
        <v>30</v>
      </c>
    </row>
    <row r="98" spans="1:6" s="1104" customFormat="1" ht="36">
      <c r="A98" s="1153">
        <v>38</v>
      </c>
      <c r="B98" s="3493"/>
      <c r="C98" s="1153" t="s">
        <v>1578</v>
      </c>
      <c r="D98" s="1067" t="s">
        <v>1579</v>
      </c>
      <c r="E98" s="1138">
        <v>0.2</v>
      </c>
      <c r="F98" s="1153">
        <v>30</v>
      </c>
    </row>
    <row r="99" spans="1:6" s="1104" customFormat="1" ht="36">
      <c r="A99" s="1153">
        <v>39</v>
      </c>
      <c r="B99" s="3493" t="s">
        <v>1580</v>
      </c>
      <c r="C99" s="1153" t="s">
        <v>1581</v>
      </c>
      <c r="D99" s="1067" t="s">
        <v>1582</v>
      </c>
      <c r="E99" s="1138">
        <v>0.3</v>
      </c>
      <c r="F99" s="1153">
        <v>50</v>
      </c>
    </row>
    <row r="100" spans="1:6" s="1104" customFormat="1" ht="24">
      <c r="A100" s="1153">
        <v>40</v>
      </c>
      <c r="B100" s="3493"/>
      <c r="C100" s="1153" t="s">
        <v>1583</v>
      </c>
      <c r="D100" s="1067" t="s">
        <v>1584</v>
      </c>
      <c r="E100" s="1138">
        <v>0.2</v>
      </c>
      <c r="F100" s="1153">
        <v>30</v>
      </c>
    </row>
    <row r="101" spans="1:6" s="1104" customFormat="1" ht="36">
      <c r="A101" s="1153">
        <v>41</v>
      </c>
      <c r="B101" s="349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93" t="s">
        <v>1595</v>
      </c>
      <c r="C105" s="1153" t="s">
        <v>1596</v>
      </c>
      <c r="D105" s="1067" t="s">
        <v>1597</v>
      </c>
      <c r="E105" s="1138">
        <v>0.2</v>
      </c>
      <c r="F105" s="1153">
        <v>30</v>
      </c>
    </row>
    <row r="106" spans="1:6" s="1104" customFormat="1" ht="36">
      <c r="A106" s="1153">
        <v>46</v>
      </c>
      <c r="B106" s="3493"/>
      <c r="C106" s="1153" t="s">
        <v>1598</v>
      </c>
      <c r="D106" s="1067" t="s">
        <v>1599</v>
      </c>
      <c r="E106" s="1138">
        <v>0.2</v>
      </c>
      <c r="F106" s="1153">
        <v>30</v>
      </c>
    </row>
    <row r="107" spans="1:6" s="1104" customFormat="1" ht="36">
      <c r="A107" s="1153">
        <v>47</v>
      </c>
      <c r="B107" s="3493" t="s">
        <v>1600</v>
      </c>
      <c r="C107" s="1153" t="s">
        <v>1601</v>
      </c>
      <c r="D107" s="1067" t="s">
        <v>1602</v>
      </c>
      <c r="E107" s="1138">
        <v>0.3</v>
      </c>
      <c r="F107" s="1153">
        <v>50</v>
      </c>
    </row>
    <row r="108" spans="1:6" s="1104" customFormat="1" ht="36">
      <c r="A108" s="1153">
        <v>48</v>
      </c>
      <c r="B108" s="349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93" t="s">
        <v>1611</v>
      </c>
      <c r="C111" s="1153" t="s">
        <v>1612</v>
      </c>
      <c r="D111" s="1067" t="s">
        <v>1613</v>
      </c>
      <c r="E111" s="1138">
        <v>0.2</v>
      </c>
      <c r="F111" s="1153">
        <v>30</v>
      </c>
    </row>
    <row r="112" spans="1:6" s="1104" customFormat="1" ht="24">
      <c r="A112" s="1153">
        <v>52</v>
      </c>
      <c r="B112" s="3493"/>
      <c r="C112" s="1153" t="s">
        <v>1614</v>
      </c>
      <c r="D112" s="1067" t="s">
        <v>1615</v>
      </c>
      <c r="E112" s="1138">
        <v>0.2</v>
      </c>
      <c r="F112" s="1153">
        <v>30</v>
      </c>
    </row>
    <row r="113" spans="1:14" s="1104" customFormat="1" ht="24">
      <c r="A113" s="1153">
        <v>53</v>
      </c>
      <c r="B113" s="349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93" t="s">
        <v>1624</v>
      </c>
      <c r="C116" s="1153" t="s">
        <v>1625</v>
      </c>
      <c r="D116" s="1067" t="s">
        <v>1626</v>
      </c>
      <c r="E116" s="1138">
        <v>0.2</v>
      </c>
      <c r="F116" s="1153">
        <v>30</v>
      </c>
    </row>
    <row r="117" spans="1:14" ht="36">
      <c r="A117" s="1153">
        <v>57</v>
      </c>
      <c r="B117" s="349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92" t="s">
        <v>1633</v>
      </c>
      <c r="B121" s="3492"/>
      <c r="C121" s="3492"/>
      <c r="D121" s="3492"/>
      <c r="E121" s="3492"/>
      <c r="F121" s="3492"/>
      <c r="G121" s="3492"/>
      <c r="H121" s="3492"/>
      <c r="I121" s="3492"/>
      <c r="J121" s="349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7" t="s">
        <v>1039</v>
      </c>
      <c r="B1" s="3497"/>
      <c r="C1" s="3497"/>
      <c r="D1" s="3497"/>
      <c r="E1" s="3497"/>
      <c r="F1" s="349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98" t="s">
        <v>1052</v>
      </c>
      <c r="B2" s="3498"/>
      <c r="C2" s="3498"/>
      <c r="D2" s="3498"/>
      <c r="E2" s="3498"/>
      <c r="F2" s="349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9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0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01" t="s">
        <v>2080</v>
      </c>
      <c r="B1" s="350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2939</v>
      </c>
      <c r="B1" s="3135"/>
      <c r="C1" s="3135"/>
      <c r="D1" s="3135"/>
      <c r="E1" s="3135"/>
      <c r="F1" s="3135"/>
    </row>
    <row r="2" spans="1:6" ht="14.25">
      <c r="A2" s="3136" t="s">
        <v>2933</v>
      </c>
      <c r="B2" s="3137" t="e">
        <f ca="1">SUMIF(B7:B14,"&lt;&gt;#ref!",B7:B14)</f>
        <v>#DIV/0!</v>
      </c>
      <c r="C2" s="3136" t="s">
        <v>2934</v>
      </c>
      <c r="D2" s="3135"/>
      <c r="E2" s="3135"/>
      <c r="F2" s="3135"/>
    </row>
    <row r="3" spans="1:6" ht="14.25">
      <c r="A3" s="3136" t="s">
        <v>2936</v>
      </c>
      <c r="B3" s="3137" t="e">
        <f ca="1">ROUND(B2*10000/E3,0)</f>
        <v>#DIV/0!</v>
      </c>
      <c r="C3" s="3136" t="s">
        <v>2079</v>
      </c>
      <c r="D3" s="3136" t="s">
        <v>2935</v>
      </c>
      <c r="E3" s="3137" t="e">
        <f ca="1">SUM(E7:E14)</f>
        <v>#REF!</v>
      </c>
      <c r="F3" s="3135"/>
    </row>
    <row r="4" spans="1:6" ht="14.25">
      <c r="A4" s="3136" t="s">
        <v>2943</v>
      </c>
      <c r="B4" s="3137" t="e">
        <f ca="1">ROUND(B2*10000/E4,0)</f>
        <v>#DIV/0!</v>
      </c>
      <c r="C4" s="3136" t="s">
        <v>2079</v>
      </c>
      <c r="D4" s="3136" t="s">
        <v>2944</v>
      </c>
      <c r="E4" s="3137" t="e">
        <f ca="1">SUM(F7:F14)</f>
        <v>#REF!</v>
      </c>
      <c r="F4" s="3135"/>
    </row>
    <row r="5" spans="1:6" ht="14.25">
      <c r="A5" s="3138"/>
      <c r="B5" s="1882"/>
      <c r="C5" s="1882"/>
      <c r="D5" s="1882"/>
      <c r="E5" s="1882"/>
      <c r="F5" s="3135"/>
    </row>
    <row r="6" spans="1:6" ht="28.5">
      <c r="A6" s="3139" t="s">
        <v>2940</v>
      </c>
      <c r="B6" s="3136" t="s">
        <v>2937</v>
      </c>
      <c r="C6" s="3137"/>
      <c r="D6" s="1882"/>
      <c r="E6" s="3136" t="s">
        <v>2938</v>
      </c>
      <c r="F6" s="3136" t="s">
        <v>2942</v>
      </c>
    </row>
    <row r="7" spans="1:6" ht="14.25">
      <c r="A7" s="260" t="s">
        <v>2941</v>
      </c>
      <c r="B7" s="3140" t="e">
        <f ca="1">SUMIF(INDIRECT("'"&amp;A7&amp;"'"&amp;"!A:A"),"总价",INDIRECT("'"&amp;A7&amp;"'"&amp;"!B:B"))</f>
        <v>#DIV/0!</v>
      </c>
      <c r="C7" s="3136" t="s">
        <v>2934</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2934</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2934</v>
      </c>
      <c r="D9" s="1882"/>
      <c r="E9" s="3141" t="e">
        <f t="shared" ca="1" si="1"/>
        <v>#REF!</v>
      </c>
      <c r="F9" s="3141" t="e">
        <f t="shared" ca="1" si="2"/>
        <v>#REF!</v>
      </c>
    </row>
    <row r="10" spans="1:6" ht="14.25">
      <c r="A10" s="260"/>
      <c r="B10" s="3140" t="e">
        <f t="shared" ca="1" si="0"/>
        <v>#REF!</v>
      </c>
      <c r="C10" s="3136" t="s">
        <v>2934</v>
      </c>
      <c r="D10" s="1882"/>
      <c r="E10" s="3141" t="e">
        <f t="shared" ca="1" si="1"/>
        <v>#REF!</v>
      </c>
      <c r="F10" s="3141" t="e">
        <f t="shared" ca="1" si="2"/>
        <v>#REF!</v>
      </c>
    </row>
    <row r="11" spans="1:6" ht="14.25">
      <c r="A11" s="260"/>
      <c r="B11" s="3140" t="e">
        <f t="shared" ca="1" si="0"/>
        <v>#REF!</v>
      </c>
      <c r="C11" s="3136" t="s">
        <v>2934</v>
      </c>
      <c r="D11" s="1882"/>
      <c r="E11" s="3141" t="e">
        <f t="shared" ca="1" si="1"/>
        <v>#REF!</v>
      </c>
      <c r="F11" s="3141" t="e">
        <f t="shared" ca="1" si="2"/>
        <v>#REF!</v>
      </c>
    </row>
    <row r="12" spans="1:6" ht="14.25">
      <c r="A12" s="260"/>
      <c r="B12" s="3140" t="e">
        <f t="shared" ca="1" si="0"/>
        <v>#REF!</v>
      </c>
      <c r="C12" s="3136" t="s">
        <v>2934</v>
      </c>
      <c r="D12" s="1882"/>
      <c r="E12" s="3141" t="e">
        <f t="shared" ca="1" si="1"/>
        <v>#REF!</v>
      </c>
      <c r="F12" s="3141" t="e">
        <f t="shared" ca="1" si="2"/>
        <v>#REF!</v>
      </c>
    </row>
    <row r="13" spans="1:6" ht="14.25">
      <c r="A13" s="260"/>
      <c r="B13" s="3140" t="e">
        <f t="shared" ca="1" si="0"/>
        <v>#REF!</v>
      </c>
      <c r="C13" s="3136" t="s">
        <v>2934</v>
      </c>
      <c r="D13" s="1882"/>
      <c r="E13" s="3141" t="e">
        <f t="shared" ca="1" si="1"/>
        <v>#REF!</v>
      </c>
      <c r="F13" s="3141" t="e">
        <f t="shared" ca="1" si="2"/>
        <v>#REF!</v>
      </c>
    </row>
    <row r="14" spans="1:6" ht="14.25">
      <c r="A14" s="3134"/>
      <c r="B14" s="3140" t="e">
        <f t="shared" ca="1" si="0"/>
        <v>#REF!</v>
      </c>
      <c r="C14" s="3136" t="s">
        <v>2934</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1905</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56.25">
      <c r="A7" s="1796" t="s">
        <v>2747</v>
      </c>
    </row>
    <row r="8" spans="1:4" ht="18.75">
      <c r="A8" s="1795" t="s">
        <v>1906</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2018年4月27日（评估专业人员勘察现场之日）</v>
      </c>
    </row>
    <row r="12" spans="1:4" ht="18.75">
      <c r="A12" s="1798" t="s">
        <v>2026</v>
      </c>
    </row>
    <row r="13" spans="1:4" ht="18.75">
      <c r="A13" s="1792" t="s">
        <v>2930</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23" spans="1:1" ht="37.5">
      <c r="A23" s="1792" t="str">
        <f>IF(项目基本情况!B16="出让","本次评估设定估价对象剩余土地使用年限为"&amp;项目基本情况!D20&amp;"。","")</f>
        <v>本次评估设定估价对象剩余土地使用年限为住宅67.61年、商业37.59年、地下车库47.6年。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2376</v>
      </c>
      <c r="F1" s="2413">
        <f ca="1">J54</f>
        <v>0</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2458</v>
      </c>
      <c r="C7" s="53">
        <f ca="1">C8+C12+C14</f>
        <v>0</v>
      </c>
      <c r="D7" s="2521" t="s">
        <v>2461</v>
      </c>
      <c r="E7" s="2515"/>
      <c r="F7" s="2516"/>
      <c r="G7" s="1592"/>
      <c r="H7" s="781">
        <v>1</v>
      </c>
      <c r="I7" s="782" t="s">
        <v>2458</v>
      </c>
      <c r="J7" s="53">
        <f ca="1">J8+J12+J14</f>
        <v>0</v>
      </c>
      <c r="K7" s="2521" t="s">
        <v>2461</v>
      </c>
      <c r="L7" s="2515"/>
      <c r="M7" s="2516"/>
    </row>
    <row r="8" spans="1:25" ht="18" customHeight="1">
      <c r="A8" s="1831" t="s">
        <v>1824</v>
      </c>
      <c r="B8" s="3503" t="s">
        <v>2463</v>
      </c>
      <c r="C8" s="1826">
        <f ca="1">ROUND(F8*F10*F9*(1-F11)/10000,0)</f>
        <v>0</v>
      </c>
      <c r="D8" s="1823" t="s">
        <v>2534</v>
      </c>
      <c r="E8" s="61" t="s">
        <v>636</v>
      </c>
      <c r="F8" s="785">
        <f ca="1">INDIRECT("'数据-取费表'!u"&amp;$G$1)</f>
        <v>0</v>
      </c>
      <c r="G8" s="1592"/>
      <c r="H8" s="2529" t="s">
        <v>1824</v>
      </c>
      <c r="I8" s="3503" t="s">
        <v>2463</v>
      </c>
      <c r="J8" s="783">
        <f ca="1">ROUND(M8*M10*M9*(1-M11)/10000,0)</f>
        <v>0</v>
      </c>
      <c r="K8" s="341" t="s">
        <v>2534</v>
      </c>
      <c r="L8" s="784" t="s">
        <v>1738</v>
      </c>
      <c r="M8" s="785">
        <f ca="1">INDIRECT("'数据-取费表'!z"&amp;$G$1)</f>
        <v>0</v>
      </c>
    </row>
    <row r="9" spans="1:25" ht="18" customHeight="1">
      <c r="A9" s="2525"/>
      <c r="B9" s="3504"/>
      <c r="C9" s="1827"/>
      <c r="D9" s="1824"/>
      <c r="E9" s="61" t="s">
        <v>637</v>
      </c>
      <c r="F9" s="785">
        <f ca="1">IF(INDIRECT("'数据-取费表'!ah"&amp;$G$1)="",INDIRECT("'数据-取费表'!k"&amp;$G$1),INDIRECT("'数据-取费表'!ah"&amp;$G$1))</f>
        <v>0</v>
      </c>
      <c r="G9" s="1592"/>
      <c r="H9" s="2514"/>
      <c r="I9" s="3504"/>
      <c r="J9" s="788"/>
      <c r="K9" s="789"/>
      <c r="L9" s="784" t="s">
        <v>1739</v>
      </c>
      <c r="M9" s="785">
        <f ca="1">F9</f>
        <v>0</v>
      </c>
    </row>
    <row r="10" spans="1:25" ht="18" customHeight="1">
      <c r="A10" s="2518"/>
      <c r="B10" s="3505"/>
      <c r="C10" s="1827"/>
      <c r="D10" s="1824"/>
      <c r="E10" s="61" t="s">
        <v>638</v>
      </c>
      <c r="F10" s="785">
        <f ca="1">INDIRECT("'数据-取费表'!ai"&amp;$G$1)</f>
        <v>0</v>
      </c>
      <c r="G10" s="1592"/>
      <c r="H10" s="2514"/>
      <c r="I10" s="3505"/>
      <c r="J10" s="788"/>
      <c r="K10" s="789"/>
      <c r="L10" s="784" t="s">
        <v>1740</v>
      </c>
      <c r="M10" s="785">
        <f ca="1">INDIRECT("'数据-取费表'!ai"&amp;$G$1)</f>
        <v>0</v>
      </c>
    </row>
    <row r="11" spans="1:25" ht="18" customHeight="1">
      <c r="A11" s="786"/>
      <c r="B11" s="3506"/>
      <c r="C11" s="1827"/>
      <c r="D11" s="1824"/>
      <c r="E11" s="61" t="s">
        <v>639</v>
      </c>
      <c r="F11" s="794">
        <f ca="1">INDIRECT("'数据-取费表'!w"&amp;$G$1)</f>
        <v>0</v>
      </c>
      <c r="G11" s="1592"/>
      <c r="H11" s="2530"/>
      <c r="I11" s="3505"/>
      <c r="J11" s="788"/>
      <c r="K11" s="789"/>
      <c r="L11" s="795" t="s">
        <v>1741</v>
      </c>
      <c r="M11" s="796">
        <f ca="1">INDIRECT("'数据-取费表'!ab"&amp;$G$1)</f>
        <v>0</v>
      </c>
    </row>
    <row r="12" spans="1:25" ht="18" customHeight="1">
      <c r="A12" s="1831" t="s">
        <v>1825</v>
      </c>
      <c r="B12" s="2519" t="s">
        <v>2459</v>
      </c>
      <c r="C12" s="799">
        <f ca="1">ROUND(IF(F12="押一",C8/12*F13,IF(F12="押二",C8/12*2*F13,IF(F12="押三",C8/12*3*F13,C13*F13))),0)</f>
        <v>0</v>
      </c>
      <c r="D12" s="2526" t="s">
        <v>2964</v>
      </c>
      <c r="E12" s="2523" t="s">
        <v>2464</v>
      </c>
      <c r="F12" s="2646"/>
      <c r="G12" s="1592"/>
      <c r="H12" s="2586" t="s">
        <v>1825</v>
      </c>
      <c r="I12" s="2591" t="s">
        <v>2459</v>
      </c>
      <c r="J12" s="783">
        <f ca="1">ROUND(IF(M12="押一",J8/12*M13,IF(M12="押二",J8/12*2*M13,IF(M12="押三",J8/12*3*M13,J13*M13))),0)</f>
        <v>0</v>
      </c>
      <c r="K12" s="2526" t="s">
        <v>2964</v>
      </c>
      <c r="L12" s="2523" t="s">
        <v>2464</v>
      </c>
      <c r="M12" s="2646"/>
    </row>
    <row r="13" spans="1:25" ht="18" customHeight="1">
      <c r="A13" s="790"/>
      <c r="B13" s="2520" t="s">
        <v>2573</v>
      </c>
      <c r="C13" s="2524"/>
      <c r="D13" s="789"/>
      <c r="E13" s="2523" t="s">
        <v>2456</v>
      </c>
      <c r="F13" s="796">
        <f ca="1">'数据-取费表'!B39</f>
        <v>1.4999999999999999E-2</v>
      </c>
      <c r="G13" s="1592"/>
      <c r="H13" s="2587"/>
      <c r="I13" s="2520" t="s">
        <v>2573</v>
      </c>
      <c r="J13" s="2524"/>
      <c r="K13" s="2588"/>
      <c r="L13" s="2523" t="s">
        <v>2456</v>
      </c>
      <c r="M13" s="2517">
        <f ca="1">'数据-取费表'!B39</f>
        <v>1.4999999999999999E-2</v>
      </c>
    </row>
    <row r="14" spans="1:25" ht="18" customHeight="1" thickBot="1">
      <c r="A14" s="2562" t="s">
        <v>2467</v>
      </c>
      <c r="B14" s="2563" t="s">
        <v>2460</v>
      </c>
      <c r="C14" s="2564"/>
      <c r="D14" s="2565"/>
      <c r="E14" s="2566"/>
      <c r="F14" s="2567"/>
      <c r="G14" s="1592"/>
      <c r="H14" s="2576" t="s">
        <v>2467</v>
      </c>
      <c r="I14" s="2589" t="s">
        <v>2460</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2070</v>
      </c>
      <c r="I16" s="2232" t="s">
        <v>2825</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2071</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2070</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3.5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1.4999999999999999E-2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2071</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2.5</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8.9999999999999998E-4</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2822</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5.2400000000000002E-2</v>
      </c>
      <c r="D30" s="812" t="s">
        <v>708</v>
      </c>
      <c r="E30" s="784" t="s">
        <v>648</v>
      </c>
      <c r="F30" s="809">
        <f>'数据-取费表'!B41</f>
        <v>5.5000000000000007E-2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2823</v>
      </c>
      <c r="C31" s="2569">
        <f ca="1">ROUND((C21+C22+C25+C28)/(1-F23-C26-C29-C30),0)</f>
        <v>0</v>
      </c>
      <c r="D31" s="2570"/>
      <c r="E31" s="2571"/>
      <c r="F31" s="2572"/>
      <c r="G31" s="1593"/>
      <c r="H31" s="823" t="s">
        <v>1872</v>
      </c>
      <c r="I31" s="3037" t="s">
        <v>2824</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5.5000000000000007E-2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3.5</v>
      </c>
      <c r="G36" s="2063"/>
      <c r="H36" s="2066"/>
      <c r="I36" s="3502"/>
      <c r="J36" s="2080"/>
      <c r="K36" s="2081"/>
      <c r="L36" s="2080"/>
      <c r="M36" s="2080"/>
    </row>
    <row r="37" spans="1:18" ht="18" customHeight="1">
      <c r="A37" s="815"/>
      <c r="B37" s="793"/>
      <c r="C37" s="69"/>
      <c r="D37" s="816"/>
      <c r="E37" s="784" t="s">
        <v>673</v>
      </c>
      <c r="F37" s="785">
        <f ca="1">INDIRECT("'数据-取费表'!r"&amp;$G$1)</f>
        <v>0</v>
      </c>
      <c r="G37" s="2063"/>
      <c r="H37" s="2066"/>
      <c r="I37" s="3502"/>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54" t="s">
        <v>2952</v>
      </c>
      <c r="F43" s="315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63">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56" t="s">
        <v>2955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2382" t="str">
        <f ca="1">IF(M48="住宅",0,IF(L49&gt;J52,L61,J61))</f>
        <v>0</v>
      </c>
      <c r="O47" s="2419" t="s">
        <v>2412</v>
      </c>
      <c r="P47" s="1592"/>
      <c r="Q47" s="1604"/>
      <c r="R47" s="1592"/>
    </row>
    <row r="48" spans="1:18" s="2060" customFormat="1" ht="18" customHeight="1" thickBot="1">
      <c r="A48" s="2085"/>
      <c r="C48" s="2088"/>
      <c r="D48" s="2089"/>
      <c r="E48" s="2089"/>
      <c r="F48" s="2090"/>
      <c r="G48" s="2091"/>
      <c r="I48" s="2383" t="s">
        <v>2345</v>
      </c>
      <c r="J48" s="2388"/>
      <c r="K48" s="2389" t="s">
        <v>2351</v>
      </c>
      <c r="L48" s="2390">
        <f ca="1">INDIRECT("'数据-取费表'!d"&amp;$G$1)</f>
        <v>0</v>
      </c>
      <c r="M48" s="3151" t="str">
        <f>IF(ISNUMBER(FIND("住宅",C1)),"住宅","非住宅")</f>
        <v>非住宅</v>
      </c>
      <c r="O48" s="2420" t="s">
        <v>2377</v>
      </c>
      <c r="P48" s="2421" t="s">
        <v>2378</v>
      </c>
      <c r="Q48" s="2422" t="s">
        <v>2379</v>
      </c>
      <c r="R48" s="2421" t="s">
        <v>2380</v>
      </c>
    </row>
    <row r="49" spans="1:18" s="2060" customFormat="1" ht="18" customHeight="1" thickBot="1">
      <c r="A49" s="2085"/>
      <c r="D49" s="2092"/>
      <c r="E49" s="2093"/>
      <c r="F49" s="2090"/>
      <c r="G49" s="2091"/>
      <c r="H49" s="2094"/>
      <c r="I49" s="2384" t="s">
        <v>2346</v>
      </c>
      <c r="J49" s="2391"/>
      <c r="K49" s="2392" t="s">
        <v>2353</v>
      </c>
      <c r="L49" s="2393">
        <f ca="1">INDIRECT("'数据-取费表'!f"&amp;$G$1)</f>
        <v>0</v>
      </c>
      <c r="O49" s="2423" t="s">
        <v>2381</v>
      </c>
      <c r="P49" s="2424" t="s">
        <v>2407</v>
      </c>
      <c r="Q49" s="2425">
        <f ca="1">C41+J31</f>
        <v>0</v>
      </c>
      <c r="R49" s="2424" t="s">
        <v>2382</v>
      </c>
    </row>
    <row r="50" spans="1:18" s="2060" customFormat="1" ht="18" customHeight="1" thickBot="1">
      <c r="A50" s="2085"/>
      <c r="D50" s="2095"/>
      <c r="E50" s="2095"/>
      <c r="F50" s="2089"/>
      <c r="G50" s="2096"/>
      <c r="H50" s="2094"/>
      <c r="I50" s="2384" t="s">
        <v>2347</v>
      </c>
      <c r="J50" s="2394"/>
      <c r="K50" s="2395" t="s">
        <v>2354</v>
      </c>
      <c r="L50" s="2396"/>
      <c r="O50" s="2423" t="s">
        <v>2383</v>
      </c>
      <c r="P50" s="2424" t="s">
        <v>2408</v>
      </c>
      <c r="Q50" s="2425" t="str">
        <f ca="1">J61</f>
        <v>0</v>
      </c>
      <c r="R50" s="2424" t="s">
        <v>2384</v>
      </c>
    </row>
    <row r="51" spans="1:18" s="2060" customFormat="1" ht="18" customHeight="1" thickBot="1">
      <c r="A51" s="2097"/>
      <c r="D51" s="2095"/>
      <c r="E51" s="2095"/>
      <c r="F51" s="2086"/>
      <c r="H51" s="2094"/>
      <c r="I51" s="2384" t="s">
        <v>2348</v>
      </c>
      <c r="J51" s="2397">
        <f>SUMPRODUCT((I64:I66=J48)*(J63:L63=J49)*(J64:L66))</f>
        <v>0</v>
      </c>
      <c r="K51" s="2395" t="s">
        <v>2355</v>
      </c>
      <c r="L51" s="2396"/>
      <c r="O51" s="2426" t="s">
        <v>2385</v>
      </c>
      <c r="P51" s="2424" t="s">
        <v>2409</v>
      </c>
      <c r="Q51" s="2425">
        <f ca="1">C31</f>
        <v>0</v>
      </c>
      <c r="R51" s="2424" t="s">
        <v>2382</v>
      </c>
    </row>
    <row r="52" spans="1:18" s="2060" customFormat="1" ht="18" customHeight="1" thickBot="1">
      <c r="A52" s="2097"/>
      <c r="F52" s="2086"/>
      <c r="I52" s="2385" t="s">
        <v>2349</v>
      </c>
      <c r="J52" s="2398">
        <f>IF(J50="",J51,J50+J51-YEAR('数据-取费表'!B3))</f>
        <v>0</v>
      </c>
      <c r="K52" s="2384" t="s">
        <v>2356</v>
      </c>
      <c r="L52" s="2399">
        <f ca="1">ROUND(-PV(INDIRECT("'数据-取费表'!h"&amp;$G$1),L49,(C40-C14*J36),0),0)</f>
        <v>0</v>
      </c>
      <c r="O52" s="2426" t="s">
        <v>2386</v>
      </c>
      <c r="P52" s="2424" t="s">
        <v>2387</v>
      </c>
      <c r="Q52" s="2427" t="e">
        <f ca="1">J59</f>
        <v>#VALUE!</v>
      </c>
      <c r="R52" s="2428"/>
    </row>
    <row r="53" spans="1:18" s="2060" customFormat="1" ht="18" customHeight="1" thickBot="1">
      <c r="A53" s="2097"/>
      <c r="F53" s="2086"/>
      <c r="I53" s="2386" t="s">
        <v>2423</v>
      </c>
      <c r="J53" s="2400"/>
      <c r="K53" s="2386" t="s">
        <v>2422</v>
      </c>
      <c r="L53" s="2400"/>
      <c r="O53" s="2426" t="s">
        <v>2388</v>
      </c>
      <c r="P53" s="2424" t="s">
        <v>2389</v>
      </c>
      <c r="Q53" s="2427">
        <f>J53</f>
        <v>0</v>
      </c>
      <c r="R53" s="2428"/>
    </row>
    <row r="54" spans="1:18" s="2060" customFormat="1" ht="43.5" thickBot="1">
      <c r="A54" s="2097"/>
      <c r="I54" s="2387" t="s">
        <v>2350</v>
      </c>
      <c r="J54" s="2401">
        <f ca="1">IF(M48="住宅",J52,IF(J52&gt;L49,L49-'数据-取费表'!B25,J52))</f>
        <v>0</v>
      </c>
      <c r="K54" s="3507"/>
      <c r="L54" s="3508"/>
      <c r="O54" s="2426" t="s">
        <v>2390</v>
      </c>
      <c r="P54" s="2424" t="s">
        <v>2391</v>
      </c>
      <c r="Q54" s="2425">
        <f ca="1">J54</f>
        <v>0</v>
      </c>
      <c r="R54" s="2424" t="s">
        <v>2392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2393</v>
      </c>
      <c r="P55" s="2424" t="s">
        <v>2410</v>
      </c>
      <c r="Q55" s="2425">
        <f ca="1">Q49+Q50</f>
        <v>0</v>
      </c>
      <c r="R55" s="2428" t="s">
        <v>2394</v>
      </c>
    </row>
    <row r="56" spans="1:18" s="2060" customFormat="1" ht="16.5" thickBot="1">
      <c r="A56" s="2097"/>
      <c r="B56" s="2098"/>
      <c r="C56" s="2098"/>
      <c r="I56" s="3128" t="s">
        <v>2357</v>
      </c>
      <c r="J56" s="3152" t="e">
        <f ca="1">ROUND(IF(J48="钢混",J58/J51,1-(1-2%)*(J51-J58)/J51),3)</f>
        <v>#VALUE!</v>
      </c>
      <c r="K56" s="2402" t="s">
        <v>2358</v>
      </c>
      <c r="L56" s="2403"/>
      <c r="O56" s="2429" t="s">
        <v>2413</v>
      </c>
      <c r="P56" s="1592"/>
      <c r="Q56" s="1604"/>
      <c r="R56" s="1592"/>
    </row>
    <row r="57" spans="1:18" s="2060" customFormat="1" ht="43.5" thickBot="1">
      <c r="A57" s="2097"/>
      <c r="B57" s="2098"/>
      <c r="C57" s="2098"/>
      <c r="I57" s="2404" t="s">
        <v>2359</v>
      </c>
      <c r="J57" s="3151" t="s">
        <v>1678</v>
      </c>
      <c r="K57" s="2384" t="s">
        <v>2364</v>
      </c>
      <c r="L57" s="2393">
        <f ca="1">IF(L49&lt;J52,"——",L49-J52)</f>
        <v>0</v>
      </c>
      <c r="O57" s="2420" t="s">
        <v>2377</v>
      </c>
      <c r="P57" s="2421" t="s">
        <v>2378</v>
      </c>
      <c r="Q57" s="2422" t="s">
        <v>2379</v>
      </c>
      <c r="R57" s="2421" t="s">
        <v>2380</v>
      </c>
    </row>
    <row r="58" spans="1:18" s="2060" customFormat="1" ht="29.25" thickBot="1">
      <c r="A58" s="2097"/>
      <c r="B58" s="2098"/>
      <c r="C58" s="2098"/>
      <c r="I58" s="2405" t="s">
        <v>2360</v>
      </c>
      <c r="J58" s="2407" t="str">
        <f ca="1">IF(OR(M48="住宅",J52&lt;L49,J57="是"),"——",J52-L49)</f>
        <v>——</v>
      </c>
      <c r="K58" s="2384" t="s">
        <v>2365</v>
      </c>
      <c r="L58" s="2393">
        <f ca="1">IF(L49&lt;J52,"——",IF(L56="比较法",L50,IF(L56="基准地价",L51,L52)))</f>
        <v>0</v>
      </c>
      <c r="O58" s="2423" t="s">
        <v>2381</v>
      </c>
      <c r="P58" s="2424" t="s">
        <v>2407</v>
      </c>
      <c r="Q58" s="2425">
        <f ca="1">C41+J31</f>
        <v>0</v>
      </c>
      <c r="R58" s="2424" t="s">
        <v>2382</v>
      </c>
    </row>
    <row r="59" spans="1:18" s="2060" customFormat="1" ht="29.25" thickBot="1">
      <c r="A59" s="2097"/>
      <c r="B59" s="2098"/>
      <c r="C59" s="2098"/>
      <c r="I59" s="2405" t="s">
        <v>2361</v>
      </c>
      <c r="J59" s="3153" t="e">
        <f ca="1">IF(J56&lt;0.4,0.4,J56)</f>
        <v>#VALUE!</v>
      </c>
      <c r="K59" s="2384" t="s">
        <v>2366</v>
      </c>
      <c r="L59" s="2393">
        <f ca="1">IF(ISERROR(POWER(1+L53,L48-L49)*(POWER(1+L53,L49)-1)/(POWER(1+L53,L48)-1)),0,POWER(1+L53,L48-L49)*(POWER(1+L53,L49)-1)/(POWER(1+L53,L48)-1))</f>
        <v>0</v>
      </c>
      <c r="O59" s="2423" t="s">
        <v>2383</v>
      </c>
      <c r="P59" s="2424" t="s">
        <v>2414</v>
      </c>
      <c r="Q59" s="2425" t="e">
        <f ca="1">L61</f>
        <v>#DIV/0!</v>
      </c>
      <c r="R59" s="2428" t="s">
        <v>2416</v>
      </c>
    </row>
    <row r="60" spans="1:18" s="2060" customFormat="1" ht="29.25" thickBot="1">
      <c r="A60" s="2097"/>
      <c r="B60" s="2098"/>
      <c r="C60" s="2098"/>
      <c r="I60" s="2405" t="s">
        <v>2362</v>
      </c>
      <c r="J60" s="2407" t="str">
        <f ca="1">IF(OR(M48="住宅",J52&lt;L49,J57="是"),"——",ROUND(C30*J59,0))</f>
        <v>——</v>
      </c>
      <c r="K60" s="2384" t="s">
        <v>2367</v>
      </c>
      <c r="L60" s="2393">
        <f ca="1">IF(ISERROR(POWER(1+L53,L48-J52)*(POWER(1+L53,J52)-1)/(POWER(1+L53,L48)-1)),0,POWER(1+L53,L48-J52)*(POWER(1+L53,J52)-1)/(POWER(1+L53,L48)-1))</f>
        <v>0</v>
      </c>
      <c r="O60" s="2426" t="s">
        <v>2385</v>
      </c>
      <c r="P60" s="2424" t="s">
        <v>2415</v>
      </c>
      <c r="Q60" s="2425">
        <f>IF(L56="比较法",L50,IF(L56="基准地价",L51,0))</f>
        <v>0</v>
      </c>
      <c r="R60" s="2424" t="s">
        <v>2382</v>
      </c>
    </row>
    <row r="61" spans="1:18" s="2060" customFormat="1" ht="15.75" thickBot="1">
      <c r="A61" s="2097"/>
      <c r="B61" s="2098"/>
      <c r="C61" s="2098"/>
      <c r="I61" s="2406" t="s">
        <v>2363</v>
      </c>
      <c r="J61" s="2408" t="str">
        <f ca="1">IF(OR(M48="住宅",J52&lt;L49,J57="是"),"0",ROUND(J60/(1+J53)^J54,0))</f>
        <v>0</v>
      </c>
      <c r="K61" s="2409" t="s">
        <v>2368</v>
      </c>
      <c r="L61" s="2408" t="e">
        <f ca="1">IF(OR(M48="住宅",L49&lt;J52),0,ROUND(L58*(L59/L60-1),0))</f>
        <v>#DIV/0!</v>
      </c>
      <c r="O61" s="2426" t="s">
        <v>2386</v>
      </c>
      <c r="P61" s="2424" t="s">
        <v>2395</v>
      </c>
      <c r="Q61" s="2427">
        <f>L53</f>
        <v>0</v>
      </c>
      <c r="R61" s="2428"/>
    </row>
    <row r="62" spans="1:18" s="2060" customFormat="1" ht="20.25" thickBot="1">
      <c r="A62" s="2097"/>
      <c r="B62" s="2098"/>
      <c r="C62" s="2098"/>
      <c r="K62" s="2087"/>
      <c r="O62" s="2426" t="s">
        <v>2388</v>
      </c>
      <c r="P62" s="2424" t="s">
        <v>2396</v>
      </c>
      <c r="Q62" s="2425">
        <f ca="1">L59</f>
        <v>0</v>
      </c>
      <c r="R62" s="2428" t="s">
        <v>2397</v>
      </c>
    </row>
    <row r="63" spans="1:18" s="2060" customFormat="1" ht="20.25" thickBot="1">
      <c r="A63" s="2097"/>
      <c r="B63" s="2098"/>
      <c r="C63" s="2098"/>
      <c r="I63" s="2410" t="s">
        <v>2369</v>
      </c>
      <c r="J63" s="2411" t="s">
        <v>2370</v>
      </c>
      <c r="K63" s="2411" t="s">
        <v>2371</v>
      </c>
      <c r="L63" s="2411" t="s">
        <v>2352</v>
      </c>
      <c r="M63" s="3130" t="s">
        <v>2931</v>
      </c>
      <c r="O63" s="2426" t="s">
        <v>2390</v>
      </c>
      <c r="P63" s="2424" t="s">
        <v>2398</v>
      </c>
      <c r="Q63" s="2425">
        <f ca="1">L60</f>
        <v>0</v>
      </c>
      <c r="R63" s="2428" t="s">
        <v>2399</v>
      </c>
    </row>
    <row r="64" spans="1:18" s="2060" customFormat="1" ht="15.75" thickBot="1">
      <c r="A64" s="2097"/>
      <c r="B64" s="2098"/>
      <c r="C64" s="2098"/>
      <c r="I64" s="2410" t="s">
        <v>2372</v>
      </c>
      <c r="J64" s="2411">
        <v>70</v>
      </c>
      <c r="K64" s="2411">
        <v>50</v>
      </c>
      <c r="L64" s="2411">
        <v>80</v>
      </c>
      <c r="M64" s="3131">
        <v>0.02</v>
      </c>
      <c r="O64" s="2423" t="s">
        <v>2393</v>
      </c>
      <c r="P64" s="2424" t="s">
        <v>2410</v>
      </c>
      <c r="Q64" s="2425" t="e">
        <f ca="1">Q58+Q59</f>
        <v>#DIV/0!</v>
      </c>
      <c r="R64" s="2428" t="s">
        <v>2394</v>
      </c>
    </row>
    <row r="65" spans="1:18" s="2060" customFormat="1" ht="16.5" thickBot="1">
      <c r="A65" s="2097"/>
      <c r="B65" s="2098"/>
      <c r="C65" s="2098"/>
      <c r="I65" s="2410" t="s">
        <v>2373</v>
      </c>
      <c r="J65" s="2411">
        <v>50</v>
      </c>
      <c r="K65" s="2411">
        <v>35</v>
      </c>
      <c r="L65" s="2411">
        <v>60</v>
      </c>
      <c r="M65" s="3132">
        <v>0</v>
      </c>
      <c r="O65" s="2429" t="s">
        <v>2417</v>
      </c>
      <c r="P65" s="1592"/>
      <c r="Q65" s="1604"/>
      <c r="R65" s="1592"/>
    </row>
    <row r="66" spans="1:18" s="2060" customFormat="1" ht="15.75" thickBot="1">
      <c r="A66" s="2097"/>
      <c r="B66" s="2098"/>
      <c r="C66" s="2098"/>
      <c r="I66" s="2410" t="s">
        <v>2374</v>
      </c>
      <c r="J66" s="2411">
        <v>40</v>
      </c>
      <c r="K66" s="2411">
        <v>30</v>
      </c>
      <c r="L66" s="2411">
        <v>50</v>
      </c>
      <c r="M66" s="3131">
        <v>0.02</v>
      </c>
      <c r="O66" s="2420" t="s">
        <v>2377</v>
      </c>
      <c r="P66" s="2421" t="s">
        <v>2378</v>
      </c>
      <c r="Q66" s="2422" t="s">
        <v>2379</v>
      </c>
      <c r="R66" s="2421" t="s">
        <v>2380</v>
      </c>
    </row>
    <row r="67" spans="1:18" s="2060" customFormat="1" ht="15.75" thickBot="1">
      <c r="A67" s="2097"/>
      <c r="B67" s="2098"/>
      <c r="C67" s="2098"/>
      <c r="K67" s="2087"/>
      <c r="O67" s="2423" t="s">
        <v>2381</v>
      </c>
      <c r="P67" s="2424" t="s">
        <v>2407</v>
      </c>
      <c r="Q67" s="2425">
        <f ca="1">C41+J31</f>
        <v>0</v>
      </c>
      <c r="R67" s="2424" t="s">
        <v>2382</v>
      </c>
    </row>
    <row r="68" spans="1:18" s="2060" customFormat="1" ht="20.25" thickBot="1">
      <c r="A68" s="2097"/>
      <c r="B68" s="2098"/>
      <c r="C68" s="2098"/>
      <c r="K68" s="2087"/>
      <c r="O68" s="2423" t="s">
        <v>2383</v>
      </c>
      <c r="P68" s="2424" t="s">
        <v>2414</v>
      </c>
      <c r="Q68" s="2425" t="e">
        <f ca="1">L61</f>
        <v>#DIV/0!</v>
      </c>
      <c r="R68" s="2428" t="s">
        <v>2416</v>
      </c>
    </row>
    <row r="69" spans="1:18" s="2060" customFormat="1" ht="21.75" thickBot="1">
      <c r="A69" s="2097"/>
      <c r="B69" s="2098"/>
      <c r="C69" s="2098"/>
      <c r="K69" s="2087"/>
      <c r="O69" s="2426" t="s">
        <v>2385</v>
      </c>
      <c r="P69" s="2424" t="s">
        <v>2415</v>
      </c>
      <c r="Q69" s="2430">
        <f ca="1">L52</f>
        <v>0</v>
      </c>
      <c r="R69" s="2431" t="s">
        <v>2418</v>
      </c>
    </row>
    <row r="70" spans="1:18" s="2060" customFormat="1" ht="20.25" thickBot="1">
      <c r="A70" s="2097"/>
      <c r="B70" s="2098"/>
      <c r="C70" s="2098"/>
      <c r="K70" s="2087"/>
      <c r="O70" s="2426" t="s">
        <v>2386</v>
      </c>
      <c r="P70" s="2432" t="s">
        <v>2400</v>
      </c>
      <c r="Q70" s="2425">
        <f ca="1">ROUND(Q71-Q72*Q73,0)</f>
        <v>0</v>
      </c>
      <c r="R70" s="2428"/>
    </row>
    <row r="71" spans="1:18" s="2060" customFormat="1" ht="15.75" thickBot="1">
      <c r="A71" s="2097"/>
      <c r="B71" s="2098"/>
      <c r="C71" s="2098"/>
      <c r="K71" s="2087"/>
      <c r="O71" s="2426" t="s">
        <v>2401</v>
      </c>
      <c r="P71" s="2432" t="s">
        <v>2402</v>
      </c>
      <c r="Q71" s="2425">
        <f ca="1">C42</f>
        <v>0</v>
      </c>
      <c r="R71" s="2424" t="s">
        <v>2382</v>
      </c>
    </row>
    <row r="72" spans="1:18" s="2060" customFormat="1" ht="15.75" thickBot="1">
      <c r="A72" s="2097"/>
      <c r="B72" s="2098"/>
      <c r="C72" s="2098"/>
      <c r="K72" s="2087"/>
      <c r="O72" s="2426" t="s">
        <v>2403</v>
      </c>
      <c r="P72" s="2432" t="s">
        <v>2404</v>
      </c>
      <c r="Q72" s="2425">
        <f ca="1">C15</f>
        <v>0</v>
      </c>
      <c r="R72" s="2424" t="s">
        <v>2382</v>
      </c>
    </row>
    <row r="73" spans="1:18" s="2060" customFormat="1" ht="15.75" thickBot="1">
      <c r="A73" s="2097"/>
      <c r="B73" s="2098"/>
      <c r="C73" s="2098"/>
      <c r="K73" s="2087"/>
      <c r="O73" s="2426" t="s">
        <v>2405</v>
      </c>
      <c r="P73" s="2432" t="s">
        <v>2406</v>
      </c>
      <c r="Q73" s="2427">
        <f ca="1">F43</f>
        <v>0</v>
      </c>
      <c r="R73" s="2428"/>
    </row>
    <row r="74" spans="1:18" s="2060" customFormat="1" ht="15.75" thickBot="1">
      <c r="A74" s="2097"/>
      <c r="B74" s="2098"/>
      <c r="C74" s="2098"/>
      <c r="K74" s="2087"/>
      <c r="O74" s="2426" t="s">
        <v>2388</v>
      </c>
      <c r="P74" s="2424" t="s">
        <v>2395</v>
      </c>
      <c r="Q74" s="2427">
        <f>L53</f>
        <v>0</v>
      </c>
      <c r="R74" s="2428"/>
    </row>
    <row r="75" spans="1:18" s="2060" customFormat="1" ht="20.25" thickBot="1">
      <c r="A75" s="2097"/>
      <c r="B75" s="2098"/>
      <c r="C75" s="2098"/>
      <c r="K75" s="2087"/>
      <c r="O75" s="2426" t="s">
        <v>2390</v>
      </c>
      <c r="P75" s="2424" t="s">
        <v>2396</v>
      </c>
      <c r="Q75" s="2425">
        <f ca="1">L59</f>
        <v>0</v>
      </c>
      <c r="R75" s="2428" t="s">
        <v>2397</v>
      </c>
    </row>
    <row r="76" spans="1:18" s="2060" customFormat="1" ht="20.25" thickBot="1">
      <c r="A76" s="2097"/>
      <c r="B76" s="2098"/>
      <c r="C76" s="2098"/>
      <c r="K76" s="2087"/>
      <c r="O76" s="2426" t="s">
        <v>2419</v>
      </c>
      <c r="P76" s="2424" t="s">
        <v>2398</v>
      </c>
      <c r="Q76" s="2425">
        <f ca="1">L60</f>
        <v>0</v>
      </c>
      <c r="R76" s="2428" t="s">
        <v>2399</v>
      </c>
    </row>
    <row r="77" spans="1:18" s="2060" customFormat="1" ht="15.75" thickBot="1">
      <c r="A77" s="2097"/>
      <c r="B77" s="2098"/>
      <c r="C77" s="2098"/>
      <c r="K77" s="2087"/>
      <c r="O77" s="2423" t="s">
        <v>2393</v>
      </c>
      <c r="P77" s="2424" t="s">
        <v>2410</v>
      </c>
      <c r="Q77" s="2425" t="e">
        <f ca="1">Q67+Q68</f>
        <v>#DIV/0!</v>
      </c>
      <c r="R77" s="2428"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515" t="s">
        <v>2576</v>
      </c>
      <c r="C1" s="3515"/>
      <c r="D1" s="3515"/>
      <c r="E1" s="3515"/>
      <c r="F1" s="3515"/>
      <c r="G1" s="3514" t="s">
        <v>2577</v>
      </c>
      <c r="H1" s="3514"/>
      <c r="I1" s="3514"/>
      <c r="J1" s="3514"/>
      <c r="K1" s="3514"/>
      <c r="L1" s="3514"/>
      <c r="N1" s="3514" t="s">
        <v>2578</v>
      </c>
      <c r="O1" s="3514"/>
      <c r="P1" s="3514"/>
      <c r="Q1" s="3514"/>
      <c r="R1" s="2679"/>
      <c r="S1" s="3514" t="s">
        <v>2579</v>
      </c>
      <c r="T1" s="3514"/>
      <c r="U1" s="3514"/>
      <c r="V1" s="3514"/>
      <c r="X1" s="3513" t="s">
        <v>2639</v>
      </c>
      <c r="Y1" s="3514"/>
      <c r="Z1" s="3514"/>
      <c r="AA1" s="3514"/>
      <c r="AB1" s="3514"/>
      <c r="AD1" s="3513" t="s">
        <v>2643</v>
      </c>
      <c r="AE1" s="3514"/>
      <c r="AF1" s="3514"/>
      <c r="AG1" s="3514"/>
      <c r="AH1" s="3514"/>
    </row>
    <row r="2" spans="1:34" s="2781" customFormat="1" ht="14.25" thickBot="1">
      <c r="B2" s="2789" t="s">
        <v>2580</v>
      </c>
      <c r="C2" s="2789" t="s">
        <v>2641</v>
      </c>
      <c r="D2" s="2782" t="s">
        <v>1644</v>
      </c>
      <c r="E2" s="2782" t="s">
        <v>1951</v>
      </c>
      <c r="F2" s="2789" t="s">
        <v>2642</v>
      </c>
      <c r="G2" s="2785"/>
      <c r="H2" s="2784"/>
      <c r="I2" s="2789" t="s">
        <v>2946</v>
      </c>
      <c r="J2" s="2782" t="s">
        <v>2948</v>
      </c>
      <c r="K2" s="2782" t="s">
        <v>2949</v>
      </c>
      <c r="L2" s="2789" t="s">
        <v>2950</v>
      </c>
      <c r="N2" s="2789" t="s">
        <v>2580</v>
      </c>
      <c r="O2" s="2782" t="s">
        <v>2947</v>
      </c>
      <c r="P2" s="2782" t="s">
        <v>1951</v>
      </c>
      <c r="Q2" s="2789" t="s">
        <v>2642</v>
      </c>
      <c r="R2" s="2783"/>
      <c r="S2" s="2789" t="s">
        <v>2580</v>
      </c>
      <c r="T2" s="2782" t="s">
        <v>2947</v>
      </c>
      <c r="U2" s="2782" t="s">
        <v>1951</v>
      </c>
      <c r="V2" s="2789" t="s">
        <v>2642</v>
      </c>
      <c r="X2" s="2789" t="s">
        <v>2580</v>
      </c>
      <c r="Y2" s="2789" t="s">
        <v>2641</v>
      </c>
      <c r="Z2" s="2782" t="s">
        <v>1644</v>
      </c>
      <c r="AA2" s="2782" t="s">
        <v>1951</v>
      </c>
      <c r="AB2" s="2789" t="s">
        <v>2642</v>
      </c>
      <c r="AD2" s="2789" t="s">
        <v>2580</v>
      </c>
      <c r="AE2" s="2789" t="s">
        <v>2641</v>
      </c>
      <c r="AF2" s="2782" t="s">
        <v>1644</v>
      </c>
      <c r="AG2" s="2782" t="s">
        <v>1951</v>
      </c>
      <c r="AH2" s="2789" t="s">
        <v>2642</v>
      </c>
    </row>
    <row r="3" spans="1:34" s="3166" customFormat="1" ht="14.25">
      <c r="A3" s="3178" t="s">
        <v>2959</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2966</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4">
        <v>2</v>
      </c>
      <c r="I5" s="3160">
        <v>0</v>
      </c>
      <c r="J5" s="3160">
        <v>0</v>
      </c>
      <c r="K5" s="3160">
        <v>0</v>
      </c>
      <c r="L5" s="3160">
        <v>0</v>
      </c>
      <c r="N5" s="2787">
        <f t="shared" ref="N5" si="6">I5/100</f>
        <v>0</v>
      </c>
      <c r="O5" s="2787">
        <f t="shared" ref="O5" si="7">J5/100</f>
        <v>0</v>
      </c>
      <c r="P5" s="2787">
        <f t="shared" ref="P5" si="8">K5/100</f>
        <v>0</v>
      </c>
      <c r="Q5" s="2787">
        <f t="shared" ref="Q5" si="9">L5/100</f>
        <v>0</v>
      </c>
      <c r="R5" s="3146"/>
      <c r="S5" s="3147"/>
      <c r="T5" s="3146"/>
      <c r="U5" s="3146"/>
      <c r="V5" s="3146"/>
      <c r="W5" s="3176" t="s">
        <v>2960</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6" customFormat="1" ht="13.5" thickBot="1">
      <c r="A6" s="2680" t="s">
        <v>2967</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5">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2957</v>
      </c>
      <c r="B7" s="3180">
        <v>439</v>
      </c>
      <c r="C7" s="3180">
        <v>327</v>
      </c>
      <c r="D7" s="3180">
        <f t="shared" si="13"/>
        <v>327</v>
      </c>
      <c r="E7" s="3180">
        <v>627</v>
      </c>
      <c r="F7" s="3181">
        <v>283</v>
      </c>
      <c r="G7" s="3163">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2961</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5"/>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2581</v>
      </c>
      <c r="B9" s="2694">
        <f t="shared" si="25"/>
        <v>419.31181600000002</v>
      </c>
      <c r="C9" s="2694">
        <f t="shared" si="25"/>
        <v>313.95436800000004</v>
      </c>
      <c r="D9" s="2694">
        <f t="shared" si="13"/>
        <v>313.95436800000004</v>
      </c>
      <c r="E9" s="2694">
        <f t="shared" si="26"/>
        <v>596.63028431999999</v>
      </c>
      <c r="F9" s="2694">
        <f t="shared" si="26"/>
        <v>274.74220703999998</v>
      </c>
      <c r="G9" s="3164"/>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2582</v>
      </c>
      <c r="B10" s="2694">
        <f t="shared" si="25"/>
        <v>405.524</v>
      </c>
      <c r="C10" s="2694">
        <f t="shared" si="25"/>
        <v>307.79840000000002</v>
      </c>
      <c r="D10" s="2694">
        <f t="shared" si="13"/>
        <v>307.79840000000002</v>
      </c>
      <c r="E10" s="2694">
        <f t="shared" si="26"/>
        <v>574.67759999999998</v>
      </c>
      <c r="F10" s="2694">
        <f t="shared" si="26"/>
        <v>270.20280000000002</v>
      </c>
      <c r="G10" s="3165"/>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512">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510"/>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510"/>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511"/>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509">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510"/>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510"/>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511"/>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509">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510"/>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510"/>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511"/>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2640</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2583</v>
      </c>
      <c r="B23" s="2686">
        <v>299</v>
      </c>
      <c r="C23" s="2686">
        <v>252</v>
      </c>
      <c r="D23" s="2686">
        <f t="shared" si="35"/>
        <v>252</v>
      </c>
      <c r="E23" s="2686">
        <v>409</v>
      </c>
      <c r="F23" s="2687">
        <v>227</v>
      </c>
      <c r="G23" s="3516">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2584</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517"/>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2585</v>
      </c>
      <c r="B25" s="2694">
        <f t="shared" si="44"/>
        <v>288.2649053828776</v>
      </c>
      <c r="C25" s="2694">
        <f t="shared" si="44"/>
        <v>243.64564425013293</v>
      </c>
      <c r="D25" s="2694">
        <f t="shared" si="35"/>
        <v>243.64564425013293</v>
      </c>
      <c r="E25" s="2694">
        <f t="shared" si="45"/>
        <v>393.31080825986544</v>
      </c>
      <c r="F25" s="2694">
        <f t="shared" si="45"/>
        <v>223.07903790551154</v>
      </c>
      <c r="G25" s="3517"/>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2586</v>
      </c>
      <c r="B26" s="2694">
        <f t="shared" si="44"/>
        <v>282.50186729015837</v>
      </c>
      <c r="C26" s="2694">
        <f t="shared" si="44"/>
        <v>238.09796174155468</v>
      </c>
      <c r="D26" s="2694">
        <f t="shared" si="35"/>
        <v>238.09796174155468</v>
      </c>
      <c r="E26" s="2694">
        <f t="shared" si="45"/>
        <v>385.33438646014054</v>
      </c>
      <c r="F26" s="2694">
        <f t="shared" si="45"/>
        <v>221.55034055567739</v>
      </c>
      <c r="G26" s="3518"/>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2587</v>
      </c>
      <c r="B27" s="2724">
        <v>278</v>
      </c>
      <c r="C27" s="2724">
        <v>234</v>
      </c>
      <c r="D27" s="2724">
        <f t="shared" si="35"/>
        <v>234</v>
      </c>
      <c r="E27" s="2724">
        <v>379</v>
      </c>
      <c r="F27" s="2725">
        <v>220</v>
      </c>
      <c r="G27" s="3509">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2588</v>
      </c>
      <c r="B28" s="2694">
        <f>B27/(1+N27)</f>
        <v>275.49301357645425</v>
      </c>
      <c r="C28" s="2694">
        <f>C27/(1+O27)</f>
        <v>232.41954707985698</v>
      </c>
      <c r="D28" s="2694">
        <f t="shared" si="35"/>
        <v>232.41954707985698</v>
      </c>
      <c r="E28" s="2694">
        <f t="shared" ref="E28:F30" si="46">E27/(1+P27)</f>
        <v>375.32184591008121</v>
      </c>
      <c r="F28" s="2694">
        <f t="shared" si="46"/>
        <v>218.03766105054513</v>
      </c>
      <c r="G28" s="3510"/>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2589</v>
      </c>
      <c r="B29" s="2694">
        <f>B28/(1+N28)</f>
        <v>275.24529281292263</v>
      </c>
      <c r="C29" s="2694">
        <f>C28/(1+O28)</f>
        <v>231.74747938962707</v>
      </c>
      <c r="D29" s="2694">
        <f t="shared" si="35"/>
        <v>231.74747938962707</v>
      </c>
      <c r="E29" s="2694">
        <f t="shared" si="46"/>
        <v>375.35938184826603</v>
      </c>
      <c r="F29" s="2694">
        <f t="shared" si="46"/>
        <v>216.78033510692495</v>
      </c>
      <c r="G29" s="3510"/>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2590</v>
      </c>
      <c r="B30" s="2694">
        <f>B29/(1+N29)</f>
        <v>275.19025476197027</v>
      </c>
      <c r="C30" s="2726">
        <v>232</v>
      </c>
      <c r="D30" s="2726">
        <f t="shared" si="35"/>
        <v>232</v>
      </c>
      <c r="E30" s="2694">
        <f t="shared" si="46"/>
        <v>375.65990977608692</v>
      </c>
      <c r="F30" s="2694">
        <f t="shared" si="46"/>
        <v>214.12518283971252</v>
      </c>
      <c r="G30" s="3511"/>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2591</v>
      </c>
      <c r="B31" s="2686">
        <v>275</v>
      </c>
      <c r="C31" s="2686">
        <v>232</v>
      </c>
      <c r="D31" s="2686">
        <f t="shared" si="35"/>
        <v>232</v>
      </c>
      <c r="E31" s="2686">
        <v>376</v>
      </c>
      <c r="F31" s="2687">
        <v>213</v>
      </c>
      <c r="G31" s="3509">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2592</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510">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2593</v>
      </c>
      <c r="B33" s="2694">
        <f t="shared" si="47"/>
        <v>275.19335084830601</v>
      </c>
      <c r="C33" s="2694">
        <f t="shared" si="47"/>
        <v>230.18088050139744</v>
      </c>
      <c r="D33" s="2694">
        <f t="shared" si="35"/>
        <v>230.18088050139744</v>
      </c>
      <c r="E33" s="2694">
        <f t="shared" si="48"/>
        <v>377.58482925212331</v>
      </c>
      <c r="F33" s="2694">
        <f t="shared" si="48"/>
        <v>210.90687997847917</v>
      </c>
      <c r="G33" s="3510">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2594</v>
      </c>
      <c r="B34" s="2694">
        <f t="shared" si="47"/>
        <v>276.29854502841971</v>
      </c>
      <c r="C34" s="2694">
        <f t="shared" si="47"/>
        <v>229.79023709833027</v>
      </c>
      <c r="D34" s="2694">
        <f t="shared" si="35"/>
        <v>229.79023709833027</v>
      </c>
      <c r="E34" s="2694">
        <f t="shared" si="48"/>
        <v>379.78759731655936</v>
      </c>
      <c r="F34" s="2694">
        <f t="shared" si="48"/>
        <v>211.32953905659235</v>
      </c>
      <c r="G34" s="3511">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2595</v>
      </c>
      <c r="B35" s="2686">
        <v>269</v>
      </c>
      <c r="C35" s="2686">
        <v>221</v>
      </c>
      <c r="D35" s="2686">
        <f t="shared" si="35"/>
        <v>221</v>
      </c>
      <c r="E35" s="2686">
        <v>373</v>
      </c>
      <c r="F35" s="2687">
        <v>196</v>
      </c>
      <c r="G35" s="3509">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2596</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510">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2597</v>
      </c>
      <c r="B37" s="2694">
        <f t="shared" si="49"/>
        <v>242.95398227588385</v>
      </c>
      <c r="C37" s="2694">
        <f t="shared" si="49"/>
        <v>199.59137053614126</v>
      </c>
      <c r="D37" s="2694">
        <f t="shared" si="35"/>
        <v>199.59137053614126</v>
      </c>
      <c r="E37" s="2694">
        <f t="shared" si="50"/>
        <v>335.92189522342125</v>
      </c>
      <c r="F37" s="2694">
        <f t="shared" si="50"/>
        <v>183.10139991109489</v>
      </c>
      <c r="G37" s="3510">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2598</v>
      </c>
      <c r="B38" s="2694">
        <f t="shared" si="49"/>
        <v>232.06990378821649</v>
      </c>
      <c r="C38" s="2694">
        <f t="shared" si="49"/>
        <v>192.74878854286936</v>
      </c>
      <c r="D38" s="2694">
        <f t="shared" si="35"/>
        <v>192.74878854286936</v>
      </c>
      <c r="E38" s="2694">
        <f t="shared" si="50"/>
        <v>319.71247284992984</v>
      </c>
      <c r="F38" s="2694">
        <f t="shared" si="50"/>
        <v>175.67053622862409</v>
      </c>
      <c r="G38" s="3511">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2599</v>
      </c>
      <c r="B39" s="2686">
        <v>220</v>
      </c>
      <c r="C39" s="2686">
        <v>187</v>
      </c>
      <c r="D39" s="2686">
        <f t="shared" si="35"/>
        <v>187</v>
      </c>
      <c r="E39" s="2686">
        <v>301</v>
      </c>
      <c r="F39" s="2687">
        <v>168</v>
      </c>
      <c r="G39" s="3509">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2600</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510">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2601</v>
      </c>
      <c r="B41" s="2694">
        <f t="shared" si="51"/>
        <v>210.630522469011</v>
      </c>
      <c r="C41" s="2694">
        <f t="shared" si="51"/>
        <v>181.69567812247232</v>
      </c>
      <c r="D41" s="2694">
        <f t="shared" si="35"/>
        <v>181.69567812247232</v>
      </c>
      <c r="E41" s="2694">
        <f t="shared" si="52"/>
        <v>286.13517466736738</v>
      </c>
      <c r="F41" s="2694">
        <f t="shared" si="52"/>
        <v>165.47535084591149</v>
      </c>
      <c r="G41" s="3510">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2602</v>
      </c>
      <c r="B42" s="2694">
        <f t="shared" si="51"/>
        <v>208.83454537875372</v>
      </c>
      <c r="C42" s="2694">
        <f t="shared" si="51"/>
        <v>183.77230517090351</v>
      </c>
      <c r="D42" s="2694">
        <f t="shared" si="35"/>
        <v>183.77230517090351</v>
      </c>
      <c r="E42" s="2694">
        <f t="shared" si="52"/>
        <v>281.10342338870947</v>
      </c>
      <c r="F42" s="2694">
        <f t="shared" si="52"/>
        <v>168.97309388942256</v>
      </c>
      <c r="G42" s="3511">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2603</v>
      </c>
      <c r="B43" s="2724">
        <v>214</v>
      </c>
      <c r="C43" s="2724">
        <v>188</v>
      </c>
      <c r="D43" s="2724">
        <f t="shared" si="35"/>
        <v>188</v>
      </c>
      <c r="E43" s="2724">
        <v>289</v>
      </c>
      <c r="F43" s="2725">
        <v>166</v>
      </c>
      <c r="G43" s="3509">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2604</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510">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2605</v>
      </c>
      <c r="B45" s="2694">
        <f t="shared" si="53"/>
        <v>206.31694671589116</v>
      </c>
      <c r="C45" s="2694">
        <f t="shared" si="53"/>
        <v>183.61041121036101</v>
      </c>
      <c r="D45" s="2694">
        <f t="shared" si="35"/>
        <v>183.61041121036101</v>
      </c>
      <c r="E45" s="2694">
        <f t="shared" si="54"/>
        <v>276.66850301795557</v>
      </c>
      <c r="F45" s="2694">
        <f t="shared" si="54"/>
        <v>165.1360938278614</v>
      </c>
      <c r="G45" s="3510">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2606</v>
      </c>
      <c r="B46" s="2727">
        <f t="shared" si="53"/>
        <v>196.62341248059772</v>
      </c>
      <c r="C46" s="2727">
        <f t="shared" si="53"/>
        <v>170.99125648199012</v>
      </c>
      <c r="D46" s="2727">
        <f t="shared" si="35"/>
        <v>170.99125648199012</v>
      </c>
      <c r="E46" s="2727">
        <f t="shared" si="54"/>
        <v>266.07857570490052</v>
      </c>
      <c r="F46" s="2727">
        <f t="shared" si="54"/>
        <v>154.53499328828505</v>
      </c>
      <c r="G46" s="3511">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2607</v>
      </c>
      <c r="B47" s="2686">
        <v>188</v>
      </c>
      <c r="C47" s="2686">
        <v>165</v>
      </c>
      <c r="D47" s="2686">
        <f t="shared" si="35"/>
        <v>165</v>
      </c>
      <c r="E47" s="2686">
        <v>254</v>
      </c>
      <c r="F47" s="2687">
        <v>148</v>
      </c>
      <c r="G47" s="3509">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2608</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510">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2609</v>
      </c>
      <c r="B49" s="2694">
        <f t="shared" si="57"/>
        <v>168.82017748715555</v>
      </c>
      <c r="C49" s="2694">
        <f t="shared" si="57"/>
        <v>148.06267029972753</v>
      </c>
      <c r="D49" s="2694">
        <f t="shared" si="35"/>
        <v>148.06267029972753</v>
      </c>
      <c r="E49" s="2694">
        <f t="shared" si="58"/>
        <v>216.46288379323747</v>
      </c>
      <c r="F49" s="2694">
        <f t="shared" si="58"/>
        <v>134.23529411764704</v>
      </c>
      <c r="G49" s="3510">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2610</v>
      </c>
      <c r="B50" s="2694">
        <f t="shared" si="57"/>
        <v>163.84913591779542</v>
      </c>
      <c r="C50" s="2694">
        <f t="shared" si="57"/>
        <v>145.0283378746594</v>
      </c>
      <c r="D50" s="2694">
        <f t="shared" si="35"/>
        <v>145.0283378746594</v>
      </c>
      <c r="E50" s="2694">
        <f t="shared" si="58"/>
        <v>204.95180722891567</v>
      </c>
      <c r="F50" s="2694">
        <f t="shared" si="58"/>
        <v>125.95920303605313</v>
      </c>
      <c r="G50" s="3511">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2611</v>
      </c>
      <c r="B51" s="2708">
        <v>159</v>
      </c>
      <c r="C51" s="2708">
        <v>141</v>
      </c>
      <c r="D51" s="2708">
        <f t="shared" si="35"/>
        <v>141</v>
      </c>
      <c r="E51" s="2708">
        <v>195</v>
      </c>
      <c r="F51" s="2709">
        <v>122</v>
      </c>
      <c r="G51" s="3509">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2612</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510">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2613</v>
      </c>
      <c r="B53" s="2694">
        <f t="shared" si="61"/>
        <v>146.57412060301507</v>
      </c>
      <c r="C53" s="2694">
        <f t="shared" si="61"/>
        <v>136.46831955922866</v>
      </c>
      <c r="D53" s="2694">
        <f t="shared" si="35"/>
        <v>136.46831955922866</v>
      </c>
      <c r="E53" s="2694">
        <f t="shared" si="62"/>
        <v>166.73864894795128</v>
      </c>
      <c r="F53" s="2694">
        <f t="shared" si="62"/>
        <v>115.05882352941177</v>
      </c>
      <c r="G53" s="3510">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2614</v>
      </c>
      <c r="B54" s="2694">
        <f t="shared" si="61"/>
        <v>144.04145728643215</v>
      </c>
      <c r="C54" s="2694">
        <f t="shared" si="61"/>
        <v>136.12396694214877</v>
      </c>
      <c r="D54" s="2694">
        <f t="shared" si="35"/>
        <v>136.12396694214877</v>
      </c>
      <c r="E54" s="2694">
        <f t="shared" si="62"/>
        <v>158.32225913621264</v>
      </c>
      <c r="F54" s="2694">
        <f t="shared" si="62"/>
        <v>114.04278074866311</v>
      </c>
      <c r="G54" s="3511">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2615</v>
      </c>
      <c r="B55" s="2708">
        <v>138</v>
      </c>
      <c r="C55" s="2708">
        <v>131</v>
      </c>
      <c r="D55" s="2708">
        <f t="shared" si="35"/>
        <v>131</v>
      </c>
      <c r="E55" s="2708">
        <v>155</v>
      </c>
      <c r="F55" s="2709">
        <v>114</v>
      </c>
      <c r="G55" s="3509">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2616</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510">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2617</v>
      </c>
      <c r="B57" s="2694">
        <f t="shared" si="65"/>
        <v>124.29032258064517</v>
      </c>
      <c r="C57" s="2694">
        <f t="shared" si="65"/>
        <v>123.8968609865471</v>
      </c>
      <c r="D57" s="2694">
        <f t="shared" si="35"/>
        <v>123.8968609865471</v>
      </c>
      <c r="E57" s="2694">
        <f t="shared" si="66"/>
        <v>138.00507614213197</v>
      </c>
      <c r="F57" s="2694">
        <f t="shared" si="66"/>
        <v>107.96106557377048</v>
      </c>
      <c r="G57" s="3510">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2618</v>
      </c>
      <c r="B58" s="2694">
        <f t="shared" si="65"/>
        <v>122.57204301075269</v>
      </c>
      <c r="C58" s="2694">
        <f t="shared" si="65"/>
        <v>123.4932735426009</v>
      </c>
      <c r="D58" s="2694">
        <f t="shared" si="35"/>
        <v>123.4932735426009</v>
      </c>
      <c r="E58" s="2694">
        <f t="shared" si="66"/>
        <v>129.82233502538071</v>
      </c>
      <c r="F58" s="2694">
        <f t="shared" si="66"/>
        <v>107.39446721311475</v>
      </c>
      <c r="G58" s="3511">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2619</v>
      </c>
      <c r="B59" s="2724">
        <v>121</v>
      </c>
      <c r="C59" s="2724">
        <v>122</v>
      </c>
      <c r="D59" s="2724">
        <f t="shared" si="35"/>
        <v>122</v>
      </c>
      <c r="E59" s="2724">
        <v>124</v>
      </c>
      <c r="F59" s="2725">
        <v>107</v>
      </c>
      <c r="G59" s="3509">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2620</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510">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2621</v>
      </c>
      <c r="B61" s="2694">
        <f t="shared" si="69"/>
        <v>116.99099099099099</v>
      </c>
      <c r="C61" s="2694">
        <f t="shared" si="69"/>
        <v>118.84848484848486</v>
      </c>
      <c r="D61" s="2694">
        <f t="shared" si="35"/>
        <v>118.84848484848486</v>
      </c>
      <c r="E61" s="2694">
        <f t="shared" si="70"/>
        <v>117.60960960960961</v>
      </c>
      <c r="F61" s="2694">
        <f t="shared" si="70"/>
        <v>104</v>
      </c>
      <c r="G61" s="3510">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2622</v>
      </c>
      <c r="B62" s="2727">
        <f t="shared" si="69"/>
        <v>112.48648648648648</v>
      </c>
      <c r="C62" s="2727">
        <f t="shared" si="69"/>
        <v>115.21212121212122</v>
      </c>
      <c r="D62" s="2727">
        <f t="shared" si="35"/>
        <v>115.21212121212122</v>
      </c>
      <c r="E62" s="2727">
        <f t="shared" si="70"/>
        <v>110.4024024024024</v>
      </c>
      <c r="F62" s="2727">
        <f t="shared" si="70"/>
        <v>104</v>
      </c>
      <c r="G62" s="3511">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2623</v>
      </c>
      <c r="B63" s="2745">
        <v>111</v>
      </c>
      <c r="C63" s="2745">
        <v>114</v>
      </c>
      <c r="D63" s="2745">
        <f t="shared" si="35"/>
        <v>114</v>
      </c>
      <c r="E63" s="2745">
        <v>108</v>
      </c>
      <c r="F63" s="2746">
        <v>104</v>
      </c>
      <c r="G63" s="3509">
        <v>2003</v>
      </c>
      <c r="H63" s="2735">
        <v>4</v>
      </c>
      <c r="I63" s="2747"/>
      <c r="J63" s="2747"/>
      <c r="K63" s="2747"/>
      <c r="L63" s="2747"/>
      <c r="N63" s="2748"/>
      <c r="O63" s="2747"/>
      <c r="P63" s="2747"/>
      <c r="Q63" s="2747"/>
      <c r="S63" s="2748"/>
      <c r="T63" s="2747"/>
      <c r="U63" s="2747"/>
      <c r="V63" s="2747"/>
      <c r="X63" s="2739"/>
      <c r="Y63" s="2739"/>
      <c r="Z63" s="2739"/>
    </row>
    <row r="64" spans="1:26">
      <c r="A64" s="2680" t="s">
        <v>2624</v>
      </c>
      <c r="B64" s="2749">
        <f t="shared" ref="B64:C66" si="71">B65+(B$63-B$67)/4</f>
        <v>109.75</v>
      </c>
      <c r="C64" s="2749">
        <f t="shared" si="71"/>
        <v>112.25</v>
      </c>
      <c r="D64" s="2749">
        <f t="shared" si="35"/>
        <v>112.25</v>
      </c>
      <c r="E64" s="2749">
        <f t="shared" ref="E64:F66" si="72">E65+(E$63-E$67)/4</f>
        <v>107.25</v>
      </c>
      <c r="F64" s="2749">
        <f t="shared" si="72"/>
        <v>103.5</v>
      </c>
      <c r="G64" s="3510">
        <v>2003</v>
      </c>
      <c r="H64" s="2705">
        <v>3</v>
      </c>
      <c r="I64" s="2747"/>
      <c r="J64" s="2747"/>
      <c r="K64" s="2747"/>
      <c r="L64" s="2747"/>
      <c r="X64" s="2739"/>
      <c r="Y64" s="2739"/>
      <c r="Z64" s="2739"/>
    </row>
    <row r="65" spans="1:26">
      <c r="A65" s="2680" t="s">
        <v>2625</v>
      </c>
      <c r="B65" s="2749">
        <f t="shared" si="71"/>
        <v>108.5</v>
      </c>
      <c r="C65" s="2749">
        <f t="shared" si="71"/>
        <v>110.5</v>
      </c>
      <c r="D65" s="2749">
        <f t="shared" si="35"/>
        <v>110.5</v>
      </c>
      <c r="E65" s="2749">
        <f t="shared" si="72"/>
        <v>106.5</v>
      </c>
      <c r="F65" s="2749">
        <f t="shared" si="72"/>
        <v>103</v>
      </c>
      <c r="G65" s="3510">
        <v>2003</v>
      </c>
      <c r="H65" s="2685">
        <v>2</v>
      </c>
      <c r="I65" s="2747"/>
      <c r="J65" s="2747"/>
      <c r="K65" s="2747"/>
      <c r="L65" s="2747"/>
      <c r="X65" s="2739"/>
      <c r="Y65" s="2739"/>
      <c r="Z65" s="2739"/>
    </row>
    <row r="66" spans="1:26" ht="13.5" thickBot="1">
      <c r="A66" s="2680" t="s">
        <v>2626</v>
      </c>
      <c r="B66" s="2749">
        <f t="shared" si="71"/>
        <v>107.25</v>
      </c>
      <c r="C66" s="2749">
        <f t="shared" si="71"/>
        <v>108.75</v>
      </c>
      <c r="D66" s="2749">
        <f t="shared" si="35"/>
        <v>108.75</v>
      </c>
      <c r="E66" s="2749">
        <f t="shared" si="72"/>
        <v>105.75</v>
      </c>
      <c r="F66" s="2749">
        <f t="shared" si="72"/>
        <v>102.5</v>
      </c>
      <c r="G66" s="3511">
        <v>2003</v>
      </c>
      <c r="H66" s="2750">
        <v>1</v>
      </c>
      <c r="I66" s="2747"/>
      <c r="J66" s="2747"/>
      <c r="K66" s="2747"/>
      <c r="L66" s="2747"/>
      <c r="S66" s="2689"/>
      <c r="T66" s="2690"/>
      <c r="U66" s="2690"/>
      <c r="X66" s="2739"/>
      <c r="Y66" s="2739"/>
      <c r="Z66" s="2739"/>
    </row>
    <row r="67" spans="1:26" ht="13.5" thickBot="1">
      <c r="A67" s="2680" t="s">
        <v>2627</v>
      </c>
      <c r="B67" s="2751">
        <v>106</v>
      </c>
      <c r="C67" s="2751">
        <v>107</v>
      </c>
      <c r="D67" s="2751">
        <f t="shared" si="35"/>
        <v>107</v>
      </c>
      <c r="E67" s="2751">
        <v>105</v>
      </c>
      <c r="F67" s="2752">
        <v>102</v>
      </c>
      <c r="G67" s="3509">
        <v>2002</v>
      </c>
      <c r="H67" s="2700">
        <v>4</v>
      </c>
      <c r="I67" s="2747"/>
      <c r="J67" s="2747"/>
      <c r="K67" s="2747"/>
      <c r="L67" s="2747"/>
      <c r="N67" s="2748"/>
      <c r="O67" s="2747"/>
      <c r="P67" s="2747"/>
      <c r="Q67" s="2747"/>
      <c r="S67" s="2748"/>
      <c r="T67" s="2747"/>
      <c r="U67" s="2747"/>
      <c r="V67" s="2747"/>
      <c r="X67" s="2739"/>
      <c r="Y67" s="2739"/>
      <c r="Z67" s="2739"/>
    </row>
    <row r="68" spans="1:26">
      <c r="A68" s="2680" t="s">
        <v>2628</v>
      </c>
      <c r="B68" s="2749">
        <f t="shared" ref="B68:C70" si="73">B69+(B$67-B$71)/4</f>
        <v>105</v>
      </c>
      <c r="C68" s="2749">
        <f t="shared" si="73"/>
        <v>106</v>
      </c>
      <c r="D68" s="2749">
        <f t="shared" si="35"/>
        <v>106</v>
      </c>
      <c r="E68" s="2749">
        <f t="shared" ref="E68:F70" si="74">E69+(E$67-E$71)/4</f>
        <v>104.5</v>
      </c>
      <c r="F68" s="2749">
        <f t="shared" si="74"/>
        <v>101.5</v>
      </c>
      <c r="G68" s="3510">
        <v>2002</v>
      </c>
      <c r="H68" s="2705">
        <v>3</v>
      </c>
      <c r="I68" s="2747"/>
      <c r="J68" s="2747"/>
      <c r="K68" s="2747"/>
      <c r="L68" s="2747"/>
      <c r="X68" s="2739"/>
      <c r="Y68" s="2739"/>
      <c r="Z68" s="2739"/>
    </row>
    <row r="69" spans="1:26">
      <c r="A69" s="2680" t="s">
        <v>2629</v>
      </c>
      <c r="B69" s="2749">
        <f t="shared" si="73"/>
        <v>104</v>
      </c>
      <c r="C69" s="2749">
        <f t="shared" si="73"/>
        <v>105</v>
      </c>
      <c r="D69" s="2749">
        <f t="shared" si="35"/>
        <v>105</v>
      </c>
      <c r="E69" s="2749">
        <f t="shared" si="74"/>
        <v>104</v>
      </c>
      <c r="F69" s="2749">
        <f t="shared" si="74"/>
        <v>101</v>
      </c>
      <c r="G69" s="3510">
        <v>2002</v>
      </c>
      <c r="H69" s="2685">
        <v>2</v>
      </c>
      <c r="I69" s="2747"/>
      <c r="J69" s="2747"/>
      <c r="K69" s="2747"/>
      <c r="L69" s="2747"/>
      <c r="X69" s="2739"/>
      <c r="Y69" s="2739"/>
      <c r="Z69" s="2739"/>
    </row>
    <row r="70" spans="1:26" s="2716" customFormat="1" ht="13.5" thickBot="1">
      <c r="A70" s="2712" t="s">
        <v>2630</v>
      </c>
      <c r="B70" s="2753">
        <f t="shared" si="73"/>
        <v>103</v>
      </c>
      <c r="C70" s="2753">
        <f t="shared" si="73"/>
        <v>104</v>
      </c>
      <c r="D70" s="2753">
        <f t="shared" si="35"/>
        <v>104</v>
      </c>
      <c r="E70" s="2753">
        <f t="shared" si="74"/>
        <v>103.5</v>
      </c>
      <c r="F70" s="2753">
        <f t="shared" si="74"/>
        <v>100.5</v>
      </c>
      <c r="G70" s="3511">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2631</v>
      </c>
      <c r="G73" s="2763"/>
      <c r="N73" s="2763"/>
      <c r="S73" s="2763"/>
    </row>
    <row r="74" spans="1:26" s="2762" customFormat="1">
      <c r="A74" s="2762" t="s">
        <v>2632</v>
      </c>
      <c r="G74" s="2763"/>
      <c r="N74" s="2763"/>
      <c r="S74" s="2763"/>
    </row>
    <row r="75" spans="1:26" s="2762" customFormat="1">
      <c r="A75" s="2762" t="s">
        <v>2633</v>
      </c>
      <c r="G75" s="2763"/>
      <c r="I75" s="2764"/>
      <c r="J75" s="2764"/>
      <c r="K75" s="2764"/>
      <c r="L75" s="2764"/>
      <c r="N75" s="2765"/>
      <c r="O75" s="2764"/>
      <c r="P75" s="2764"/>
      <c r="Q75" s="2764"/>
      <c r="S75" s="2765"/>
      <c r="T75" s="2764"/>
      <c r="U75" s="2764"/>
      <c r="V75" s="2764"/>
    </row>
    <row r="76" spans="1:26" s="2762" customFormat="1">
      <c r="A76" s="2762" t="s">
        <v>2634</v>
      </c>
      <c r="G76" s="2763"/>
      <c r="N76" s="2763"/>
      <c r="S76" s="2763"/>
    </row>
    <row r="83" spans="7:22" ht="13.5" thickBot="1"/>
    <row r="84" spans="7:22">
      <c r="G84" s="2688"/>
      <c r="S84" s="2766" t="s">
        <v>2635</v>
      </c>
      <c r="T84" s="2767" t="s">
        <v>2636</v>
      </c>
      <c r="U84" s="2767" t="s">
        <v>2637</v>
      </c>
      <c r="V84" s="2767" t="s">
        <v>2638</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M37" sqref="M3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3039</v>
      </c>
      <c r="E1" s="2651"/>
      <c r="F1" s="2832" t="s">
        <v>3099</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240188</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16333</v>
      </c>
      <c r="C3" s="852" t="s">
        <v>721</v>
      </c>
      <c r="D3" s="851">
        <f>SUMIF('数据-汇总表'!$C19:$C33,D1,'数据-汇总表'!$E19:$E33)</f>
        <v>147057.1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33" t="s">
        <v>521</v>
      </c>
      <c r="D4" s="3434"/>
      <c r="E4" s="3470" t="s">
        <v>522</v>
      </c>
      <c r="F4" s="3471"/>
      <c r="G4" s="3433" t="s">
        <v>523</v>
      </c>
      <c r="H4" s="3434"/>
      <c r="I4" s="3433" t="s">
        <v>524</v>
      </c>
      <c r="J4" s="3434"/>
      <c r="K4" s="853" t="s">
        <v>525</v>
      </c>
      <c r="L4" s="2134"/>
      <c r="M4" s="2135"/>
      <c r="N4" s="2135"/>
      <c r="O4" s="2135"/>
      <c r="P4" s="3435" t="s">
        <v>526</v>
      </c>
      <c r="Q4" s="3436"/>
      <c r="R4" s="3441" t="s">
        <v>522</v>
      </c>
      <c r="S4" s="3442"/>
      <c r="T4" s="3441" t="s">
        <v>523</v>
      </c>
      <c r="U4" s="3442"/>
      <c r="V4" s="3428" t="s">
        <v>524</v>
      </c>
      <c r="W4" s="3428"/>
      <c r="X4" s="1567"/>
      <c r="Y4" s="3441" t="s">
        <v>526</v>
      </c>
      <c r="Z4" s="3442"/>
      <c r="AA4" s="3430" t="s">
        <v>522</v>
      </c>
      <c r="AB4" s="3430" t="s">
        <v>523</v>
      </c>
      <c r="AC4" s="3430" t="s">
        <v>524</v>
      </c>
    </row>
    <row r="5" spans="1:29" ht="15">
      <c r="A5" s="515"/>
      <c r="B5" s="516"/>
      <c r="C5" s="3451" t="s">
        <v>2916</v>
      </c>
      <c r="D5" s="3450"/>
      <c r="E5" s="3449" t="s">
        <v>3109</v>
      </c>
      <c r="F5" s="3450"/>
      <c r="G5" s="3449" t="s">
        <v>3111</v>
      </c>
      <c r="H5" s="3450"/>
      <c r="I5" s="3449" t="s">
        <v>3113</v>
      </c>
      <c r="J5" s="3450"/>
      <c r="K5" s="854"/>
      <c r="L5" s="2134"/>
      <c r="M5" s="2135"/>
      <c r="N5" s="2135"/>
      <c r="O5" s="2135"/>
      <c r="P5" s="3437"/>
      <c r="Q5" s="3438"/>
      <c r="R5" s="3443"/>
      <c r="S5" s="3444"/>
      <c r="T5" s="3443"/>
      <c r="U5" s="3444"/>
      <c r="V5" s="3428"/>
      <c r="W5" s="3428"/>
      <c r="X5" s="1567"/>
      <c r="Y5" s="3443"/>
      <c r="Z5" s="3444"/>
      <c r="AA5" s="3431"/>
      <c r="AB5" s="3431"/>
      <c r="AC5" s="3431"/>
    </row>
    <row r="6" spans="1:29" ht="15.75" thickBot="1">
      <c r="A6" s="517"/>
      <c r="B6" s="518"/>
      <c r="C6" s="3452" t="s">
        <v>2920</v>
      </c>
      <c r="D6" s="3453"/>
      <c r="E6" s="3454"/>
      <c r="F6" s="3453"/>
      <c r="G6" s="3447"/>
      <c r="H6" s="3448"/>
      <c r="I6" s="3447"/>
      <c r="J6" s="3448"/>
      <c r="K6" s="854" t="s">
        <v>527</v>
      </c>
      <c r="L6" s="2134"/>
      <c r="M6" s="2135"/>
      <c r="N6" s="2135"/>
      <c r="O6" s="2135"/>
      <c r="P6" s="3439"/>
      <c r="Q6" s="3440"/>
      <c r="R6" s="3443"/>
      <c r="S6" s="3444"/>
      <c r="T6" s="3445"/>
      <c r="U6" s="3446"/>
      <c r="V6" s="3428"/>
      <c r="W6" s="3428"/>
      <c r="X6" s="1567"/>
      <c r="Y6" s="3445"/>
      <c r="Z6" s="3446"/>
      <c r="AA6" s="3432"/>
      <c r="AB6" s="3432"/>
      <c r="AC6" s="3432"/>
    </row>
    <row r="7" spans="1:29" s="1219" customFormat="1" ht="15.75" thickBot="1">
      <c r="A7" s="2937"/>
      <c r="B7" s="2944" t="s">
        <v>528</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60" t="s">
        <v>529</v>
      </c>
      <c r="Q7" s="3462"/>
      <c r="R7" s="1568" t="s">
        <v>13</v>
      </c>
      <c r="S7" s="1569">
        <f t="shared" ref="S7:S15" si="0">F7</f>
        <v>100</v>
      </c>
      <c r="T7" s="1568" t="s">
        <v>13</v>
      </c>
      <c r="U7" s="1569">
        <f t="shared" ref="U7:U15" si="1">H7</f>
        <v>100</v>
      </c>
      <c r="V7" s="1568" t="s">
        <v>13</v>
      </c>
      <c r="W7" s="1569">
        <f t="shared" ref="W7:W15" si="2">J7</f>
        <v>100</v>
      </c>
      <c r="X7" s="1570"/>
      <c r="Y7" s="3460" t="s">
        <v>529</v>
      </c>
      <c r="Z7" s="3461"/>
      <c r="AA7" s="1571">
        <f>D7/F7</f>
        <v>1</v>
      </c>
      <c r="AB7" s="1571">
        <f>D7/H7</f>
        <v>1</v>
      </c>
      <c r="AC7" s="1571">
        <f>D7/J7</f>
        <v>1</v>
      </c>
    </row>
    <row r="8" spans="1:29" s="1219" customFormat="1" ht="15.75" thickBot="1">
      <c r="A8" s="2938"/>
      <c r="B8" s="2945" t="s">
        <v>530</v>
      </c>
      <c r="C8" s="525" t="s">
        <v>575</v>
      </c>
      <c r="D8" s="520">
        <v>100</v>
      </c>
      <c r="E8" s="856" t="s">
        <v>3018</v>
      </c>
      <c r="F8" s="522">
        <f>SUMIF(61:61,E8,62:62)-SUMIF(61:61,C8,62:62)+100</f>
        <v>100</v>
      </c>
      <c r="G8" s="856" t="s">
        <v>3018</v>
      </c>
      <c r="H8" s="520">
        <f>SUMIF(61:61,G8,62:62)-SUMIF(61:61,C8,62:62)+100</f>
        <v>100</v>
      </c>
      <c r="I8" s="856" t="s">
        <v>3018</v>
      </c>
      <c r="J8" s="520">
        <f>SUMIF(61:61,I8,62:62)-SUMIF(61:61,C8,62:62)+100</f>
        <v>100</v>
      </c>
      <c r="K8" s="855"/>
      <c r="L8" s="2136"/>
      <c r="M8" s="2137"/>
      <c r="N8" s="2137"/>
      <c r="O8" s="2137"/>
      <c r="P8" s="3460" t="s">
        <v>532</v>
      </c>
      <c r="Q8" s="3461"/>
      <c r="R8" s="1568" t="s">
        <v>13</v>
      </c>
      <c r="S8" s="1569">
        <f t="shared" si="0"/>
        <v>100</v>
      </c>
      <c r="T8" s="1568" t="s">
        <v>13</v>
      </c>
      <c r="U8" s="1569">
        <f t="shared" si="1"/>
        <v>100</v>
      </c>
      <c r="V8" s="1568" t="s">
        <v>13</v>
      </c>
      <c r="W8" s="1569">
        <f t="shared" si="2"/>
        <v>100</v>
      </c>
      <c r="X8" s="1570"/>
      <c r="Y8" s="3460" t="s">
        <v>532</v>
      </c>
      <c r="Z8" s="3461"/>
      <c r="AA8" s="1571">
        <f t="shared" ref="AA8:AA46" si="3">D8/F8</f>
        <v>1</v>
      </c>
      <c r="AB8" s="1571">
        <f t="shared" ref="AB8:AB46" si="4">D8/H8</f>
        <v>1</v>
      </c>
      <c r="AC8" s="1571">
        <f t="shared" ref="AC8:AC46" si="5">D8/J8</f>
        <v>1</v>
      </c>
    </row>
    <row r="9" spans="1:29" s="1219" customFormat="1" ht="15">
      <c r="A9" s="2939"/>
      <c r="B9" s="2946" t="s">
        <v>2756</v>
      </c>
      <c r="C9" s="3205" t="s">
        <v>3047</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427" t="s">
        <v>534</v>
      </c>
      <c r="Q9" s="1150" t="str">
        <f t="shared" ref="Q9:Q15" si="6">B9</f>
        <v>用途</v>
      </c>
      <c r="R9" s="1568" t="s">
        <v>8</v>
      </c>
      <c r="S9" s="1569">
        <f t="shared" si="0"/>
        <v>100</v>
      </c>
      <c r="T9" s="1568" t="s">
        <v>8</v>
      </c>
      <c r="U9" s="1569">
        <f t="shared" si="1"/>
        <v>100</v>
      </c>
      <c r="V9" s="1568" t="s">
        <v>8</v>
      </c>
      <c r="W9" s="1569">
        <f t="shared" si="2"/>
        <v>100</v>
      </c>
      <c r="X9" s="1570"/>
      <c r="Y9" s="3366" t="s">
        <v>535</v>
      </c>
      <c r="Z9" s="1149" t="str">
        <f t="shared" ref="Z9:Z15" si="7">Q9</f>
        <v>用途</v>
      </c>
      <c r="AA9" s="1571">
        <f t="shared" si="3"/>
        <v>1</v>
      </c>
      <c r="AB9" s="1571">
        <f t="shared" si="4"/>
        <v>1</v>
      </c>
      <c r="AC9" s="1571">
        <f t="shared" si="5"/>
        <v>1</v>
      </c>
    </row>
    <row r="10" spans="1:29" s="1337" customFormat="1" ht="27">
      <c r="A10" s="2940"/>
      <c r="B10" s="2945" t="s">
        <v>2757</v>
      </c>
      <c r="C10" s="861" t="s">
        <v>3079</v>
      </c>
      <c r="D10" s="255">
        <v>100</v>
      </c>
      <c r="E10" s="861" t="s">
        <v>3079</v>
      </c>
      <c r="F10" s="863">
        <f>SUMIF(65:65,E10,66:66)-SUMIF(65:65,C10,66:66)+100</f>
        <v>100</v>
      </c>
      <c r="G10" s="861" t="s">
        <v>3079</v>
      </c>
      <c r="H10" s="255">
        <f>SUMIF(65:65,G10,66:66)-SUMIF(65:65,C10,66:66)+100</f>
        <v>100</v>
      </c>
      <c r="I10" s="861" t="s">
        <v>3079</v>
      </c>
      <c r="J10" s="255">
        <f>SUMIF(65:65,I10,66:66)-SUMIF(65:65,C10,66:66)+100</f>
        <v>100</v>
      </c>
      <c r="K10" s="864">
        <v>1</v>
      </c>
      <c r="L10" s="2139"/>
      <c r="M10" s="2179"/>
      <c r="N10" s="2179"/>
      <c r="O10" s="2140"/>
      <c r="P10" s="3427"/>
      <c r="Q10" s="1150" t="str">
        <f t="shared" si="6"/>
        <v>土地使用年限（年）</v>
      </c>
      <c r="R10" s="1568" t="s">
        <v>8</v>
      </c>
      <c r="S10" s="1569">
        <f t="shared" si="0"/>
        <v>100</v>
      </c>
      <c r="T10" s="1568" t="s">
        <v>8</v>
      </c>
      <c r="U10" s="1569">
        <f t="shared" si="1"/>
        <v>100</v>
      </c>
      <c r="V10" s="1568" t="s">
        <v>8</v>
      </c>
      <c r="W10" s="1569">
        <f t="shared" si="2"/>
        <v>100</v>
      </c>
      <c r="X10" s="1570"/>
      <c r="Y10" s="3366"/>
      <c r="Z10" s="1149" t="str">
        <f t="shared" si="7"/>
        <v>土地使用年限（年）</v>
      </c>
      <c r="AA10" s="1571">
        <f t="shared" si="3"/>
        <v>1</v>
      </c>
      <c r="AB10" s="1571">
        <f t="shared" si="4"/>
        <v>1</v>
      </c>
      <c r="AC10" s="1571">
        <f t="shared" si="5"/>
        <v>1</v>
      </c>
    </row>
    <row r="11" spans="1:29" ht="15.75" thickBot="1">
      <c r="A11" s="2941"/>
      <c r="B11" s="2945" t="s">
        <v>2758</v>
      </c>
      <c r="C11" s="533">
        <f>'数据-汇总表'!I6</f>
        <v>1.88</v>
      </c>
      <c r="D11" s="255">
        <v>100</v>
      </c>
      <c r="E11" s="534">
        <v>1.1399999999999999</v>
      </c>
      <c r="F11" s="863">
        <f>LOOKUP(E11,68:68,69:69)-LOOKUP(C11,68:68,69:69)+100</f>
        <v>100</v>
      </c>
      <c r="G11" s="533">
        <v>2.2999999999999998</v>
      </c>
      <c r="H11" s="255">
        <f>LOOKUP(G11,68:68,69:69)-LOOKUP(C11,68:68,69:69)+100</f>
        <v>98</v>
      </c>
      <c r="I11" s="533">
        <v>3.05</v>
      </c>
      <c r="J11" s="255">
        <f>LOOKUP(I11,68:68,69:69)-LOOKUP(C11,68:68,69:69)+100</f>
        <v>96</v>
      </c>
      <c r="K11" s="3251">
        <v>2</v>
      </c>
      <c r="L11" s="2141"/>
      <c r="M11" s="2135"/>
      <c r="N11" s="2135"/>
      <c r="O11" s="2142"/>
      <c r="P11" s="3427"/>
      <c r="Q11" s="1150" t="str">
        <f t="shared" si="6"/>
        <v>容积率</v>
      </c>
      <c r="R11" s="1568" t="s">
        <v>11</v>
      </c>
      <c r="S11" s="1569">
        <f t="shared" si="0"/>
        <v>100</v>
      </c>
      <c r="T11" s="1568" t="s">
        <v>11</v>
      </c>
      <c r="U11" s="1569">
        <f t="shared" si="1"/>
        <v>98</v>
      </c>
      <c r="V11" s="1568" t="s">
        <v>11</v>
      </c>
      <c r="W11" s="1569">
        <f t="shared" si="2"/>
        <v>96</v>
      </c>
      <c r="X11" s="1570"/>
      <c r="Y11" s="3366"/>
      <c r="Z11" s="1149" t="str">
        <f t="shared" si="7"/>
        <v>容积率</v>
      </c>
      <c r="AA11" s="1571">
        <f t="shared" si="3"/>
        <v>1</v>
      </c>
      <c r="AB11" s="1571">
        <f t="shared" si="4"/>
        <v>1.0204081632653061</v>
      </c>
      <c r="AC11" s="1571">
        <f t="shared" si="5"/>
        <v>1.0416666666666667</v>
      </c>
    </row>
    <row r="12" spans="1:29" s="1219" customFormat="1" ht="15" hidden="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7"/>
      <c r="Q12" s="1150">
        <f t="shared" si="6"/>
        <v>0</v>
      </c>
      <c r="R12" s="1568" t="s">
        <v>11</v>
      </c>
      <c r="S12" s="1569">
        <f t="shared" si="0"/>
        <v>100</v>
      </c>
      <c r="T12" s="1568" t="s">
        <v>11</v>
      </c>
      <c r="U12" s="1569">
        <f t="shared" si="1"/>
        <v>100</v>
      </c>
      <c r="V12" s="1568" t="s">
        <v>11</v>
      </c>
      <c r="W12" s="1569">
        <f t="shared" si="2"/>
        <v>100</v>
      </c>
      <c r="X12" s="1570"/>
      <c r="Y12" s="3366"/>
      <c r="Z12" s="1149">
        <f t="shared" si="7"/>
        <v>0</v>
      </c>
      <c r="AA12" s="1571">
        <f>D12/F12</f>
        <v>1</v>
      </c>
      <c r="AB12" s="1571">
        <f>D12/H12</f>
        <v>1</v>
      </c>
      <c r="AC12" s="1571">
        <f>D12/J12</f>
        <v>1</v>
      </c>
    </row>
    <row r="13" spans="1:29" ht="15" hidden="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7"/>
      <c r="Q13" s="1150">
        <f t="shared" si="6"/>
        <v>0</v>
      </c>
      <c r="R13" s="1568" t="s">
        <v>11</v>
      </c>
      <c r="S13" s="1569">
        <f t="shared" si="0"/>
        <v>100</v>
      </c>
      <c r="T13" s="1568" t="s">
        <v>11</v>
      </c>
      <c r="U13" s="1569">
        <f t="shared" si="1"/>
        <v>100</v>
      </c>
      <c r="V13" s="1568" t="s">
        <v>11</v>
      </c>
      <c r="W13" s="1569">
        <f t="shared" si="2"/>
        <v>100</v>
      </c>
      <c r="X13" s="1570"/>
      <c r="Y13" s="3366"/>
      <c r="Z13" s="1149">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7"/>
      <c r="Q14" s="1150">
        <f t="shared" si="6"/>
        <v>0</v>
      </c>
      <c r="R14" s="1568" t="s">
        <v>11</v>
      </c>
      <c r="S14" s="1569">
        <f t="shared" si="0"/>
        <v>100</v>
      </c>
      <c r="T14" s="1568" t="s">
        <v>11</v>
      </c>
      <c r="U14" s="1569">
        <f t="shared" si="1"/>
        <v>100</v>
      </c>
      <c r="V14" s="1568" t="s">
        <v>11</v>
      </c>
      <c r="W14" s="1569">
        <f t="shared" si="2"/>
        <v>100</v>
      </c>
      <c r="X14" s="1570"/>
      <c r="Y14" s="3366"/>
      <c r="Z14" s="1149">
        <f t="shared" si="7"/>
        <v>0</v>
      </c>
      <c r="AA14" s="1571">
        <f t="shared" si="3"/>
        <v>1</v>
      </c>
      <c r="AB14" s="1571">
        <f t="shared" si="4"/>
        <v>1</v>
      </c>
      <c r="AC14" s="1571">
        <f t="shared" si="5"/>
        <v>1</v>
      </c>
    </row>
    <row r="15" spans="1:29" ht="15">
      <c r="A15" s="293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63" t="s">
        <v>539</v>
      </c>
      <c r="Q15" s="1572" t="str">
        <f t="shared" si="6"/>
        <v>居住社区成熟度</v>
      </c>
      <c r="R15" s="1573" t="s">
        <v>11</v>
      </c>
      <c r="S15" s="1574">
        <f t="shared" si="0"/>
        <v>100</v>
      </c>
      <c r="T15" s="1573" t="s">
        <v>11</v>
      </c>
      <c r="U15" s="1574">
        <f t="shared" si="1"/>
        <v>100</v>
      </c>
      <c r="V15" s="1573" t="s">
        <v>11</v>
      </c>
      <c r="W15" s="1574">
        <f t="shared" si="2"/>
        <v>100</v>
      </c>
      <c r="X15" s="1567"/>
      <c r="Y15" s="3463" t="s">
        <v>539</v>
      </c>
      <c r="Z15" s="1575" t="str">
        <f t="shared" si="7"/>
        <v>居住社区成熟度</v>
      </c>
      <c r="AA15" s="1576">
        <f t="shared" si="3"/>
        <v>1</v>
      </c>
      <c r="AB15" s="1576">
        <f t="shared" si="4"/>
        <v>1</v>
      </c>
      <c r="AC15" s="1576">
        <f t="shared" si="5"/>
        <v>1</v>
      </c>
    </row>
    <row r="16" spans="1:29" ht="15">
      <c r="A16" s="532"/>
      <c r="B16" s="869"/>
      <c r="C16" s="576" t="s">
        <v>3019</v>
      </c>
      <c r="D16" s="555"/>
      <c r="E16" s="576" t="s">
        <v>3019</v>
      </c>
      <c r="F16" s="557"/>
      <c r="G16" s="576" t="s">
        <v>3019</v>
      </c>
      <c r="H16" s="559"/>
      <c r="I16" s="576" t="s">
        <v>3019</v>
      </c>
      <c r="J16" s="555"/>
      <c r="K16" s="870"/>
      <c r="L16" s="2143"/>
      <c r="M16" s="2135"/>
      <c r="N16" s="2135"/>
      <c r="O16" s="2142"/>
      <c r="P16" s="3464"/>
      <c r="Q16" s="1572"/>
      <c r="R16" s="1573"/>
      <c r="S16" s="1574"/>
      <c r="T16" s="1573"/>
      <c r="U16" s="1574"/>
      <c r="V16" s="1573"/>
      <c r="W16" s="1574"/>
      <c r="X16" s="1567"/>
      <c r="Y16" s="346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103</v>
      </c>
      <c r="K17" s="868">
        <v>3</v>
      </c>
      <c r="L17" s="2143"/>
      <c r="M17" s="2135"/>
      <c r="N17" s="2135"/>
      <c r="O17" s="2142"/>
      <c r="P17" s="3464"/>
      <c r="Q17" s="1572" t="str">
        <f>B17</f>
        <v>交通便捷度</v>
      </c>
      <c r="R17" s="1573" t="s">
        <v>11</v>
      </c>
      <c r="S17" s="1574">
        <f>F17</f>
        <v>100</v>
      </c>
      <c r="T17" s="1573" t="s">
        <v>11</v>
      </c>
      <c r="U17" s="1574">
        <f>H17</f>
        <v>100</v>
      </c>
      <c r="V17" s="1573" t="s">
        <v>11</v>
      </c>
      <c r="W17" s="1574">
        <f>J17</f>
        <v>103</v>
      </c>
      <c r="X17" s="1567"/>
      <c r="Y17" s="3464"/>
      <c r="Z17" s="1575" t="str">
        <f>Q17</f>
        <v>交通便捷度</v>
      </c>
      <c r="AA17" s="1576">
        <f t="shared" si="3"/>
        <v>1</v>
      </c>
      <c r="AB17" s="1576">
        <f t="shared" si="4"/>
        <v>1</v>
      </c>
      <c r="AC17" s="1576">
        <f t="shared" si="5"/>
        <v>0.970873786407767</v>
      </c>
    </row>
    <row r="18" spans="1:29" ht="15">
      <c r="A18" s="532"/>
      <c r="B18" s="595"/>
      <c r="C18" s="576" t="s">
        <v>3019</v>
      </c>
      <c r="D18" s="559"/>
      <c r="E18" s="576" t="s">
        <v>3019</v>
      </c>
      <c r="F18" s="563"/>
      <c r="G18" s="576" t="s">
        <v>3019</v>
      </c>
      <c r="H18" s="555"/>
      <c r="I18" s="3250" t="s">
        <v>3100</v>
      </c>
      <c r="J18" s="555"/>
      <c r="K18" s="870"/>
      <c r="L18" s="2143"/>
      <c r="M18" s="2135"/>
      <c r="N18" s="2135"/>
      <c r="O18" s="2142"/>
      <c r="P18" s="3464"/>
      <c r="Q18" s="1572"/>
      <c r="R18" s="1573"/>
      <c r="S18" s="1574"/>
      <c r="T18" s="1573"/>
      <c r="U18" s="1574"/>
      <c r="V18" s="1573"/>
      <c r="W18" s="1574"/>
      <c r="X18" s="1567"/>
      <c r="Y18" s="3464"/>
      <c r="Z18" s="1575"/>
      <c r="AA18" s="1576">
        <v>1</v>
      </c>
      <c r="AB18" s="1576">
        <v>1</v>
      </c>
      <c r="AC18" s="1576">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64"/>
      <c r="Q19" s="1572" t="str">
        <f>B19</f>
        <v>公共配套设施</v>
      </c>
      <c r="R19" s="1573" t="s">
        <v>11</v>
      </c>
      <c r="S19" s="1574">
        <f>F19</f>
        <v>100</v>
      </c>
      <c r="T19" s="1573" t="s">
        <v>11</v>
      </c>
      <c r="U19" s="1574">
        <f>H19</f>
        <v>100</v>
      </c>
      <c r="V19" s="1573" t="s">
        <v>11</v>
      </c>
      <c r="W19" s="1574">
        <f>J19</f>
        <v>100</v>
      </c>
      <c r="X19" s="1567"/>
      <c r="Y19" s="3464"/>
      <c r="Z19" s="1575" t="str">
        <f>Q19</f>
        <v>公共配套设施</v>
      </c>
      <c r="AA19" s="1576">
        <f t="shared" si="3"/>
        <v>1</v>
      </c>
      <c r="AB19" s="1576">
        <f t="shared" si="4"/>
        <v>1</v>
      </c>
      <c r="AC19" s="1576">
        <f t="shared" si="5"/>
        <v>1</v>
      </c>
    </row>
    <row r="20" spans="1:29" ht="15">
      <c r="A20" s="532"/>
      <c r="B20" s="595"/>
      <c r="C20" s="576" t="s">
        <v>3019</v>
      </c>
      <c r="D20" s="555"/>
      <c r="E20" s="576" t="s">
        <v>3019</v>
      </c>
      <c r="F20" s="557"/>
      <c r="G20" s="576" t="s">
        <v>3019</v>
      </c>
      <c r="H20" s="555"/>
      <c r="I20" s="576" t="s">
        <v>3019</v>
      </c>
      <c r="J20" s="555"/>
      <c r="K20" s="870"/>
      <c r="L20" s="2143"/>
      <c r="M20" s="2135"/>
      <c r="N20" s="2135"/>
      <c r="O20" s="2142"/>
      <c r="P20" s="3464"/>
      <c r="Q20" s="1572"/>
      <c r="R20" s="1573"/>
      <c r="S20" s="1574"/>
      <c r="T20" s="1573"/>
      <c r="U20" s="1574"/>
      <c r="V20" s="1573"/>
      <c r="W20" s="1574"/>
      <c r="X20" s="1567"/>
      <c r="Y20" s="3464"/>
      <c r="Z20" s="1575"/>
      <c r="AA20" s="1576">
        <v>1</v>
      </c>
      <c r="AB20" s="1576">
        <v>1</v>
      </c>
      <c r="AC20" s="1576">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64"/>
      <c r="Q21" s="2604" t="str">
        <f>B21</f>
        <v>基础设施水平</v>
      </c>
      <c r="R21" s="1573" t="s">
        <v>11</v>
      </c>
      <c r="S21" s="1574">
        <f>F21</f>
        <v>100</v>
      </c>
      <c r="T21" s="1573" t="s">
        <v>11</v>
      </c>
      <c r="U21" s="1574">
        <f>H21</f>
        <v>100</v>
      </c>
      <c r="V21" s="1573" t="s">
        <v>11</v>
      </c>
      <c r="W21" s="1574">
        <f>J21</f>
        <v>100</v>
      </c>
      <c r="X21" s="2606"/>
      <c r="Y21" s="3464"/>
      <c r="Z21" s="2605" t="str">
        <f>Q21</f>
        <v>基础设施水平</v>
      </c>
      <c r="AA21" s="1576">
        <f t="shared" ref="AA21" si="8">D21/F21</f>
        <v>1</v>
      </c>
      <c r="AB21" s="1576">
        <f t="shared" ref="AB21" si="9">D21/H21</f>
        <v>1</v>
      </c>
      <c r="AC21" s="1576">
        <f t="shared" ref="AC21" si="10">D21/J21</f>
        <v>1</v>
      </c>
    </row>
    <row r="22" spans="1:29" ht="15">
      <c r="A22" s="532"/>
      <c r="B22" s="921"/>
      <c r="C22" s="873" t="s">
        <v>3020</v>
      </c>
      <c r="D22" s="555"/>
      <c r="E22" s="873" t="s">
        <v>3020</v>
      </c>
      <c r="F22" s="557"/>
      <c r="G22" s="873" t="s">
        <v>3020</v>
      </c>
      <c r="H22" s="555"/>
      <c r="I22" s="873" t="s">
        <v>3020</v>
      </c>
      <c r="J22" s="555"/>
      <c r="K22" s="2624"/>
      <c r="L22" s="2143"/>
      <c r="M22" s="2135"/>
      <c r="N22" s="2135"/>
      <c r="O22" s="2142"/>
      <c r="P22" s="3464"/>
      <c r="Q22" s="2604"/>
      <c r="R22" s="1573"/>
      <c r="S22" s="1574"/>
      <c r="T22" s="1573"/>
      <c r="U22" s="1574"/>
      <c r="V22" s="1573"/>
      <c r="W22" s="1574"/>
      <c r="X22" s="2606"/>
      <c r="Y22" s="3464"/>
      <c r="Z22" s="2605"/>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64"/>
      <c r="Q23" s="1572" t="str">
        <f>B23</f>
        <v>自然及人文环境</v>
      </c>
      <c r="R23" s="1573" t="s">
        <v>11</v>
      </c>
      <c r="S23" s="1574">
        <f>F23</f>
        <v>100</v>
      </c>
      <c r="T23" s="1573" t="s">
        <v>11</v>
      </c>
      <c r="U23" s="1574">
        <f>H23</f>
        <v>100</v>
      </c>
      <c r="V23" s="1573" t="s">
        <v>11</v>
      </c>
      <c r="W23" s="1574">
        <f>J23</f>
        <v>100</v>
      </c>
      <c r="X23" s="1567"/>
      <c r="Y23" s="3464"/>
      <c r="Z23" s="1575" t="str">
        <f>Q23</f>
        <v>自然及人文环境</v>
      </c>
      <c r="AA23" s="1576">
        <f t="shared" si="3"/>
        <v>1</v>
      </c>
      <c r="AB23" s="1576">
        <f t="shared" si="4"/>
        <v>1</v>
      </c>
      <c r="AC23" s="1576">
        <f t="shared" si="5"/>
        <v>1</v>
      </c>
    </row>
    <row r="24" spans="1:29" ht="15">
      <c r="A24" s="532"/>
      <c r="B24" s="595"/>
      <c r="C24" s="576" t="s">
        <v>3019</v>
      </c>
      <c r="D24" s="555"/>
      <c r="E24" s="576" t="s">
        <v>3019</v>
      </c>
      <c r="F24" s="557"/>
      <c r="G24" s="576" t="s">
        <v>3019</v>
      </c>
      <c r="H24" s="555"/>
      <c r="I24" s="576" t="s">
        <v>3019</v>
      </c>
      <c r="J24" s="555"/>
      <c r="K24" s="870"/>
      <c r="L24" s="2143"/>
      <c r="M24" s="2135"/>
      <c r="N24" s="2135"/>
      <c r="O24" s="2142"/>
      <c r="P24" s="3464"/>
      <c r="Q24" s="1572"/>
      <c r="R24" s="1573"/>
      <c r="S24" s="1574"/>
      <c r="T24" s="1573"/>
      <c r="U24" s="1574"/>
      <c r="V24" s="1573"/>
      <c r="W24" s="1574"/>
      <c r="X24" s="1567"/>
      <c r="Y24" s="3464"/>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64"/>
      <c r="Q25" s="1572" t="str">
        <f t="shared" ref="Q25:Q46" si="11">B25</f>
        <v>楼层-1</v>
      </c>
      <c r="R25" s="1573" t="s">
        <v>11</v>
      </c>
      <c r="S25" s="1574">
        <f>F25</f>
        <v>100</v>
      </c>
      <c r="T25" s="1573" t="s">
        <v>11</v>
      </c>
      <c r="U25" s="1574">
        <f>H25</f>
        <v>100</v>
      </c>
      <c r="V25" s="1573" t="s">
        <v>11</v>
      </c>
      <c r="W25" s="1574">
        <f>J25</f>
        <v>100</v>
      </c>
      <c r="X25" s="1567"/>
      <c r="Y25" s="3464"/>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64"/>
      <c r="Q26" s="1572" t="str">
        <f t="shared" si="11"/>
        <v>朝向</v>
      </c>
      <c r="R26" s="1573" t="s">
        <v>11</v>
      </c>
      <c r="S26" s="1574">
        <f>F26</f>
        <v>100</v>
      </c>
      <c r="T26" s="1573" t="s">
        <v>11</v>
      </c>
      <c r="U26" s="1574">
        <f>H26</f>
        <v>100</v>
      </c>
      <c r="V26" s="1573" t="s">
        <v>11</v>
      </c>
      <c r="W26" s="1574">
        <f>J26</f>
        <v>100</v>
      </c>
      <c r="X26" s="1567"/>
      <c r="Y26" s="3464"/>
      <c r="Z26" s="1575" t="str">
        <f>Q26</f>
        <v>朝向</v>
      </c>
      <c r="AA26" s="1576">
        <f t="shared" si="3"/>
        <v>1</v>
      </c>
      <c r="AB26" s="1576">
        <f t="shared" si="4"/>
        <v>1</v>
      </c>
      <c r="AC26" s="1576">
        <f t="shared" si="5"/>
        <v>1</v>
      </c>
    </row>
    <row r="27" spans="1:29" s="1219" customFormat="1" ht="15.75" thickBot="1">
      <c r="A27" s="536"/>
      <c r="B27" s="537" t="s">
        <v>723</v>
      </c>
      <c r="C27" s="3204" t="s">
        <v>3080</v>
      </c>
      <c r="D27" s="875">
        <v>100</v>
      </c>
      <c r="E27" s="3204" t="s">
        <v>3080</v>
      </c>
      <c r="F27" s="876">
        <f>SUMIF(90:90,E27,91:91)-SUMIF(90:90,C27,91:91)+100</f>
        <v>100</v>
      </c>
      <c r="G27" s="3204" t="s">
        <v>3080</v>
      </c>
      <c r="H27" s="875">
        <f>SUMIF(90:90,G27,91:91)-SUMIF(90:90,C27,91:91)+100</f>
        <v>100</v>
      </c>
      <c r="I27" s="3204" t="s">
        <v>3080</v>
      </c>
      <c r="J27" s="875">
        <f>SUMIF(90:90,I27,91:91)-SUMIF(90:90,C27,91:91)+100</f>
        <v>100</v>
      </c>
      <c r="K27" s="865"/>
      <c r="L27" s="2136"/>
      <c r="M27" s="2137"/>
      <c r="N27" s="2137"/>
      <c r="O27" s="2138"/>
      <c r="P27" s="3464"/>
      <c r="Q27" s="1150" t="str">
        <f t="shared" si="11"/>
        <v>道路级别</v>
      </c>
      <c r="R27" s="1568" t="s">
        <v>11</v>
      </c>
      <c r="S27" s="1569">
        <f>F27</f>
        <v>100</v>
      </c>
      <c r="T27" s="1568" t="s">
        <v>11</v>
      </c>
      <c r="U27" s="1569">
        <f>H27</f>
        <v>100</v>
      </c>
      <c r="V27" s="1568" t="s">
        <v>11</v>
      </c>
      <c r="W27" s="1569">
        <f>J27</f>
        <v>100</v>
      </c>
      <c r="X27" s="1570"/>
      <c r="Y27" s="3464"/>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64"/>
      <c r="Q28" s="1572">
        <f t="shared" si="11"/>
        <v>0</v>
      </c>
      <c r="R28" s="1573" t="s">
        <v>11</v>
      </c>
      <c r="S28" s="1574">
        <f t="shared" ref="S28:S46" si="12">F28</f>
        <v>100</v>
      </c>
      <c r="T28" s="1573" t="s">
        <v>11</v>
      </c>
      <c r="U28" s="1574">
        <f t="shared" ref="U28:U46" si="13">H28</f>
        <v>100</v>
      </c>
      <c r="V28" s="1573" t="s">
        <v>11</v>
      </c>
      <c r="W28" s="1574">
        <f t="shared" ref="W28:W46" si="14">J28</f>
        <v>100</v>
      </c>
      <c r="X28" s="1567"/>
      <c r="Y28" s="346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64"/>
      <c r="Q29" s="1572">
        <f t="shared" si="11"/>
        <v>0</v>
      </c>
      <c r="R29" s="1573" t="s">
        <v>11</v>
      </c>
      <c r="S29" s="1574">
        <f t="shared" si="12"/>
        <v>100</v>
      </c>
      <c r="T29" s="1573" t="s">
        <v>11</v>
      </c>
      <c r="U29" s="1574">
        <f t="shared" si="13"/>
        <v>100</v>
      </c>
      <c r="V29" s="1573" t="s">
        <v>11</v>
      </c>
      <c r="W29" s="1574">
        <f t="shared" si="14"/>
        <v>100</v>
      </c>
      <c r="X29" s="1567"/>
      <c r="Y29" s="346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64"/>
      <c r="Q30" s="1572">
        <f t="shared" si="11"/>
        <v>0</v>
      </c>
      <c r="R30" s="1573" t="s">
        <v>11</v>
      </c>
      <c r="S30" s="1574">
        <f t="shared" si="12"/>
        <v>100</v>
      </c>
      <c r="T30" s="1573" t="s">
        <v>11</v>
      </c>
      <c r="U30" s="1574">
        <f t="shared" si="13"/>
        <v>100</v>
      </c>
      <c r="V30" s="1573" t="s">
        <v>11</v>
      </c>
      <c r="W30" s="1574">
        <f t="shared" si="14"/>
        <v>100</v>
      </c>
      <c r="X30" s="1567"/>
      <c r="Y30" s="346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64"/>
      <c r="Q31" s="1572">
        <f t="shared" si="11"/>
        <v>0</v>
      </c>
      <c r="R31" s="1573" t="s">
        <v>11</v>
      </c>
      <c r="S31" s="1574">
        <f t="shared" si="12"/>
        <v>100</v>
      </c>
      <c r="T31" s="1573" t="s">
        <v>11</v>
      </c>
      <c r="U31" s="1574">
        <f t="shared" si="13"/>
        <v>100</v>
      </c>
      <c r="V31" s="1573" t="s">
        <v>11</v>
      </c>
      <c r="W31" s="1574">
        <f t="shared" si="14"/>
        <v>100</v>
      </c>
      <c r="X31" s="1567"/>
      <c r="Y31" s="3464"/>
      <c r="Z31" s="1575">
        <f t="shared" si="15"/>
        <v>0</v>
      </c>
      <c r="AA31" s="1576">
        <f t="shared" si="3"/>
        <v>1</v>
      </c>
      <c r="AB31" s="1576">
        <f t="shared" si="4"/>
        <v>1</v>
      </c>
      <c r="AC31" s="1576">
        <f t="shared" si="5"/>
        <v>1</v>
      </c>
    </row>
    <row r="32" spans="1:29" ht="15">
      <c r="A32" s="2932" t="s">
        <v>2755</v>
      </c>
      <c r="B32" s="172" t="s">
        <v>724</v>
      </c>
      <c r="C32" s="878" t="s">
        <v>3038</v>
      </c>
      <c r="D32" s="597">
        <v>100</v>
      </c>
      <c r="E32" s="878" t="s">
        <v>3038</v>
      </c>
      <c r="F32" s="575">
        <f>SUMIF(100:100,E32,101:101)-SUMIF(100:100,C32,101:101)+100</f>
        <v>100</v>
      </c>
      <c r="G32" s="878" t="s">
        <v>3038</v>
      </c>
      <c r="H32" s="597">
        <f>SUMIF(100:100,G32,101:101)-SUMIF(100:100,C32,101:101)+100</f>
        <v>100</v>
      </c>
      <c r="I32" s="878" t="s">
        <v>3038</v>
      </c>
      <c r="J32" s="540">
        <f>SUMIF(100:100,I32,101:101)-SUMIF(100:100,C32,101:101)+100</f>
        <v>100</v>
      </c>
      <c r="K32" s="864">
        <v>5</v>
      </c>
      <c r="L32" s="2143"/>
      <c r="M32" s="2135"/>
      <c r="N32" s="2135"/>
      <c r="O32" s="2142"/>
      <c r="P32" s="3465" t="s">
        <v>549</v>
      </c>
      <c r="Q32" s="1572" t="str">
        <f t="shared" si="11"/>
        <v>建筑类型</v>
      </c>
      <c r="R32" s="1573" t="s">
        <v>11</v>
      </c>
      <c r="S32" s="1574">
        <f t="shared" si="12"/>
        <v>100</v>
      </c>
      <c r="T32" s="1573" t="s">
        <v>11</v>
      </c>
      <c r="U32" s="1574">
        <f t="shared" si="13"/>
        <v>100</v>
      </c>
      <c r="V32" s="1573" t="s">
        <v>11</v>
      </c>
      <c r="W32" s="1574">
        <f t="shared" si="14"/>
        <v>100</v>
      </c>
      <c r="X32" s="1567"/>
      <c r="Y32" s="3466" t="s">
        <v>549</v>
      </c>
      <c r="Z32" s="1575" t="str">
        <f t="shared" si="15"/>
        <v>建筑类型</v>
      </c>
      <c r="AA32" s="1576">
        <f t="shared" si="3"/>
        <v>1</v>
      </c>
      <c r="AB32" s="1576">
        <f t="shared" si="4"/>
        <v>1</v>
      </c>
      <c r="AC32" s="1576">
        <f t="shared" si="5"/>
        <v>1</v>
      </c>
    </row>
    <row r="33" spans="1:29" s="1338" customFormat="1" ht="15">
      <c r="A33" s="603"/>
      <c r="B33" s="527" t="s">
        <v>725</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466"/>
      <c r="Q33" s="1605" t="str">
        <f t="shared" si="11"/>
        <v>项目建筑规模</v>
      </c>
      <c r="R33" s="1577" t="s">
        <v>11</v>
      </c>
      <c r="S33" s="1578">
        <f t="shared" si="12"/>
        <v>103</v>
      </c>
      <c r="T33" s="1577" t="s">
        <v>11</v>
      </c>
      <c r="U33" s="1578">
        <f t="shared" si="13"/>
        <v>103</v>
      </c>
      <c r="V33" s="1577" t="s">
        <v>11</v>
      </c>
      <c r="W33" s="1578">
        <f t="shared" si="14"/>
        <v>103</v>
      </c>
      <c r="X33" s="1579"/>
      <c r="Y33" s="3466"/>
      <c r="Z33" s="1580" t="str">
        <f t="shared" si="15"/>
        <v>项目建筑规模</v>
      </c>
      <c r="AA33" s="1576">
        <f t="shared" si="3"/>
        <v>0.970873786407767</v>
      </c>
      <c r="AB33" s="1576">
        <f t="shared" si="4"/>
        <v>0.970873786407767</v>
      </c>
      <c r="AC33" s="1576">
        <f t="shared" si="5"/>
        <v>0.970873786407767</v>
      </c>
    </row>
    <row r="34" spans="1:29" ht="15">
      <c r="A34" s="594"/>
      <c r="B34" s="527" t="s">
        <v>726</v>
      </c>
      <c r="C34" s="880" t="s">
        <v>3086</v>
      </c>
      <c r="D34" s="540">
        <v>100</v>
      </c>
      <c r="E34" s="880" t="s">
        <v>3086</v>
      </c>
      <c r="F34" s="575">
        <f>SUMIF(105:105,E34,106:106)-SUMIF(105:105,C34,106:106)+100</f>
        <v>100</v>
      </c>
      <c r="G34" s="880" t="s">
        <v>3086</v>
      </c>
      <c r="H34" s="540">
        <f>SUMIF(105:105,G34,106:106)-SUMIF(105:105,C34,106:106)+100</f>
        <v>100</v>
      </c>
      <c r="I34" s="880" t="s">
        <v>3086</v>
      </c>
      <c r="J34" s="540">
        <f>SUMIF(105:105,I34,106:106)-SUMIF(105:105,C34,106:106)+100</f>
        <v>100</v>
      </c>
      <c r="K34" s="864">
        <v>2</v>
      </c>
      <c r="L34" s="2143"/>
      <c r="M34" s="2135"/>
      <c r="N34" s="2135"/>
      <c r="O34" s="2142"/>
      <c r="P34" s="3466"/>
      <c r="Q34" s="1572" t="str">
        <f t="shared" si="11"/>
        <v>建筑结构</v>
      </c>
      <c r="R34" s="1573" t="s">
        <v>11</v>
      </c>
      <c r="S34" s="1574">
        <f t="shared" si="12"/>
        <v>100</v>
      </c>
      <c r="T34" s="1573" t="s">
        <v>11</v>
      </c>
      <c r="U34" s="1574">
        <f t="shared" si="13"/>
        <v>100</v>
      </c>
      <c r="V34" s="1573" t="s">
        <v>11</v>
      </c>
      <c r="W34" s="1574">
        <f t="shared" si="14"/>
        <v>100</v>
      </c>
      <c r="X34" s="1567"/>
      <c r="Y34" s="3466"/>
      <c r="Z34" s="1575" t="str">
        <f t="shared" si="15"/>
        <v>建筑结构</v>
      </c>
      <c r="AA34" s="1576">
        <f t="shared" si="3"/>
        <v>1</v>
      </c>
      <c r="AB34" s="1576">
        <f t="shared" si="4"/>
        <v>1</v>
      </c>
      <c r="AC34" s="1576">
        <f t="shared" si="5"/>
        <v>1</v>
      </c>
    </row>
    <row r="35" spans="1:29" ht="15">
      <c r="A35" s="594"/>
      <c r="B35" s="527" t="s">
        <v>727</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5</v>
      </c>
      <c r="L35" s="2143"/>
      <c r="M35" s="2135"/>
      <c r="N35" s="2135"/>
      <c r="O35" s="2142"/>
      <c r="P35" s="3466"/>
      <c r="Q35" s="1572" t="str">
        <f t="shared" si="11"/>
        <v>建筑品质</v>
      </c>
      <c r="R35" s="1573" t="s">
        <v>11</v>
      </c>
      <c r="S35" s="1574">
        <f t="shared" si="12"/>
        <v>100</v>
      </c>
      <c r="T35" s="1573" t="s">
        <v>11</v>
      </c>
      <c r="U35" s="1574">
        <f t="shared" si="13"/>
        <v>100</v>
      </c>
      <c r="V35" s="1573" t="s">
        <v>11</v>
      </c>
      <c r="W35" s="1574">
        <f t="shared" si="14"/>
        <v>100</v>
      </c>
      <c r="X35" s="1567"/>
      <c r="Y35" s="3466"/>
      <c r="Z35" s="1575" t="str">
        <f t="shared" si="15"/>
        <v>建筑品质</v>
      </c>
      <c r="AA35" s="1576">
        <f t="shared" si="3"/>
        <v>1</v>
      </c>
      <c r="AB35" s="1576">
        <f t="shared" si="4"/>
        <v>1</v>
      </c>
      <c r="AC35" s="1576">
        <f t="shared" si="5"/>
        <v>1</v>
      </c>
    </row>
    <row r="36" spans="1:29" ht="15">
      <c r="A36" s="594"/>
      <c r="B36" s="527" t="s">
        <v>728</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3"/>
      <c r="M36" s="2135"/>
      <c r="N36" s="2135"/>
      <c r="O36" s="2142"/>
      <c r="P36" s="3466"/>
      <c r="Q36" s="1572" t="str">
        <f t="shared" si="11"/>
        <v>公共部分装修</v>
      </c>
      <c r="R36" s="1573" t="s">
        <v>11</v>
      </c>
      <c r="S36" s="1574">
        <f t="shared" si="12"/>
        <v>100</v>
      </c>
      <c r="T36" s="1573" t="s">
        <v>11</v>
      </c>
      <c r="U36" s="1574">
        <f t="shared" si="13"/>
        <v>100</v>
      </c>
      <c r="V36" s="1573" t="s">
        <v>11</v>
      </c>
      <c r="W36" s="1574">
        <f t="shared" si="14"/>
        <v>100</v>
      </c>
      <c r="X36" s="1567"/>
      <c r="Y36" s="3466"/>
      <c r="Z36" s="1575" t="str">
        <f t="shared" si="15"/>
        <v>公共部分装修</v>
      </c>
      <c r="AA36" s="1576">
        <f t="shared" si="3"/>
        <v>1</v>
      </c>
      <c r="AB36" s="1576">
        <f t="shared" si="4"/>
        <v>1</v>
      </c>
      <c r="AC36" s="1576">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66"/>
      <c r="Q37" s="1150" t="str">
        <f t="shared" si="11"/>
        <v>成新度</v>
      </c>
      <c r="R37" s="1568" t="s">
        <v>11</v>
      </c>
      <c r="S37" s="1569">
        <f t="shared" si="12"/>
        <v>100</v>
      </c>
      <c r="T37" s="1568" t="s">
        <v>11</v>
      </c>
      <c r="U37" s="1569">
        <f t="shared" si="13"/>
        <v>100</v>
      </c>
      <c r="V37" s="1568" t="s">
        <v>11</v>
      </c>
      <c r="W37" s="1569">
        <f t="shared" si="14"/>
        <v>100</v>
      </c>
      <c r="X37" s="1570"/>
      <c r="Y37" s="3466"/>
      <c r="Z37" s="1149" t="str">
        <f t="shared" si="15"/>
        <v>成新度</v>
      </c>
      <c r="AA37" s="1571">
        <f t="shared" si="3"/>
        <v>1</v>
      </c>
      <c r="AB37" s="1571">
        <f t="shared" si="4"/>
        <v>1</v>
      </c>
      <c r="AC37" s="1571">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3</v>
      </c>
      <c r="L38" s="2143"/>
      <c r="M38" s="2135"/>
      <c r="N38" s="2135"/>
      <c r="O38" s="2142"/>
      <c r="P38" s="3466" t="s">
        <v>549</v>
      </c>
      <c r="Q38" s="1572" t="str">
        <f t="shared" si="11"/>
        <v>物业管理</v>
      </c>
      <c r="R38" s="1573" t="s">
        <v>11</v>
      </c>
      <c r="S38" s="1574">
        <f t="shared" si="12"/>
        <v>100</v>
      </c>
      <c r="T38" s="1573" t="s">
        <v>11</v>
      </c>
      <c r="U38" s="1574">
        <f t="shared" si="13"/>
        <v>100</v>
      </c>
      <c r="V38" s="1573" t="s">
        <v>11</v>
      </c>
      <c r="W38" s="1574">
        <f t="shared" si="14"/>
        <v>100</v>
      </c>
      <c r="X38" s="1567"/>
      <c r="Y38" s="3466" t="s">
        <v>549</v>
      </c>
      <c r="Z38" s="1575" t="str">
        <f t="shared" si="15"/>
        <v>物业管理</v>
      </c>
      <c r="AA38" s="1576">
        <f t="shared" si="3"/>
        <v>1</v>
      </c>
      <c r="AB38" s="1576">
        <f t="shared" si="4"/>
        <v>1</v>
      </c>
      <c r="AC38" s="1576">
        <f t="shared" si="5"/>
        <v>1</v>
      </c>
    </row>
    <row r="39" spans="1:29" ht="15">
      <c r="A39" s="594"/>
      <c r="B39" s="1896" t="s">
        <v>2564</v>
      </c>
      <c r="C39" s="599" t="s">
        <v>3020</v>
      </c>
      <c r="D39" s="540">
        <v>100</v>
      </c>
      <c r="E39" s="599" t="s">
        <v>3020</v>
      </c>
      <c r="F39" s="575">
        <f>SUMIF(116:116,E39,117:117)-SUMIF(116:116,C39,117:117)+100</f>
        <v>100</v>
      </c>
      <c r="G39" s="599" t="s">
        <v>3020</v>
      </c>
      <c r="H39" s="540">
        <f>SUMIF(116:116,G39,117:117)-SUMIF(116:116,C39,117:117)+100</f>
        <v>100</v>
      </c>
      <c r="I39" s="599" t="s">
        <v>3020</v>
      </c>
      <c r="J39" s="540">
        <f>SUMIF(116:116,I39,117:117)-SUMIF(116:116,C39,117:117)+100</f>
        <v>100</v>
      </c>
      <c r="K39" s="864">
        <v>2</v>
      </c>
      <c r="L39" s="2143"/>
      <c r="M39" s="2135"/>
      <c r="N39" s="2135"/>
      <c r="O39" s="2142"/>
      <c r="P39" s="3466"/>
      <c r="Q39" s="1572" t="str">
        <f t="shared" si="11"/>
        <v>市政基础设施</v>
      </c>
      <c r="R39" s="1573" t="s">
        <v>11</v>
      </c>
      <c r="S39" s="1574">
        <f t="shared" si="12"/>
        <v>100</v>
      </c>
      <c r="T39" s="1573" t="s">
        <v>11</v>
      </c>
      <c r="U39" s="1574">
        <f t="shared" si="13"/>
        <v>100</v>
      </c>
      <c r="V39" s="1573" t="s">
        <v>11</v>
      </c>
      <c r="W39" s="1574">
        <f t="shared" si="14"/>
        <v>100</v>
      </c>
      <c r="X39" s="1567"/>
      <c r="Y39" s="3466"/>
      <c r="Z39" s="1575" t="str">
        <f t="shared" si="15"/>
        <v>市政基础设施</v>
      </c>
      <c r="AA39" s="1576">
        <f t="shared" si="3"/>
        <v>1</v>
      </c>
      <c r="AB39" s="1576">
        <f t="shared" si="4"/>
        <v>1</v>
      </c>
      <c r="AC39" s="1576">
        <f t="shared" si="5"/>
        <v>1</v>
      </c>
    </row>
    <row r="40" spans="1:29" ht="15">
      <c r="A40" s="594"/>
      <c r="B40" s="527" t="s">
        <v>731</v>
      </c>
      <c r="C40" s="599" t="s">
        <v>3090</v>
      </c>
      <c r="D40" s="540">
        <v>100</v>
      </c>
      <c r="E40" s="599" t="s">
        <v>3090</v>
      </c>
      <c r="F40" s="575">
        <f>SUMIF(118:118,E40,119:119)-SUMIF(118:118,C40,119:119)+100</f>
        <v>100</v>
      </c>
      <c r="G40" s="599" t="s">
        <v>3090</v>
      </c>
      <c r="H40" s="540">
        <f>SUMIF(118:118,G40,119:119)-SUMIF(118:118,C40,119:119)+100</f>
        <v>100</v>
      </c>
      <c r="I40" s="599" t="s">
        <v>3090</v>
      </c>
      <c r="J40" s="540">
        <f>SUMIF(118:118,I40,119:119)-SUMIF(118:118,C40,119:119)+100</f>
        <v>100</v>
      </c>
      <c r="K40" s="864">
        <v>5</v>
      </c>
      <c r="L40" s="2143"/>
      <c r="M40" s="2135"/>
      <c r="N40" s="2135"/>
      <c r="O40" s="2142"/>
      <c r="P40" s="3466"/>
      <c r="Q40" s="1572" t="str">
        <f t="shared" si="11"/>
        <v>房型</v>
      </c>
      <c r="R40" s="1573" t="s">
        <v>11</v>
      </c>
      <c r="S40" s="1574">
        <f t="shared" si="12"/>
        <v>100</v>
      </c>
      <c r="T40" s="1573" t="s">
        <v>11</v>
      </c>
      <c r="U40" s="1574">
        <f t="shared" si="13"/>
        <v>100</v>
      </c>
      <c r="V40" s="1573" t="s">
        <v>11</v>
      </c>
      <c r="W40" s="1574">
        <f t="shared" si="14"/>
        <v>100</v>
      </c>
      <c r="X40" s="1567"/>
      <c r="Y40" s="3466"/>
      <c r="Z40" s="1575" t="str">
        <f t="shared" si="15"/>
        <v>房型</v>
      </c>
      <c r="AA40" s="1576">
        <f t="shared" si="3"/>
        <v>1</v>
      </c>
      <c r="AB40" s="1576">
        <f t="shared" si="4"/>
        <v>1</v>
      </c>
      <c r="AC40" s="1576">
        <f t="shared" si="5"/>
        <v>1</v>
      </c>
    </row>
    <row r="41" spans="1:29" s="1338" customFormat="1" ht="28.5">
      <c r="A41" s="603"/>
      <c r="B41" s="527" t="s">
        <v>732</v>
      </c>
      <c r="C41" s="879" t="s">
        <v>3091</v>
      </c>
      <c r="D41" s="255">
        <v>100</v>
      </c>
      <c r="E41" s="879" t="s">
        <v>3098</v>
      </c>
      <c r="F41" s="863">
        <f>SUMIF(120:120,E41,121:121)-SUMIF(120:120,C41,121:121)+100</f>
        <v>100</v>
      </c>
      <c r="G41" s="879" t="s">
        <v>3095</v>
      </c>
      <c r="H41" s="255">
        <f>SUMIF(120:120,G41,121:121)-SUMIF(120:120,C41,121:121)+100</f>
        <v>100</v>
      </c>
      <c r="I41" s="879" t="s">
        <v>3096</v>
      </c>
      <c r="J41" s="540">
        <f>SUMIF(120:120,I41,121:121)-SUMIF(120:120,C41,121:121)+100</f>
        <v>100</v>
      </c>
      <c r="K41" s="865"/>
      <c r="L41" s="2141"/>
      <c r="M41" s="2172"/>
      <c r="N41" s="2172"/>
      <c r="O41" s="2144"/>
      <c r="P41" s="3466"/>
      <c r="Q41" s="1605" t="str">
        <f t="shared" si="11"/>
        <v>单套/主力户型建筑面积</v>
      </c>
      <c r="R41" s="1577" t="s">
        <v>11</v>
      </c>
      <c r="S41" s="1578">
        <f t="shared" si="12"/>
        <v>100</v>
      </c>
      <c r="T41" s="1577" t="s">
        <v>11</v>
      </c>
      <c r="U41" s="1578">
        <f t="shared" si="13"/>
        <v>100</v>
      </c>
      <c r="V41" s="1577" t="s">
        <v>11</v>
      </c>
      <c r="W41" s="1578">
        <f t="shared" si="14"/>
        <v>100</v>
      </c>
      <c r="X41" s="1579"/>
      <c r="Y41" s="3466"/>
      <c r="Z41" s="1580" t="str">
        <f t="shared" si="15"/>
        <v>单套/主力户型建筑面积</v>
      </c>
      <c r="AA41" s="1576">
        <f t="shared" si="3"/>
        <v>1</v>
      </c>
      <c r="AB41" s="1576">
        <f t="shared" si="4"/>
        <v>1</v>
      </c>
      <c r="AC41" s="1576">
        <f t="shared" si="5"/>
        <v>1</v>
      </c>
    </row>
    <row r="42" spans="1:29" ht="15.75" thickBot="1">
      <c r="A42" s="594"/>
      <c r="B42" s="527" t="s">
        <v>733</v>
      </c>
      <c r="C42" s="599" t="s">
        <v>3088</v>
      </c>
      <c r="D42" s="540">
        <v>100</v>
      </c>
      <c r="E42" s="599" t="s">
        <v>3097</v>
      </c>
      <c r="F42" s="575">
        <f>SUMIF(122:122,E42,123:123)-SUMIF(122:122,C42,123:123)+100</f>
        <v>85</v>
      </c>
      <c r="G42" s="599" t="s">
        <v>3097</v>
      </c>
      <c r="H42" s="540">
        <f>SUMIF(122:122,G42,123:123)-SUMIF(122:122,C42,123:123)+100</f>
        <v>85</v>
      </c>
      <c r="I42" s="599" t="s">
        <v>3088</v>
      </c>
      <c r="J42" s="540">
        <f>SUMIF(122:122,I42,123:123)-SUMIF(122:122,C42,123:123)+100</f>
        <v>100</v>
      </c>
      <c r="K42" s="864">
        <v>5</v>
      </c>
      <c r="L42" s="2143"/>
      <c r="M42" s="2135"/>
      <c r="N42" s="2135"/>
      <c r="O42" s="2142"/>
      <c r="P42" s="3466"/>
      <c r="Q42" s="1572" t="str">
        <f t="shared" si="11"/>
        <v>内部装修</v>
      </c>
      <c r="R42" s="1573" t="s">
        <v>11</v>
      </c>
      <c r="S42" s="1574">
        <f t="shared" si="12"/>
        <v>85</v>
      </c>
      <c r="T42" s="1573" t="s">
        <v>11</v>
      </c>
      <c r="U42" s="1574">
        <f t="shared" si="13"/>
        <v>85</v>
      </c>
      <c r="V42" s="1573" t="s">
        <v>11</v>
      </c>
      <c r="W42" s="1574">
        <f t="shared" si="14"/>
        <v>100</v>
      </c>
      <c r="X42" s="1567"/>
      <c r="Y42" s="3466"/>
      <c r="Z42" s="1575" t="str">
        <f t="shared" si="15"/>
        <v>内部装修</v>
      </c>
      <c r="AA42" s="1576">
        <f t="shared" si="3"/>
        <v>1.1764705882352942</v>
      </c>
      <c r="AB42" s="1576">
        <f t="shared" si="4"/>
        <v>1.1764705882352942</v>
      </c>
      <c r="AC42" s="1576">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66"/>
      <c r="Q43" s="1572" t="str">
        <f t="shared" si="11"/>
        <v>内部装修维护情况</v>
      </c>
      <c r="R43" s="1573" t="s">
        <v>11</v>
      </c>
      <c r="S43" s="1574">
        <f t="shared" si="12"/>
        <v>100</v>
      </c>
      <c r="T43" s="1573" t="s">
        <v>11</v>
      </c>
      <c r="U43" s="1574">
        <f t="shared" si="13"/>
        <v>100</v>
      </c>
      <c r="V43" s="1573" t="s">
        <v>11</v>
      </c>
      <c r="W43" s="1574">
        <f t="shared" si="14"/>
        <v>100</v>
      </c>
      <c r="X43" s="1567"/>
      <c r="Y43" s="3466"/>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66"/>
      <c r="Q44" s="1150">
        <f t="shared" si="11"/>
        <v>0</v>
      </c>
      <c r="R44" s="1568" t="s">
        <v>11</v>
      </c>
      <c r="S44" s="1569">
        <f t="shared" si="12"/>
        <v>100</v>
      </c>
      <c r="T44" s="1568" t="s">
        <v>11</v>
      </c>
      <c r="U44" s="1569">
        <f t="shared" si="13"/>
        <v>100</v>
      </c>
      <c r="V44" s="1568" t="s">
        <v>11</v>
      </c>
      <c r="W44" s="1569">
        <f t="shared" si="14"/>
        <v>100</v>
      </c>
      <c r="X44" s="1570"/>
      <c r="Y44" s="3466"/>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66"/>
      <c r="Q45" s="1572">
        <f t="shared" si="11"/>
        <v>0</v>
      </c>
      <c r="R45" s="1573" t="s">
        <v>11</v>
      </c>
      <c r="S45" s="1574">
        <f t="shared" si="12"/>
        <v>100</v>
      </c>
      <c r="T45" s="1573" t="s">
        <v>11</v>
      </c>
      <c r="U45" s="1574">
        <f t="shared" si="13"/>
        <v>100</v>
      </c>
      <c r="V45" s="1573" t="s">
        <v>11</v>
      </c>
      <c r="W45" s="1574">
        <f t="shared" si="14"/>
        <v>100</v>
      </c>
      <c r="X45" s="1567"/>
      <c r="Y45" s="3466"/>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1"/>
      <c r="Q46" s="1572">
        <f t="shared" si="11"/>
        <v>0</v>
      </c>
      <c r="R46" s="1573" t="s">
        <v>10</v>
      </c>
      <c r="S46" s="1574">
        <f t="shared" si="12"/>
        <v>100</v>
      </c>
      <c r="T46" s="1573" t="s">
        <v>10</v>
      </c>
      <c r="U46" s="1574">
        <f t="shared" si="13"/>
        <v>100</v>
      </c>
      <c r="V46" s="1573" t="s">
        <v>10</v>
      </c>
      <c r="W46" s="1574">
        <f t="shared" si="14"/>
        <v>100</v>
      </c>
      <c r="X46" s="1567"/>
      <c r="Y46" s="3521"/>
      <c r="Z46" s="1575">
        <f t="shared" si="15"/>
        <v>0</v>
      </c>
      <c r="AA46" s="1576">
        <f t="shared" si="3"/>
        <v>1</v>
      </c>
      <c r="AB46" s="1576">
        <f t="shared" si="4"/>
        <v>1</v>
      </c>
      <c r="AC46" s="1576">
        <f t="shared" si="5"/>
        <v>1</v>
      </c>
    </row>
    <row r="47" spans="1:29" ht="15">
      <c r="A47" s="607" t="s">
        <v>735</v>
      </c>
      <c r="B47" s="886"/>
      <c r="C47" s="2652" t="s">
        <v>9</v>
      </c>
      <c r="D47" s="2653"/>
      <c r="E47" s="2654">
        <v>14000</v>
      </c>
      <c r="F47" s="2655"/>
      <c r="G47" s="2656">
        <v>14000</v>
      </c>
      <c r="H47" s="2657"/>
      <c r="I47" s="2654">
        <v>17000</v>
      </c>
      <c r="J47" s="2657"/>
      <c r="K47" s="1606"/>
      <c r="L47" s="2145"/>
      <c r="M47" s="2146"/>
      <c r="N47" s="2135"/>
      <c r="O47" s="2146"/>
      <c r="P47" s="3427" t="str">
        <f>A47</f>
        <v>成交单价（元/平方米）</v>
      </c>
      <c r="Q47" s="3427"/>
      <c r="R47" s="3520">
        <f>E47</f>
        <v>14000</v>
      </c>
      <c r="S47" s="3520"/>
      <c r="T47" s="3520">
        <f>G47</f>
        <v>14000</v>
      </c>
      <c r="U47" s="3520"/>
      <c r="V47" s="3520">
        <f>I47</f>
        <v>17000</v>
      </c>
      <c r="W47" s="3520"/>
      <c r="X47" s="1559"/>
      <c r="Y47" s="1581"/>
      <c r="Z47" s="1559"/>
      <c r="AA47" s="1559"/>
      <c r="AB47" s="1559"/>
      <c r="AC47" s="1559"/>
    </row>
    <row r="48" spans="1:29" ht="15.75" thickBot="1">
      <c r="A48" s="615" t="s">
        <v>2760</v>
      </c>
      <c r="B48" s="887"/>
      <c r="C48" s="2658">
        <f>R49</f>
        <v>16333</v>
      </c>
      <c r="D48" s="2659"/>
      <c r="E48" s="2660">
        <f>R48</f>
        <v>15991</v>
      </c>
      <c r="F48" s="2660"/>
      <c r="G48" s="2658">
        <f>T48</f>
        <v>16317</v>
      </c>
      <c r="H48" s="2659"/>
      <c r="I48" s="2660">
        <f>V48</f>
        <v>16692</v>
      </c>
      <c r="J48" s="2659"/>
      <c r="K48" s="1607"/>
      <c r="L48" s="2145"/>
      <c r="M48" s="2146"/>
      <c r="N48" s="2146"/>
      <c r="O48" s="2146"/>
      <c r="P48" s="3427" t="str">
        <f>A48</f>
        <v>比较价格（元/平方米）</v>
      </c>
      <c r="Q48" s="3427"/>
      <c r="R48" s="3520">
        <f>IF(F1="售价",ROUND(PRODUCT(R47,AA7:AA46),0),ROUND(PRODUCT(R47,AA7:AA46),1))</f>
        <v>15991</v>
      </c>
      <c r="S48" s="3520"/>
      <c r="T48" s="3520">
        <f>IF(F1="售价",ROUND(PRODUCT(T47,AB7:AB46),0),ROUND(PRODUCT(T47,AB7:AB46),1))</f>
        <v>16317</v>
      </c>
      <c r="U48" s="3520"/>
      <c r="V48" s="3520">
        <f>IF(F1="售价",ROUND(PRODUCT(V47,AC7:AC46),0),ROUND(PRODUCT(V47,AC7:AC46),1))</f>
        <v>16692</v>
      </c>
      <c r="W48" s="3520"/>
      <c r="X48" s="1559"/>
      <c r="Y48" s="1559"/>
      <c r="Z48" s="1559"/>
      <c r="AA48" s="1559"/>
      <c r="AB48" s="1559"/>
      <c r="AC48" s="1559"/>
    </row>
    <row r="49" spans="1:29" ht="15.75" thickBot="1">
      <c r="A49" s="621" t="s">
        <v>2922</v>
      </c>
      <c r="B49" s="622"/>
      <c r="C49" s="2661">
        <f>R49</f>
        <v>16333</v>
      </c>
      <c r="D49" s="2661"/>
      <c r="E49" s="2661"/>
      <c r="F49" s="2661"/>
      <c r="G49" s="2661"/>
      <c r="H49" s="2661"/>
      <c r="I49" s="2661"/>
      <c r="J49" s="2661"/>
      <c r="K49" s="1608"/>
      <c r="L49" s="2145"/>
      <c r="M49" s="2146"/>
      <c r="N49" s="2146"/>
      <c r="O49" s="2146"/>
      <c r="P49" s="3424" t="str">
        <f>A49</f>
        <v>估价对象XX用房的比较价格（楼面单价，元/平方米）</v>
      </c>
      <c r="Q49" s="3425"/>
      <c r="R49" s="3519">
        <f>IF(F1="售价",ROUND(AVERAGE(R48:V48),0),ROUND(AVERAGE(R48:V48),1))</f>
        <v>16333</v>
      </c>
      <c r="S49" s="3519"/>
      <c r="T49" s="3519"/>
      <c r="U49" s="3519"/>
      <c r="V49" s="3519"/>
      <c r="W49" s="351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0.14221428571428563</v>
      </c>
      <c r="F52" s="627" t="str">
        <f>IF(OR(E52&gt;=0.3,E52&lt;=-0.3),"超过30%","")</f>
        <v/>
      </c>
      <c r="G52" s="626">
        <f>IF(G47&lt;G48,G48/G47-1,G47/G48-1)</f>
        <v>0.16549999999999998</v>
      </c>
      <c r="H52" s="627" t="str">
        <f>IF(OR(G52&gt;=0.3,G52&lt;=-0.3),"超过30%","")</f>
        <v/>
      </c>
      <c r="I52" s="626">
        <f>IF(I47&lt;I48,I48/I47-1,I47/I48-1)</f>
        <v>1.8451953031392243E-2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2.0386467387905727E-2</v>
      </c>
      <c r="F53" s="627" t="str">
        <f>IF(OR(E53&gt;=0.2,E53&lt;=-0.2),"超过20%","")</f>
        <v/>
      </c>
      <c r="G53" s="626">
        <f>IF(G48&lt;I48,I48/G48-1,G48/I48-1)</f>
        <v>2.2982165839308788E-2</v>
      </c>
      <c r="H53" s="627" t="str">
        <f>IF(OR(G53&gt;=0.2,G53&lt;=-0.2),"超过20%","")</f>
        <v/>
      </c>
      <c r="I53" s="626">
        <f>IF(I48&lt;E48,E48/I48-1,I48/E48-1)</f>
        <v>4.3837158401600851E-2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3188" t="s">
        <v>3047</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3057</v>
      </c>
      <c r="D90" s="688" t="s">
        <v>3058</v>
      </c>
      <c r="E90" s="688" t="s">
        <v>3059</v>
      </c>
      <c r="F90" s="688" t="s">
        <v>3060</v>
      </c>
      <c r="G90" s="688" t="s">
        <v>2995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8" t="s">
        <v>3085</v>
      </c>
      <c r="D100" s="3188" t="s">
        <v>3083</v>
      </c>
      <c r="E100" s="3188" t="s">
        <v>3081</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t="s">
        <v>3061</v>
      </c>
      <c r="D105" s="688" t="s">
        <v>3062</v>
      </c>
      <c r="E105" s="718" t="s">
        <v>3063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t="s">
        <v>3064</v>
      </c>
      <c r="D107" s="718" t="s">
        <v>3065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t="s">
        <v>3066</v>
      </c>
      <c r="D109" s="688" t="s">
        <v>3067</v>
      </c>
      <c r="E109" s="688" t="s">
        <v>3068</v>
      </c>
      <c r="F109" s="718" t="s">
        <v>3069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t="s">
        <v>3070</v>
      </c>
      <c r="D114" s="688" t="s">
        <v>3071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t="s">
        <v>3072</v>
      </c>
      <c r="D116" s="688" t="s">
        <v>3073</v>
      </c>
      <c r="E116" s="688" t="s">
        <v>3074</v>
      </c>
      <c r="F116" s="688" t="s">
        <v>3075</v>
      </c>
      <c r="G116" s="688" t="s">
        <v>3076</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t="s">
        <v>3077</v>
      </c>
      <c r="D118" s="718" t="s">
        <v>3078</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t="s">
        <v>3066</v>
      </c>
      <c r="D122" s="688" t="s">
        <v>3067</v>
      </c>
      <c r="E122" s="688" t="s">
        <v>3068</v>
      </c>
      <c r="F122" s="718" t="s">
        <v>3069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1" sqref="K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3041</v>
      </c>
      <c r="E1" s="2651"/>
      <c r="F1" s="2832" t="s">
        <v>3099</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35392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17193</v>
      </c>
      <c r="C3" s="852" t="s">
        <v>721</v>
      </c>
      <c r="D3" s="851">
        <f>SUMIF('数据-汇总表'!$C19:$C33,D1,'数据-汇总表'!$E19:$E33)</f>
        <v>20585.38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33" t="s">
        <v>521</v>
      </c>
      <c r="D4" s="3434"/>
      <c r="E4" s="3470" t="s">
        <v>522</v>
      </c>
      <c r="F4" s="3471"/>
      <c r="G4" s="3433" t="s">
        <v>523</v>
      </c>
      <c r="H4" s="3434"/>
      <c r="I4" s="3433" t="s">
        <v>524</v>
      </c>
      <c r="J4" s="3434"/>
      <c r="K4" s="853" t="s">
        <v>525</v>
      </c>
      <c r="L4" s="2134"/>
      <c r="M4" s="2135"/>
      <c r="N4" s="2135"/>
      <c r="O4" s="2135"/>
      <c r="P4" s="3435" t="s">
        <v>526</v>
      </c>
      <c r="Q4" s="3436"/>
      <c r="R4" s="3441" t="s">
        <v>522</v>
      </c>
      <c r="S4" s="3442"/>
      <c r="T4" s="3441" t="s">
        <v>523</v>
      </c>
      <c r="U4" s="3442"/>
      <c r="V4" s="3428" t="s">
        <v>524</v>
      </c>
      <c r="W4" s="3428"/>
      <c r="X4" s="3184"/>
      <c r="Y4" s="3441" t="s">
        <v>526</v>
      </c>
      <c r="Z4" s="3442"/>
      <c r="AA4" s="3430" t="s">
        <v>522</v>
      </c>
      <c r="AB4" s="3430" t="s">
        <v>523</v>
      </c>
      <c r="AC4" s="3430" t="s">
        <v>524</v>
      </c>
    </row>
    <row r="5" spans="1:29" ht="15">
      <c r="A5" s="515"/>
      <c r="B5" s="516"/>
      <c r="C5" s="3451" t="s">
        <v>2916</v>
      </c>
      <c r="D5" s="3450"/>
      <c r="E5" s="3449" t="s">
        <v>3092</v>
      </c>
      <c r="F5" s="3450"/>
      <c r="G5" s="3449" t="s">
        <v>3093</v>
      </c>
      <c r="H5" s="3450"/>
      <c r="I5" s="3449" t="s">
        <v>3094</v>
      </c>
      <c r="J5" s="3450"/>
      <c r="K5" s="854"/>
      <c r="L5" s="2134"/>
      <c r="M5" s="2135"/>
      <c r="N5" s="2135"/>
      <c r="O5" s="2135"/>
      <c r="P5" s="3437"/>
      <c r="Q5" s="3438"/>
      <c r="R5" s="3443"/>
      <c r="S5" s="3444"/>
      <c r="T5" s="3443"/>
      <c r="U5" s="3444"/>
      <c r="V5" s="3428"/>
      <c r="W5" s="3428"/>
      <c r="X5" s="3184"/>
      <c r="Y5" s="3443"/>
      <c r="Z5" s="3444"/>
      <c r="AA5" s="3431"/>
      <c r="AB5" s="3431"/>
      <c r="AC5" s="3431"/>
    </row>
    <row r="6" spans="1:29" ht="15.75" thickBot="1">
      <c r="A6" s="517"/>
      <c r="B6" s="518"/>
      <c r="C6" s="3452" t="s">
        <v>2920</v>
      </c>
      <c r="D6" s="3453"/>
      <c r="E6" s="3454"/>
      <c r="F6" s="3453"/>
      <c r="G6" s="3447"/>
      <c r="H6" s="3448"/>
      <c r="I6" s="3447"/>
      <c r="J6" s="3448"/>
      <c r="K6" s="854" t="s">
        <v>527</v>
      </c>
      <c r="L6" s="2134"/>
      <c r="M6" s="2135"/>
      <c r="N6" s="2135"/>
      <c r="O6" s="2135"/>
      <c r="P6" s="3439"/>
      <c r="Q6" s="3440"/>
      <c r="R6" s="3443"/>
      <c r="S6" s="3444"/>
      <c r="T6" s="3445"/>
      <c r="U6" s="3446"/>
      <c r="V6" s="3428"/>
      <c r="W6" s="3428"/>
      <c r="X6" s="3184"/>
      <c r="Y6" s="3445"/>
      <c r="Z6" s="3446"/>
      <c r="AA6" s="3432"/>
      <c r="AB6" s="3432"/>
      <c r="AC6" s="3432"/>
    </row>
    <row r="7" spans="1:29" s="1219" customFormat="1" ht="15.75" thickBot="1">
      <c r="A7" s="2937"/>
      <c r="B7" s="2944" t="s">
        <v>528</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60" t="s">
        <v>529</v>
      </c>
      <c r="Q7" s="3462"/>
      <c r="R7" s="1568" t="s">
        <v>13</v>
      </c>
      <c r="S7" s="1569">
        <f t="shared" ref="S7:S15" si="0">F7</f>
        <v>100</v>
      </c>
      <c r="T7" s="1568" t="s">
        <v>13</v>
      </c>
      <c r="U7" s="1569">
        <f t="shared" ref="U7:U15" si="1">H7</f>
        <v>100</v>
      </c>
      <c r="V7" s="1568" t="s">
        <v>13</v>
      </c>
      <c r="W7" s="1569">
        <f t="shared" ref="W7:W15" si="2">J7</f>
        <v>100</v>
      </c>
      <c r="X7" s="1570"/>
      <c r="Y7" s="3460" t="s">
        <v>529</v>
      </c>
      <c r="Z7" s="3461"/>
      <c r="AA7" s="1571">
        <f>D7/F7</f>
        <v>1</v>
      </c>
      <c r="AB7" s="1571">
        <f>D7/H7</f>
        <v>1</v>
      </c>
      <c r="AC7" s="1571">
        <f>D7/J7</f>
        <v>1</v>
      </c>
    </row>
    <row r="8" spans="1:29" s="1219" customFormat="1" ht="15.75" thickBot="1">
      <c r="A8" s="2938"/>
      <c r="B8" s="2945" t="s">
        <v>530</v>
      </c>
      <c r="C8" s="525" t="s">
        <v>575</v>
      </c>
      <c r="D8" s="520">
        <v>100</v>
      </c>
      <c r="E8" s="856" t="s">
        <v>3018</v>
      </c>
      <c r="F8" s="522">
        <f>SUMIF(61:61,E8,62:62)-SUMIF(61:61,C8,62:62)+100</f>
        <v>100</v>
      </c>
      <c r="G8" s="856" t="s">
        <v>3018</v>
      </c>
      <c r="H8" s="520">
        <f>SUMIF(61:61,G8,62:62)-SUMIF(61:61,C8,62:62)+100</f>
        <v>100</v>
      </c>
      <c r="I8" s="856" t="s">
        <v>3018</v>
      </c>
      <c r="J8" s="520">
        <f>SUMIF(61:61,I8,62:62)-SUMIF(61:61,C8,62:62)+100</f>
        <v>100</v>
      </c>
      <c r="K8" s="855"/>
      <c r="L8" s="2136"/>
      <c r="M8" s="2137"/>
      <c r="N8" s="2137"/>
      <c r="O8" s="2137"/>
      <c r="P8" s="3460" t="s">
        <v>532</v>
      </c>
      <c r="Q8" s="3461"/>
      <c r="R8" s="1568" t="s">
        <v>13</v>
      </c>
      <c r="S8" s="1569">
        <f t="shared" si="0"/>
        <v>100</v>
      </c>
      <c r="T8" s="1568" t="s">
        <v>13</v>
      </c>
      <c r="U8" s="1569">
        <f t="shared" si="1"/>
        <v>100</v>
      </c>
      <c r="V8" s="1568" t="s">
        <v>13</v>
      </c>
      <c r="W8" s="1569">
        <f t="shared" si="2"/>
        <v>100</v>
      </c>
      <c r="X8" s="1570"/>
      <c r="Y8" s="3460" t="s">
        <v>532</v>
      </c>
      <c r="Z8" s="3461"/>
      <c r="AA8" s="1571">
        <f t="shared" ref="AA8:AA46" si="3">D8/F8</f>
        <v>1</v>
      </c>
      <c r="AB8" s="1571">
        <f t="shared" ref="AB8:AB46" si="4">D8/H8</f>
        <v>1</v>
      </c>
      <c r="AC8" s="1571">
        <f t="shared" ref="AC8:AC46" si="5">D8/J8</f>
        <v>1</v>
      </c>
    </row>
    <row r="9" spans="1:29" s="1219" customFormat="1" ht="15">
      <c r="A9" s="2939"/>
      <c r="B9" s="2946" t="s">
        <v>2756</v>
      </c>
      <c r="C9" s="3205" t="s">
        <v>3047</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427" t="s">
        <v>534</v>
      </c>
      <c r="Q9" s="3183" t="str">
        <f t="shared" ref="Q9:Q15" si="6">B9</f>
        <v>用途</v>
      </c>
      <c r="R9" s="1568" t="s">
        <v>8</v>
      </c>
      <c r="S9" s="1569">
        <f t="shared" si="0"/>
        <v>100</v>
      </c>
      <c r="T9" s="1568" t="s">
        <v>8</v>
      </c>
      <c r="U9" s="1569">
        <f t="shared" si="1"/>
        <v>100</v>
      </c>
      <c r="V9" s="1568" t="s">
        <v>8</v>
      </c>
      <c r="W9" s="1569">
        <f t="shared" si="2"/>
        <v>100</v>
      </c>
      <c r="X9" s="1570"/>
      <c r="Y9" s="3366" t="s">
        <v>535</v>
      </c>
      <c r="Z9" s="3182" t="str">
        <f t="shared" ref="Z9:Z15" si="7">Q9</f>
        <v>用途</v>
      </c>
      <c r="AA9" s="1571">
        <f t="shared" si="3"/>
        <v>1</v>
      </c>
      <c r="AB9" s="1571">
        <f t="shared" si="4"/>
        <v>1</v>
      </c>
      <c r="AC9" s="1571">
        <f t="shared" si="5"/>
        <v>1</v>
      </c>
    </row>
    <row r="10" spans="1:29" s="1337" customFormat="1" ht="27">
      <c r="A10" s="2940"/>
      <c r="B10" s="2945" t="s">
        <v>2757</v>
      </c>
      <c r="C10" s="861" t="s">
        <v>3079</v>
      </c>
      <c r="D10" s="255">
        <v>100</v>
      </c>
      <c r="E10" s="861" t="s">
        <v>3079</v>
      </c>
      <c r="F10" s="863">
        <f>SUMIF(65:65,E10,66:66)-SUMIF(65:65,C10,66:66)+100</f>
        <v>100</v>
      </c>
      <c r="G10" s="861" t="s">
        <v>3079</v>
      </c>
      <c r="H10" s="255">
        <f>SUMIF(65:65,G10,66:66)-SUMIF(65:65,C10,66:66)+100</f>
        <v>100</v>
      </c>
      <c r="I10" s="861" t="s">
        <v>3079</v>
      </c>
      <c r="J10" s="255">
        <f>SUMIF(65:65,I10,66:66)-SUMIF(65:65,C10,66:66)+100</f>
        <v>100</v>
      </c>
      <c r="K10" s="864">
        <v>1</v>
      </c>
      <c r="L10" s="2139"/>
      <c r="M10" s="2179"/>
      <c r="N10" s="2179"/>
      <c r="O10" s="2140"/>
      <c r="P10" s="3427"/>
      <c r="Q10" s="3183" t="str">
        <f t="shared" si="6"/>
        <v>土地使用年限（年）</v>
      </c>
      <c r="R10" s="1568" t="s">
        <v>8</v>
      </c>
      <c r="S10" s="1569">
        <f t="shared" si="0"/>
        <v>100</v>
      </c>
      <c r="T10" s="1568" t="s">
        <v>8</v>
      </c>
      <c r="U10" s="1569">
        <f t="shared" si="1"/>
        <v>100</v>
      </c>
      <c r="V10" s="1568" t="s">
        <v>8</v>
      </c>
      <c r="W10" s="1569">
        <f t="shared" si="2"/>
        <v>100</v>
      </c>
      <c r="X10" s="1570"/>
      <c r="Y10" s="3366"/>
      <c r="Z10" s="3182" t="str">
        <f t="shared" si="7"/>
        <v>土地使用年限（年）</v>
      </c>
      <c r="AA10" s="1571">
        <f t="shared" si="3"/>
        <v>1</v>
      </c>
      <c r="AB10" s="1571">
        <f t="shared" si="4"/>
        <v>1</v>
      </c>
      <c r="AC10" s="1571">
        <f t="shared" si="5"/>
        <v>1</v>
      </c>
    </row>
    <row r="11" spans="1:29" ht="15.75" thickBot="1">
      <c r="A11" s="2941"/>
      <c r="B11" s="2945" t="s">
        <v>2758</v>
      </c>
      <c r="C11" s="533">
        <f>'数据-汇总表'!I6</f>
        <v>1.88</v>
      </c>
      <c r="D11" s="255">
        <v>100</v>
      </c>
      <c r="E11" s="534">
        <v>1.1399999999999999</v>
      </c>
      <c r="F11" s="863">
        <f>LOOKUP(E11,68:68,69:69)-LOOKUP(C11,68:68,69:69)+100</f>
        <v>100</v>
      </c>
      <c r="G11" s="533">
        <v>2.2999999999999998</v>
      </c>
      <c r="H11" s="255">
        <f>LOOKUP(G11,68:68,69:69)-LOOKUP(C11,68:68,69:69)+100</f>
        <v>98</v>
      </c>
      <c r="I11" s="533">
        <v>3.05</v>
      </c>
      <c r="J11" s="255">
        <f>LOOKUP(I11,68:68,69:69)-LOOKUP(C11,68:68,69:69)+100</f>
        <v>96</v>
      </c>
      <c r="K11" s="864">
        <v>2</v>
      </c>
      <c r="L11" s="2141"/>
      <c r="M11" s="2135"/>
      <c r="N11" s="2135"/>
      <c r="O11" s="2142"/>
      <c r="P11" s="3427"/>
      <c r="Q11" s="3183" t="str">
        <f t="shared" si="6"/>
        <v>容积率</v>
      </c>
      <c r="R11" s="1568" t="s">
        <v>11</v>
      </c>
      <c r="S11" s="1569">
        <f t="shared" si="0"/>
        <v>100</v>
      </c>
      <c r="T11" s="1568" t="s">
        <v>11</v>
      </c>
      <c r="U11" s="1569">
        <f t="shared" si="1"/>
        <v>98</v>
      </c>
      <c r="V11" s="1568" t="s">
        <v>11</v>
      </c>
      <c r="W11" s="1569">
        <f t="shared" si="2"/>
        <v>96</v>
      </c>
      <c r="X11" s="1570"/>
      <c r="Y11" s="3366"/>
      <c r="Z11" s="3182" t="str">
        <f t="shared" si="7"/>
        <v>容积率</v>
      </c>
      <c r="AA11" s="1571">
        <f t="shared" si="3"/>
        <v>1</v>
      </c>
      <c r="AB11" s="1571">
        <f t="shared" si="4"/>
        <v>1.0204081632653061</v>
      </c>
      <c r="AC11" s="1571">
        <f t="shared" si="5"/>
        <v>1.0416666666666667</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7"/>
      <c r="Q12" s="3183">
        <f t="shared" si="6"/>
        <v>0</v>
      </c>
      <c r="R12" s="1568" t="s">
        <v>11</v>
      </c>
      <c r="S12" s="1569">
        <f t="shared" si="0"/>
        <v>100</v>
      </c>
      <c r="T12" s="1568" t="s">
        <v>11</v>
      </c>
      <c r="U12" s="1569">
        <f t="shared" si="1"/>
        <v>100</v>
      </c>
      <c r="V12" s="1568" t="s">
        <v>11</v>
      </c>
      <c r="W12" s="1569">
        <f t="shared" si="2"/>
        <v>100</v>
      </c>
      <c r="X12" s="1570"/>
      <c r="Y12" s="3366"/>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7"/>
      <c r="Q13" s="3183">
        <f t="shared" si="6"/>
        <v>0</v>
      </c>
      <c r="R13" s="1568" t="s">
        <v>11</v>
      </c>
      <c r="S13" s="1569">
        <f t="shared" si="0"/>
        <v>100</v>
      </c>
      <c r="T13" s="1568" t="s">
        <v>11</v>
      </c>
      <c r="U13" s="1569">
        <f t="shared" si="1"/>
        <v>100</v>
      </c>
      <c r="V13" s="1568" t="s">
        <v>11</v>
      </c>
      <c r="W13" s="1569">
        <f t="shared" si="2"/>
        <v>100</v>
      </c>
      <c r="X13" s="1570"/>
      <c r="Y13" s="3366"/>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7"/>
      <c r="Q14" s="3183">
        <f t="shared" si="6"/>
        <v>0</v>
      </c>
      <c r="R14" s="1568" t="s">
        <v>11</v>
      </c>
      <c r="S14" s="1569">
        <f t="shared" si="0"/>
        <v>100</v>
      </c>
      <c r="T14" s="1568" t="s">
        <v>11</v>
      </c>
      <c r="U14" s="1569">
        <f t="shared" si="1"/>
        <v>100</v>
      </c>
      <c r="V14" s="1568" t="s">
        <v>11</v>
      </c>
      <c r="W14" s="1569">
        <f t="shared" si="2"/>
        <v>100</v>
      </c>
      <c r="X14" s="1570"/>
      <c r="Y14" s="3366"/>
      <c r="Z14" s="3182">
        <f t="shared" si="7"/>
        <v>0</v>
      </c>
      <c r="AA14" s="1571">
        <f t="shared" si="3"/>
        <v>1</v>
      </c>
      <c r="AB14" s="1571">
        <f t="shared" si="4"/>
        <v>1</v>
      </c>
      <c r="AC14" s="1571">
        <f t="shared" si="5"/>
        <v>1</v>
      </c>
    </row>
    <row r="15" spans="1:29" ht="15">
      <c r="A15" s="293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63" t="s">
        <v>539</v>
      </c>
      <c r="Q15" s="3185" t="str">
        <f t="shared" si="6"/>
        <v>居住社区成熟度</v>
      </c>
      <c r="R15" s="1573" t="s">
        <v>11</v>
      </c>
      <c r="S15" s="1574">
        <f t="shared" si="0"/>
        <v>100</v>
      </c>
      <c r="T15" s="1573" t="s">
        <v>11</v>
      </c>
      <c r="U15" s="1574">
        <f t="shared" si="1"/>
        <v>100</v>
      </c>
      <c r="V15" s="1573" t="s">
        <v>11</v>
      </c>
      <c r="W15" s="1574">
        <f t="shared" si="2"/>
        <v>100</v>
      </c>
      <c r="X15" s="3184"/>
      <c r="Y15" s="3463" t="s">
        <v>539</v>
      </c>
      <c r="Z15" s="3186" t="str">
        <f t="shared" si="7"/>
        <v>居住社区成熟度</v>
      </c>
      <c r="AA15" s="3187">
        <f t="shared" si="3"/>
        <v>1</v>
      </c>
      <c r="AB15" s="3187">
        <f t="shared" si="4"/>
        <v>1</v>
      </c>
      <c r="AC15" s="3187">
        <f t="shared" si="5"/>
        <v>1</v>
      </c>
    </row>
    <row r="16" spans="1:29" ht="15">
      <c r="A16" s="532"/>
      <c r="B16" s="869"/>
      <c r="C16" s="576" t="s">
        <v>3019</v>
      </c>
      <c r="D16" s="555"/>
      <c r="E16" s="576" t="s">
        <v>3019</v>
      </c>
      <c r="F16" s="557"/>
      <c r="G16" s="576" t="s">
        <v>3019</v>
      </c>
      <c r="H16" s="559"/>
      <c r="I16" s="576" t="s">
        <v>3019</v>
      </c>
      <c r="J16" s="555"/>
      <c r="K16" s="870"/>
      <c r="L16" s="2143"/>
      <c r="M16" s="2135"/>
      <c r="N16" s="2135"/>
      <c r="O16" s="2142"/>
      <c r="P16" s="3464"/>
      <c r="Q16" s="3185"/>
      <c r="R16" s="1573"/>
      <c r="S16" s="1574"/>
      <c r="T16" s="1573"/>
      <c r="U16" s="1574"/>
      <c r="V16" s="1573"/>
      <c r="W16" s="1574"/>
      <c r="X16" s="3184"/>
      <c r="Y16" s="3464"/>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103</v>
      </c>
      <c r="K17" s="868">
        <v>3</v>
      </c>
      <c r="L17" s="2143"/>
      <c r="M17" s="2135"/>
      <c r="N17" s="2135"/>
      <c r="O17" s="2142"/>
      <c r="P17" s="3464"/>
      <c r="Q17" s="3185" t="str">
        <f>B17</f>
        <v>交通便捷度</v>
      </c>
      <c r="R17" s="1573" t="s">
        <v>11</v>
      </c>
      <c r="S17" s="1574">
        <f>F17</f>
        <v>100</v>
      </c>
      <c r="T17" s="1573" t="s">
        <v>11</v>
      </c>
      <c r="U17" s="1574">
        <f>H17</f>
        <v>100</v>
      </c>
      <c r="V17" s="1573" t="s">
        <v>11</v>
      </c>
      <c r="W17" s="1574">
        <f>J17</f>
        <v>103</v>
      </c>
      <c r="X17" s="3184"/>
      <c r="Y17" s="3464"/>
      <c r="Z17" s="3186" t="str">
        <f>Q17</f>
        <v>交通便捷度</v>
      </c>
      <c r="AA17" s="3187">
        <f t="shared" si="3"/>
        <v>1</v>
      </c>
      <c r="AB17" s="3187">
        <f t="shared" si="4"/>
        <v>1</v>
      </c>
      <c r="AC17" s="3187">
        <f t="shared" si="5"/>
        <v>0.970873786407767</v>
      </c>
    </row>
    <row r="18" spans="1:29" ht="15">
      <c r="A18" s="532"/>
      <c r="B18" s="595"/>
      <c r="C18" s="576" t="s">
        <v>3019</v>
      </c>
      <c r="D18" s="559"/>
      <c r="E18" s="576" t="s">
        <v>3019</v>
      </c>
      <c r="F18" s="563"/>
      <c r="G18" s="576" t="s">
        <v>3019</v>
      </c>
      <c r="H18" s="555"/>
      <c r="I18" s="576" t="s">
        <v>3100</v>
      </c>
      <c r="J18" s="555"/>
      <c r="K18" s="870"/>
      <c r="L18" s="2143"/>
      <c r="M18" s="2135"/>
      <c r="N18" s="2135"/>
      <c r="O18" s="2142"/>
      <c r="P18" s="3464"/>
      <c r="Q18" s="3185"/>
      <c r="R18" s="1573"/>
      <c r="S18" s="1574"/>
      <c r="T18" s="1573"/>
      <c r="U18" s="1574"/>
      <c r="V18" s="1573"/>
      <c r="W18" s="1574"/>
      <c r="X18" s="3184"/>
      <c r="Y18" s="3464"/>
      <c r="Z18" s="3186"/>
      <c r="AA18" s="3187">
        <v>1</v>
      </c>
      <c r="AB18" s="3187">
        <v>1</v>
      </c>
      <c r="AC18" s="3187">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64"/>
      <c r="Q19" s="3185" t="str">
        <f>B19</f>
        <v>公共配套设施</v>
      </c>
      <c r="R19" s="1573" t="s">
        <v>11</v>
      </c>
      <c r="S19" s="1574">
        <f>F19</f>
        <v>100</v>
      </c>
      <c r="T19" s="1573" t="s">
        <v>11</v>
      </c>
      <c r="U19" s="1574">
        <f>H19</f>
        <v>100</v>
      </c>
      <c r="V19" s="1573" t="s">
        <v>11</v>
      </c>
      <c r="W19" s="1574">
        <f>J19</f>
        <v>100</v>
      </c>
      <c r="X19" s="3184"/>
      <c r="Y19" s="3464"/>
      <c r="Z19" s="3186" t="str">
        <f>Q19</f>
        <v>公共配套设施</v>
      </c>
      <c r="AA19" s="3187">
        <f t="shared" si="3"/>
        <v>1</v>
      </c>
      <c r="AB19" s="3187">
        <f t="shared" si="4"/>
        <v>1</v>
      </c>
      <c r="AC19" s="3187">
        <f t="shared" si="5"/>
        <v>1</v>
      </c>
    </row>
    <row r="20" spans="1:29" ht="15">
      <c r="A20" s="532"/>
      <c r="B20" s="595"/>
      <c r="C20" s="576" t="s">
        <v>3019</v>
      </c>
      <c r="D20" s="555"/>
      <c r="E20" s="576" t="s">
        <v>3019</v>
      </c>
      <c r="F20" s="557"/>
      <c r="G20" s="576" t="s">
        <v>3019</v>
      </c>
      <c r="H20" s="555"/>
      <c r="I20" s="576" t="s">
        <v>3019</v>
      </c>
      <c r="J20" s="555"/>
      <c r="K20" s="870"/>
      <c r="L20" s="2143"/>
      <c r="M20" s="2135"/>
      <c r="N20" s="2135"/>
      <c r="O20" s="2142"/>
      <c r="P20" s="3464"/>
      <c r="Q20" s="3185"/>
      <c r="R20" s="1573"/>
      <c r="S20" s="1574"/>
      <c r="T20" s="1573"/>
      <c r="U20" s="1574"/>
      <c r="V20" s="1573"/>
      <c r="W20" s="1574"/>
      <c r="X20" s="3184"/>
      <c r="Y20" s="3464"/>
      <c r="Z20" s="3186"/>
      <c r="AA20" s="3187">
        <v>1</v>
      </c>
      <c r="AB20" s="3187">
        <v>1</v>
      </c>
      <c r="AC20" s="3187">
        <v>1</v>
      </c>
    </row>
    <row r="21" spans="1:29" ht="15">
      <c r="A21" s="532"/>
      <c r="B21" s="2618" t="s">
        <v>2547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64"/>
      <c r="Q21" s="3185" t="str">
        <f>B21</f>
        <v>基础设施水平</v>
      </c>
      <c r="R21" s="1573" t="s">
        <v>11</v>
      </c>
      <c r="S21" s="1574">
        <f>F21</f>
        <v>100</v>
      </c>
      <c r="T21" s="1573" t="s">
        <v>11</v>
      </c>
      <c r="U21" s="1574">
        <f>H21</f>
        <v>100</v>
      </c>
      <c r="V21" s="1573" t="s">
        <v>11</v>
      </c>
      <c r="W21" s="1574">
        <f>J21</f>
        <v>100</v>
      </c>
      <c r="X21" s="3184"/>
      <c r="Y21" s="3464"/>
      <c r="Z21" s="3186" t="str">
        <f>Q21</f>
        <v>基础设施水平</v>
      </c>
      <c r="AA21" s="3187">
        <f t="shared" ref="AA21" si="8">D21/F21</f>
        <v>1</v>
      </c>
      <c r="AB21" s="3187">
        <f t="shared" ref="AB21" si="9">D21/H21</f>
        <v>1</v>
      </c>
      <c r="AC21" s="3187">
        <f t="shared" ref="AC21" si="10">D21/J21</f>
        <v>1</v>
      </c>
    </row>
    <row r="22" spans="1:29" ht="15">
      <c r="A22" s="532"/>
      <c r="B22" s="921"/>
      <c r="C22" s="873" t="s">
        <v>3020</v>
      </c>
      <c r="D22" s="555"/>
      <c r="E22" s="873" t="s">
        <v>3020</v>
      </c>
      <c r="F22" s="557"/>
      <c r="G22" s="873" t="s">
        <v>3020</v>
      </c>
      <c r="H22" s="555"/>
      <c r="I22" s="873" t="s">
        <v>3020</v>
      </c>
      <c r="J22" s="555"/>
      <c r="K22" s="2624"/>
      <c r="L22" s="2143"/>
      <c r="M22" s="2135"/>
      <c r="N22" s="2135"/>
      <c r="O22" s="2142"/>
      <c r="P22" s="3464"/>
      <c r="Q22" s="3185"/>
      <c r="R22" s="1573"/>
      <c r="S22" s="1574"/>
      <c r="T22" s="1573"/>
      <c r="U22" s="1574"/>
      <c r="V22" s="1573"/>
      <c r="W22" s="1574"/>
      <c r="X22" s="3184"/>
      <c r="Y22" s="3464"/>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64"/>
      <c r="Q23" s="3185" t="str">
        <f>B23</f>
        <v>自然及人文环境</v>
      </c>
      <c r="R23" s="1573" t="s">
        <v>11</v>
      </c>
      <c r="S23" s="1574">
        <f>F23</f>
        <v>100</v>
      </c>
      <c r="T23" s="1573" t="s">
        <v>11</v>
      </c>
      <c r="U23" s="1574">
        <f>H23</f>
        <v>100</v>
      </c>
      <c r="V23" s="1573" t="s">
        <v>11</v>
      </c>
      <c r="W23" s="1574">
        <f>J23</f>
        <v>100</v>
      </c>
      <c r="X23" s="3184"/>
      <c r="Y23" s="3464"/>
      <c r="Z23" s="3186" t="str">
        <f>Q23</f>
        <v>自然及人文环境</v>
      </c>
      <c r="AA23" s="3187">
        <f t="shared" si="3"/>
        <v>1</v>
      </c>
      <c r="AB23" s="3187">
        <f t="shared" si="4"/>
        <v>1</v>
      </c>
      <c r="AC23" s="3187">
        <f t="shared" si="5"/>
        <v>1</v>
      </c>
    </row>
    <row r="24" spans="1:29" ht="15">
      <c r="A24" s="532"/>
      <c r="B24" s="595"/>
      <c r="C24" s="576" t="s">
        <v>3019</v>
      </c>
      <c r="D24" s="555"/>
      <c r="E24" s="576" t="s">
        <v>3019</v>
      </c>
      <c r="F24" s="557"/>
      <c r="G24" s="576" t="s">
        <v>3019</v>
      </c>
      <c r="H24" s="555"/>
      <c r="I24" s="576" t="s">
        <v>3019</v>
      </c>
      <c r="J24" s="555"/>
      <c r="K24" s="870"/>
      <c r="L24" s="2143"/>
      <c r="M24" s="2135"/>
      <c r="N24" s="2135"/>
      <c r="O24" s="2142"/>
      <c r="P24" s="3464"/>
      <c r="Q24" s="3185"/>
      <c r="R24" s="1573"/>
      <c r="S24" s="1574"/>
      <c r="T24" s="1573"/>
      <c r="U24" s="1574"/>
      <c r="V24" s="1573"/>
      <c r="W24" s="1574"/>
      <c r="X24" s="3184"/>
      <c r="Y24" s="3464"/>
      <c r="Z24" s="3186"/>
      <c r="AA24" s="3187">
        <v>1</v>
      </c>
      <c r="AB24" s="3187">
        <v>1</v>
      </c>
      <c r="AC24" s="318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64"/>
      <c r="Q25" s="3185" t="str">
        <f t="shared" ref="Q25:Q46" si="11">B25</f>
        <v>楼层-1</v>
      </c>
      <c r="R25" s="1573" t="s">
        <v>11</v>
      </c>
      <c r="S25" s="1574">
        <f>F25</f>
        <v>100</v>
      </c>
      <c r="T25" s="1573" t="s">
        <v>11</v>
      </c>
      <c r="U25" s="1574">
        <f>H25</f>
        <v>100</v>
      </c>
      <c r="V25" s="1573" t="s">
        <v>11</v>
      </c>
      <c r="W25" s="1574">
        <f>J25</f>
        <v>100</v>
      </c>
      <c r="X25" s="3184"/>
      <c r="Y25" s="3464"/>
      <c r="Z25" s="3186" t="str">
        <f>Q25</f>
        <v>楼层-1</v>
      </c>
      <c r="AA25" s="3187">
        <f t="shared" si="3"/>
        <v>1</v>
      </c>
      <c r="AB25" s="3187">
        <f t="shared" si="4"/>
        <v>1</v>
      </c>
      <c r="AC25" s="318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64"/>
      <c r="Q26" s="3185" t="str">
        <f t="shared" si="11"/>
        <v>朝向</v>
      </c>
      <c r="R26" s="1573" t="s">
        <v>11</v>
      </c>
      <c r="S26" s="1574">
        <f>F26</f>
        <v>100</v>
      </c>
      <c r="T26" s="1573" t="s">
        <v>11</v>
      </c>
      <c r="U26" s="1574">
        <f>H26</f>
        <v>100</v>
      </c>
      <c r="V26" s="1573" t="s">
        <v>11</v>
      </c>
      <c r="W26" s="1574">
        <f>J26</f>
        <v>100</v>
      </c>
      <c r="X26" s="3184"/>
      <c r="Y26" s="3464"/>
      <c r="Z26" s="3186" t="str">
        <f>Q26</f>
        <v>朝向</v>
      </c>
      <c r="AA26" s="3187">
        <f t="shared" si="3"/>
        <v>1</v>
      </c>
      <c r="AB26" s="3187">
        <f t="shared" si="4"/>
        <v>1</v>
      </c>
      <c r="AC26" s="3187">
        <f t="shared" si="5"/>
        <v>1</v>
      </c>
    </row>
    <row r="27" spans="1:29" s="1219" customFormat="1" ht="15.75" thickBot="1">
      <c r="A27" s="536"/>
      <c r="B27" s="537" t="s">
        <v>723</v>
      </c>
      <c r="C27" s="3204" t="s">
        <v>3080</v>
      </c>
      <c r="D27" s="875">
        <v>100</v>
      </c>
      <c r="E27" s="3204" t="s">
        <v>3080</v>
      </c>
      <c r="F27" s="876">
        <f>SUMIF(90:90,E27,91:91)-SUMIF(90:90,C27,91:91)+100</f>
        <v>100</v>
      </c>
      <c r="G27" s="3204" t="s">
        <v>3080</v>
      </c>
      <c r="H27" s="875">
        <f>SUMIF(90:90,G27,91:91)-SUMIF(90:90,C27,91:91)+100</f>
        <v>100</v>
      </c>
      <c r="I27" s="3204" t="s">
        <v>3080</v>
      </c>
      <c r="J27" s="875">
        <f>SUMIF(90:90,I27,91:91)-SUMIF(90:90,C27,91:91)+100</f>
        <v>100</v>
      </c>
      <c r="K27" s="865"/>
      <c r="L27" s="2136"/>
      <c r="M27" s="2137"/>
      <c r="N27" s="2137"/>
      <c r="O27" s="2138"/>
      <c r="P27" s="3464"/>
      <c r="Q27" s="3183" t="str">
        <f t="shared" si="11"/>
        <v>道路级别</v>
      </c>
      <c r="R27" s="1568" t="s">
        <v>11</v>
      </c>
      <c r="S27" s="1569">
        <f>F27</f>
        <v>100</v>
      </c>
      <c r="T27" s="1568" t="s">
        <v>11</v>
      </c>
      <c r="U27" s="1569">
        <f>H27</f>
        <v>100</v>
      </c>
      <c r="V27" s="1568" t="s">
        <v>11</v>
      </c>
      <c r="W27" s="1569">
        <f>J27</f>
        <v>100</v>
      </c>
      <c r="X27" s="1570"/>
      <c r="Y27" s="3464"/>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64"/>
      <c r="Q28" s="3185">
        <f t="shared" si="11"/>
        <v>0</v>
      </c>
      <c r="R28" s="1573" t="s">
        <v>11</v>
      </c>
      <c r="S28" s="1574">
        <f t="shared" ref="S28:S46" si="12">F28</f>
        <v>100</v>
      </c>
      <c r="T28" s="1573" t="s">
        <v>11</v>
      </c>
      <c r="U28" s="1574">
        <f t="shared" ref="U28:U46" si="13">H28</f>
        <v>100</v>
      </c>
      <c r="V28" s="1573" t="s">
        <v>11</v>
      </c>
      <c r="W28" s="1574">
        <f t="shared" ref="W28:W46" si="14">J28</f>
        <v>100</v>
      </c>
      <c r="X28" s="3184"/>
      <c r="Y28" s="3464"/>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64"/>
      <c r="Q29" s="3185">
        <f t="shared" si="11"/>
        <v>0</v>
      </c>
      <c r="R29" s="1573" t="s">
        <v>11</v>
      </c>
      <c r="S29" s="1574">
        <f t="shared" si="12"/>
        <v>100</v>
      </c>
      <c r="T29" s="1573" t="s">
        <v>11</v>
      </c>
      <c r="U29" s="1574">
        <f t="shared" si="13"/>
        <v>100</v>
      </c>
      <c r="V29" s="1573" t="s">
        <v>11</v>
      </c>
      <c r="W29" s="1574">
        <f t="shared" si="14"/>
        <v>100</v>
      </c>
      <c r="X29" s="3184"/>
      <c r="Y29" s="3464"/>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64"/>
      <c r="Q30" s="3185">
        <f t="shared" si="11"/>
        <v>0</v>
      </c>
      <c r="R30" s="1573" t="s">
        <v>11</v>
      </c>
      <c r="S30" s="1574">
        <f t="shared" si="12"/>
        <v>100</v>
      </c>
      <c r="T30" s="1573" t="s">
        <v>11</v>
      </c>
      <c r="U30" s="1574">
        <f t="shared" si="13"/>
        <v>100</v>
      </c>
      <c r="V30" s="1573" t="s">
        <v>11</v>
      </c>
      <c r="W30" s="1574">
        <f t="shared" si="14"/>
        <v>100</v>
      </c>
      <c r="X30" s="3184"/>
      <c r="Y30" s="3464"/>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64"/>
      <c r="Q31" s="3185">
        <f t="shared" si="11"/>
        <v>0</v>
      </c>
      <c r="R31" s="1573" t="s">
        <v>11</v>
      </c>
      <c r="S31" s="1574">
        <f t="shared" si="12"/>
        <v>100</v>
      </c>
      <c r="T31" s="1573" t="s">
        <v>11</v>
      </c>
      <c r="U31" s="1574">
        <f t="shared" si="13"/>
        <v>100</v>
      </c>
      <c r="V31" s="1573" t="s">
        <v>11</v>
      </c>
      <c r="W31" s="1574">
        <f t="shared" si="14"/>
        <v>100</v>
      </c>
      <c r="X31" s="3184"/>
      <c r="Y31" s="3464"/>
      <c r="Z31" s="3186">
        <f t="shared" si="15"/>
        <v>0</v>
      </c>
      <c r="AA31" s="3187">
        <f t="shared" si="3"/>
        <v>1</v>
      </c>
      <c r="AB31" s="3187">
        <f t="shared" si="4"/>
        <v>1</v>
      </c>
      <c r="AC31" s="3187">
        <f t="shared" si="5"/>
        <v>1</v>
      </c>
    </row>
    <row r="32" spans="1:29" ht="15">
      <c r="A32" s="2932" t="s">
        <v>2755</v>
      </c>
      <c r="B32" s="172" t="s">
        <v>724</v>
      </c>
      <c r="C32" s="878" t="s">
        <v>3082</v>
      </c>
      <c r="D32" s="597">
        <v>100</v>
      </c>
      <c r="E32" s="878" t="s">
        <v>3038</v>
      </c>
      <c r="F32" s="575">
        <f>SUMIF(100:100,E32,101:101)-SUMIF(100:100,C32,101:101)+100</f>
        <v>95</v>
      </c>
      <c r="G32" s="878" t="s">
        <v>3038</v>
      </c>
      <c r="H32" s="597">
        <f>SUMIF(100:100,G32,101:101)-SUMIF(100:100,C32,101:101)+100</f>
        <v>95</v>
      </c>
      <c r="I32" s="878" t="s">
        <v>3038</v>
      </c>
      <c r="J32" s="540">
        <f>SUMIF(100:100,I32,101:101)-SUMIF(100:100,C32,101:101)+100</f>
        <v>95</v>
      </c>
      <c r="K32" s="864">
        <v>5</v>
      </c>
      <c r="L32" s="2143"/>
      <c r="M32" s="2135"/>
      <c r="N32" s="2135"/>
      <c r="O32" s="2142"/>
      <c r="P32" s="3465" t="s">
        <v>549</v>
      </c>
      <c r="Q32" s="3185" t="str">
        <f t="shared" si="11"/>
        <v>建筑类型</v>
      </c>
      <c r="R32" s="1573" t="s">
        <v>11</v>
      </c>
      <c r="S32" s="1574">
        <f t="shared" si="12"/>
        <v>95</v>
      </c>
      <c r="T32" s="1573" t="s">
        <v>11</v>
      </c>
      <c r="U32" s="1574">
        <f t="shared" si="13"/>
        <v>95</v>
      </c>
      <c r="V32" s="1573" t="s">
        <v>11</v>
      </c>
      <c r="W32" s="1574">
        <f t="shared" si="14"/>
        <v>95</v>
      </c>
      <c r="X32" s="3184"/>
      <c r="Y32" s="3466" t="s">
        <v>549</v>
      </c>
      <c r="Z32" s="3186" t="str">
        <f t="shared" si="15"/>
        <v>建筑类型</v>
      </c>
      <c r="AA32" s="3187">
        <f t="shared" si="3"/>
        <v>1.0526315789473684</v>
      </c>
      <c r="AB32" s="3187">
        <f t="shared" si="4"/>
        <v>1.0526315789473684</v>
      </c>
      <c r="AC32" s="3187">
        <f t="shared" si="5"/>
        <v>1.0526315789473684</v>
      </c>
    </row>
    <row r="33" spans="1:29" s="1338" customFormat="1" ht="15">
      <c r="A33" s="603"/>
      <c r="B33" s="527" t="s">
        <v>725</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466"/>
      <c r="Q33" s="1605" t="str">
        <f t="shared" si="11"/>
        <v>项目建筑规模</v>
      </c>
      <c r="R33" s="1577" t="s">
        <v>11</v>
      </c>
      <c r="S33" s="1578">
        <f t="shared" si="12"/>
        <v>103</v>
      </c>
      <c r="T33" s="1577" t="s">
        <v>11</v>
      </c>
      <c r="U33" s="1578">
        <f t="shared" si="13"/>
        <v>103</v>
      </c>
      <c r="V33" s="1577" t="s">
        <v>11</v>
      </c>
      <c r="W33" s="1578">
        <f t="shared" si="14"/>
        <v>103</v>
      </c>
      <c r="X33" s="1579"/>
      <c r="Y33" s="3466"/>
      <c r="Z33" s="1580" t="str">
        <f t="shared" si="15"/>
        <v>项目建筑规模</v>
      </c>
      <c r="AA33" s="3187">
        <f t="shared" si="3"/>
        <v>0.970873786407767</v>
      </c>
      <c r="AB33" s="3187">
        <f t="shared" si="4"/>
        <v>0.970873786407767</v>
      </c>
      <c r="AC33" s="3187">
        <f t="shared" si="5"/>
        <v>0.970873786407767</v>
      </c>
    </row>
    <row r="34" spans="1:29" ht="15">
      <c r="A34" s="594"/>
      <c r="B34" s="527" t="s">
        <v>726</v>
      </c>
      <c r="C34" s="880" t="s">
        <v>3086</v>
      </c>
      <c r="D34" s="540">
        <v>100</v>
      </c>
      <c r="E34" s="880" t="s">
        <v>3086</v>
      </c>
      <c r="F34" s="575">
        <f>SUMIF(105:105,E34,106:106)-SUMIF(105:105,C34,106:106)+100</f>
        <v>100</v>
      </c>
      <c r="G34" s="880" t="s">
        <v>3086</v>
      </c>
      <c r="H34" s="540">
        <f>SUMIF(105:105,G34,106:106)-SUMIF(105:105,C34,106:106)+100</f>
        <v>100</v>
      </c>
      <c r="I34" s="880" t="s">
        <v>3086</v>
      </c>
      <c r="J34" s="540">
        <f>SUMIF(105:105,I34,106:106)-SUMIF(105:105,C34,106:106)+100</f>
        <v>100</v>
      </c>
      <c r="K34" s="864">
        <v>2</v>
      </c>
      <c r="L34" s="2143"/>
      <c r="M34" s="2135"/>
      <c r="N34" s="2135"/>
      <c r="O34" s="2142"/>
      <c r="P34" s="3466"/>
      <c r="Q34" s="3185" t="str">
        <f t="shared" si="11"/>
        <v>建筑结构</v>
      </c>
      <c r="R34" s="1573" t="s">
        <v>11</v>
      </c>
      <c r="S34" s="1574">
        <f t="shared" si="12"/>
        <v>100</v>
      </c>
      <c r="T34" s="1573" t="s">
        <v>11</v>
      </c>
      <c r="U34" s="1574">
        <f t="shared" si="13"/>
        <v>100</v>
      </c>
      <c r="V34" s="1573" t="s">
        <v>11</v>
      </c>
      <c r="W34" s="1574">
        <f t="shared" si="14"/>
        <v>100</v>
      </c>
      <c r="X34" s="3184"/>
      <c r="Y34" s="3466"/>
      <c r="Z34" s="3186" t="str">
        <f t="shared" si="15"/>
        <v>建筑结构</v>
      </c>
      <c r="AA34" s="3187">
        <f t="shared" si="3"/>
        <v>1</v>
      </c>
      <c r="AB34" s="3187">
        <f t="shared" si="4"/>
        <v>1</v>
      </c>
      <c r="AC34" s="3187">
        <f t="shared" si="5"/>
        <v>1</v>
      </c>
    </row>
    <row r="35" spans="1:29" ht="15">
      <c r="A35" s="594"/>
      <c r="B35" s="527" t="s">
        <v>727</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5</v>
      </c>
      <c r="L35" s="2143"/>
      <c r="M35" s="2135"/>
      <c r="N35" s="2135"/>
      <c r="O35" s="2142"/>
      <c r="P35" s="3466"/>
      <c r="Q35" s="3185" t="str">
        <f t="shared" si="11"/>
        <v>建筑品质</v>
      </c>
      <c r="R35" s="1573" t="s">
        <v>11</v>
      </c>
      <c r="S35" s="1574">
        <f t="shared" si="12"/>
        <v>100</v>
      </c>
      <c r="T35" s="1573" t="s">
        <v>11</v>
      </c>
      <c r="U35" s="1574">
        <f t="shared" si="13"/>
        <v>100</v>
      </c>
      <c r="V35" s="1573" t="s">
        <v>11</v>
      </c>
      <c r="W35" s="1574">
        <f t="shared" si="14"/>
        <v>100</v>
      </c>
      <c r="X35" s="3184"/>
      <c r="Y35" s="3466"/>
      <c r="Z35" s="3186" t="str">
        <f t="shared" si="15"/>
        <v>建筑品质</v>
      </c>
      <c r="AA35" s="3187">
        <f t="shared" si="3"/>
        <v>1</v>
      </c>
      <c r="AB35" s="3187">
        <f t="shared" si="4"/>
        <v>1</v>
      </c>
      <c r="AC35" s="3187">
        <f t="shared" si="5"/>
        <v>1</v>
      </c>
    </row>
    <row r="36" spans="1:29" ht="15">
      <c r="A36" s="594"/>
      <c r="B36" s="527" t="s">
        <v>728</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3"/>
      <c r="M36" s="2135"/>
      <c r="N36" s="2135"/>
      <c r="O36" s="2142"/>
      <c r="P36" s="3466"/>
      <c r="Q36" s="3185" t="str">
        <f t="shared" si="11"/>
        <v>公共部分装修</v>
      </c>
      <c r="R36" s="1573" t="s">
        <v>11</v>
      </c>
      <c r="S36" s="1574">
        <f t="shared" si="12"/>
        <v>100</v>
      </c>
      <c r="T36" s="1573" t="s">
        <v>11</v>
      </c>
      <c r="U36" s="1574">
        <f t="shared" si="13"/>
        <v>100</v>
      </c>
      <c r="V36" s="1573" t="s">
        <v>11</v>
      </c>
      <c r="W36" s="1574">
        <f t="shared" si="14"/>
        <v>100</v>
      </c>
      <c r="X36" s="3184"/>
      <c r="Y36" s="3466"/>
      <c r="Z36" s="3186" t="str">
        <f t="shared" si="15"/>
        <v>公共部分装修</v>
      </c>
      <c r="AA36" s="3187">
        <f t="shared" si="3"/>
        <v>1</v>
      </c>
      <c r="AB36" s="3187">
        <f t="shared" si="4"/>
        <v>1</v>
      </c>
      <c r="AC36" s="3187">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66"/>
      <c r="Q37" s="3183" t="str">
        <f t="shared" si="11"/>
        <v>成新度</v>
      </c>
      <c r="R37" s="1568" t="s">
        <v>11</v>
      </c>
      <c r="S37" s="1569">
        <f t="shared" si="12"/>
        <v>100</v>
      </c>
      <c r="T37" s="1568" t="s">
        <v>11</v>
      </c>
      <c r="U37" s="1569">
        <f t="shared" si="13"/>
        <v>100</v>
      </c>
      <c r="V37" s="1568" t="s">
        <v>11</v>
      </c>
      <c r="W37" s="1569">
        <f t="shared" si="14"/>
        <v>100</v>
      </c>
      <c r="X37" s="1570"/>
      <c r="Y37" s="3466"/>
      <c r="Z37" s="3182" t="str">
        <f t="shared" si="15"/>
        <v>成新度</v>
      </c>
      <c r="AA37" s="1571">
        <f t="shared" si="3"/>
        <v>1</v>
      </c>
      <c r="AB37" s="1571">
        <f t="shared" si="4"/>
        <v>1</v>
      </c>
      <c r="AC37" s="1571">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3</v>
      </c>
      <c r="L38" s="2143"/>
      <c r="M38" s="2135"/>
      <c r="N38" s="2135"/>
      <c r="O38" s="2142"/>
      <c r="P38" s="3466" t="s">
        <v>549</v>
      </c>
      <c r="Q38" s="3185" t="str">
        <f t="shared" si="11"/>
        <v>物业管理</v>
      </c>
      <c r="R38" s="1573" t="s">
        <v>11</v>
      </c>
      <c r="S38" s="1574">
        <f t="shared" si="12"/>
        <v>100</v>
      </c>
      <c r="T38" s="1573" t="s">
        <v>11</v>
      </c>
      <c r="U38" s="1574">
        <f t="shared" si="13"/>
        <v>100</v>
      </c>
      <c r="V38" s="1573" t="s">
        <v>11</v>
      </c>
      <c r="W38" s="1574">
        <f t="shared" si="14"/>
        <v>100</v>
      </c>
      <c r="X38" s="3184"/>
      <c r="Y38" s="3466" t="s">
        <v>549</v>
      </c>
      <c r="Z38" s="3186" t="str">
        <f t="shared" si="15"/>
        <v>物业管理</v>
      </c>
      <c r="AA38" s="3187">
        <f t="shared" si="3"/>
        <v>1</v>
      </c>
      <c r="AB38" s="3187">
        <f t="shared" si="4"/>
        <v>1</v>
      </c>
      <c r="AC38" s="3187">
        <f t="shared" si="5"/>
        <v>1</v>
      </c>
    </row>
    <row r="39" spans="1:29" ht="15">
      <c r="A39" s="594"/>
      <c r="B39" s="1896" t="s">
        <v>2564</v>
      </c>
      <c r="C39" s="599" t="s">
        <v>3020</v>
      </c>
      <c r="D39" s="540">
        <v>100</v>
      </c>
      <c r="E39" s="599" t="s">
        <v>3020</v>
      </c>
      <c r="F39" s="575">
        <f>SUMIF(116:116,E39,117:117)-SUMIF(116:116,C39,117:117)+100</f>
        <v>100</v>
      </c>
      <c r="G39" s="599" t="s">
        <v>3020</v>
      </c>
      <c r="H39" s="540">
        <f>SUMIF(116:116,G39,117:117)-SUMIF(116:116,C39,117:117)+100</f>
        <v>100</v>
      </c>
      <c r="I39" s="599" t="s">
        <v>3020</v>
      </c>
      <c r="J39" s="540">
        <f>SUMIF(116:116,I39,117:117)-SUMIF(116:116,C39,117:117)+100</f>
        <v>100</v>
      </c>
      <c r="K39" s="864">
        <v>2</v>
      </c>
      <c r="L39" s="2143"/>
      <c r="M39" s="2135"/>
      <c r="N39" s="2135"/>
      <c r="O39" s="2142"/>
      <c r="P39" s="3466"/>
      <c r="Q39" s="3185" t="str">
        <f t="shared" si="11"/>
        <v>市政基础设施</v>
      </c>
      <c r="R39" s="1573" t="s">
        <v>11</v>
      </c>
      <c r="S39" s="1574">
        <f t="shared" si="12"/>
        <v>100</v>
      </c>
      <c r="T39" s="1573" t="s">
        <v>11</v>
      </c>
      <c r="U39" s="1574">
        <f t="shared" si="13"/>
        <v>100</v>
      </c>
      <c r="V39" s="1573" t="s">
        <v>11</v>
      </c>
      <c r="W39" s="1574">
        <f t="shared" si="14"/>
        <v>100</v>
      </c>
      <c r="X39" s="3184"/>
      <c r="Y39" s="3466"/>
      <c r="Z39" s="3186" t="str">
        <f t="shared" si="15"/>
        <v>市政基础设施</v>
      </c>
      <c r="AA39" s="3187">
        <f t="shared" si="3"/>
        <v>1</v>
      </c>
      <c r="AB39" s="3187">
        <f t="shared" si="4"/>
        <v>1</v>
      </c>
      <c r="AC39" s="3187">
        <f t="shared" si="5"/>
        <v>1</v>
      </c>
    </row>
    <row r="40" spans="1:29" ht="15">
      <c r="A40" s="594"/>
      <c r="B40" s="527" t="s">
        <v>731</v>
      </c>
      <c r="C40" s="599" t="s">
        <v>3090</v>
      </c>
      <c r="D40" s="540">
        <v>100</v>
      </c>
      <c r="E40" s="599" t="s">
        <v>3090</v>
      </c>
      <c r="F40" s="575">
        <f>SUMIF(118:118,E40,119:119)-SUMIF(118:118,C40,119:119)+100</f>
        <v>100</v>
      </c>
      <c r="G40" s="599" t="s">
        <v>3090</v>
      </c>
      <c r="H40" s="540">
        <f>SUMIF(118:118,G40,119:119)-SUMIF(118:118,C40,119:119)+100</f>
        <v>100</v>
      </c>
      <c r="I40" s="599" t="s">
        <v>3090</v>
      </c>
      <c r="J40" s="540">
        <f>SUMIF(118:118,I40,119:119)-SUMIF(118:118,C40,119:119)+100</f>
        <v>100</v>
      </c>
      <c r="K40" s="864">
        <v>5</v>
      </c>
      <c r="L40" s="2143"/>
      <c r="M40" s="2135"/>
      <c r="N40" s="2135"/>
      <c r="O40" s="2142"/>
      <c r="P40" s="3466"/>
      <c r="Q40" s="3185" t="str">
        <f t="shared" si="11"/>
        <v>房型</v>
      </c>
      <c r="R40" s="1573" t="s">
        <v>11</v>
      </c>
      <c r="S40" s="1574">
        <f t="shared" si="12"/>
        <v>100</v>
      </c>
      <c r="T40" s="1573" t="s">
        <v>11</v>
      </c>
      <c r="U40" s="1574">
        <f t="shared" si="13"/>
        <v>100</v>
      </c>
      <c r="V40" s="1573" t="s">
        <v>11</v>
      </c>
      <c r="W40" s="1574">
        <f t="shared" si="14"/>
        <v>100</v>
      </c>
      <c r="X40" s="3184"/>
      <c r="Y40" s="3466"/>
      <c r="Z40" s="3186" t="str">
        <f t="shared" si="15"/>
        <v>房型</v>
      </c>
      <c r="AA40" s="3187">
        <f t="shared" si="3"/>
        <v>1</v>
      </c>
      <c r="AB40" s="3187">
        <f t="shared" si="4"/>
        <v>1</v>
      </c>
      <c r="AC40" s="3187">
        <f t="shared" si="5"/>
        <v>1</v>
      </c>
    </row>
    <row r="41" spans="1:29" s="1338" customFormat="1" ht="28.5">
      <c r="A41" s="603"/>
      <c r="B41" s="527" t="s">
        <v>732</v>
      </c>
      <c r="C41" s="879" t="s">
        <v>3091</v>
      </c>
      <c r="D41" s="255">
        <v>100</v>
      </c>
      <c r="E41" s="879" t="s">
        <v>3098</v>
      </c>
      <c r="F41" s="863">
        <f>SUMIF(120:120,E41,121:121)-SUMIF(120:120,C41,121:121)+100</f>
        <v>100</v>
      </c>
      <c r="G41" s="879" t="s">
        <v>3095</v>
      </c>
      <c r="H41" s="255">
        <f>SUMIF(120:120,G41,121:121)-SUMIF(120:120,C41,121:121)+100</f>
        <v>100</v>
      </c>
      <c r="I41" s="879" t="s">
        <v>3096</v>
      </c>
      <c r="J41" s="540">
        <f>SUMIF(120:120,I41,121:121)-SUMIF(120:120,C41,121:121)+100</f>
        <v>100</v>
      </c>
      <c r="K41" s="865"/>
      <c r="L41" s="2141"/>
      <c r="M41" s="2172"/>
      <c r="N41" s="2172"/>
      <c r="O41" s="2144"/>
      <c r="P41" s="3466"/>
      <c r="Q41" s="1605" t="str">
        <f t="shared" si="11"/>
        <v>单套/主力户型建筑面积</v>
      </c>
      <c r="R41" s="1577" t="s">
        <v>11</v>
      </c>
      <c r="S41" s="1578">
        <f t="shared" si="12"/>
        <v>100</v>
      </c>
      <c r="T41" s="1577" t="s">
        <v>11</v>
      </c>
      <c r="U41" s="1578">
        <f t="shared" si="13"/>
        <v>100</v>
      </c>
      <c r="V41" s="1577" t="s">
        <v>11</v>
      </c>
      <c r="W41" s="1578">
        <f t="shared" si="14"/>
        <v>100</v>
      </c>
      <c r="X41" s="1579"/>
      <c r="Y41" s="3466"/>
      <c r="Z41" s="1580" t="str">
        <f t="shared" si="15"/>
        <v>单套/主力户型建筑面积</v>
      </c>
      <c r="AA41" s="3187">
        <f t="shared" si="3"/>
        <v>1</v>
      </c>
      <c r="AB41" s="3187">
        <f t="shared" si="4"/>
        <v>1</v>
      </c>
      <c r="AC41" s="3187">
        <f t="shared" si="5"/>
        <v>1</v>
      </c>
    </row>
    <row r="42" spans="1:29" ht="15.75" thickBot="1">
      <c r="A42" s="594"/>
      <c r="B42" s="527" t="s">
        <v>733</v>
      </c>
      <c r="C42" s="599" t="s">
        <v>3088</v>
      </c>
      <c r="D42" s="540">
        <v>100</v>
      </c>
      <c r="E42" s="599" t="s">
        <v>3097</v>
      </c>
      <c r="F42" s="575">
        <f>SUMIF(122:122,E42,123:123)-SUMIF(122:122,C42,123:123)+100</f>
        <v>85</v>
      </c>
      <c r="G42" s="599" t="s">
        <v>3097</v>
      </c>
      <c r="H42" s="540">
        <f>SUMIF(122:122,G42,123:123)-SUMIF(122:122,C42,123:123)+100</f>
        <v>85</v>
      </c>
      <c r="I42" s="599" t="s">
        <v>3088</v>
      </c>
      <c r="J42" s="540">
        <f>SUMIF(122:122,I42,123:123)-SUMIF(122:122,C42,123:123)+100</f>
        <v>100</v>
      </c>
      <c r="K42" s="864">
        <v>5</v>
      </c>
      <c r="L42" s="2143"/>
      <c r="M42" s="2135"/>
      <c r="N42" s="2135"/>
      <c r="O42" s="2142"/>
      <c r="P42" s="3466"/>
      <c r="Q42" s="3185" t="str">
        <f t="shared" si="11"/>
        <v>内部装修</v>
      </c>
      <c r="R42" s="1573" t="s">
        <v>11</v>
      </c>
      <c r="S42" s="1574">
        <f t="shared" si="12"/>
        <v>85</v>
      </c>
      <c r="T42" s="1573" t="s">
        <v>11</v>
      </c>
      <c r="U42" s="1574">
        <f t="shared" si="13"/>
        <v>85</v>
      </c>
      <c r="V42" s="1573" t="s">
        <v>11</v>
      </c>
      <c r="W42" s="1574">
        <f t="shared" si="14"/>
        <v>100</v>
      </c>
      <c r="X42" s="3184"/>
      <c r="Y42" s="3466"/>
      <c r="Z42" s="3186" t="str">
        <f t="shared" si="15"/>
        <v>内部装修</v>
      </c>
      <c r="AA42" s="3187">
        <f t="shared" si="3"/>
        <v>1.1764705882352942</v>
      </c>
      <c r="AB42" s="3187">
        <f t="shared" si="4"/>
        <v>1.1764705882352942</v>
      </c>
      <c r="AC42" s="3187">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66"/>
      <c r="Q43" s="3185" t="str">
        <f t="shared" si="11"/>
        <v>内部装修维护情况</v>
      </c>
      <c r="R43" s="1573" t="s">
        <v>11</v>
      </c>
      <c r="S43" s="1574">
        <f t="shared" si="12"/>
        <v>100</v>
      </c>
      <c r="T43" s="1573" t="s">
        <v>11</v>
      </c>
      <c r="U43" s="1574">
        <f t="shared" si="13"/>
        <v>100</v>
      </c>
      <c r="V43" s="1573" t="s">
        <v>11</v>
      </c>
      <c r="W43" s="1574">
        <f t="shared" si="14"/>
        <v>100</v>
      </c>
      <c r="X43" s="3184"/>
      <c r="Y43" s="3466"/>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66"/>
      <c r="Q44" s="3183">
        <f t="shared" si="11"/>
        <v>0</v>
      </c>
      <c r="R44" s="1568" t="s">
        <v>11</v>
      </c>
      <c r="S44" s="1569">
        <f t="shared" si="12"/>
        <v>100</v>
      </c>
      <c r="T44" s="1568" t="s">
        <v>11</v>
      </c>
      <c r="U44" s="1569">
        <f t="shared" si="13"/>
        <v>100</v>
      </c>
      <c r="V44" s="1568" t="s">
        <v>11</v>
      </c>
      <c r="W44" s="1569">
        <f t="shared" si="14"/>
        <v>100</v>
      </c>
      <c r="X44" s="1570"/>
      <c r="Y44" s="3466"/>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66"/>
      <c r="Q45" s="3185">
        <f t="shared" si="11"/>
        <v>0</v>
      </c>
      <c r="R45" s="1573" t="s">
        <v>11</v>
      </c>
      <c r="S45" s="1574">
        <f t="shared" si="12"/>
        <v>100</v>
      </c>
      <c r="T45" s="1573" t="s">
        <v>11</v>
      </c>
      <c r="U45" s="1574">
        <f t="shared" si="13"/>
        <v>100</v>
      </c>
      <c r="V45" s="1573" t="s">
        <v>11</v>
      </c>
      <c r="W45" s="1574">
        <f t="shared" si="14"/>
        <v>100</v>
      </c>
      <c r="X45" s="3184"/>
      <c r="Y45" s="3466"/>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1"/>
      <c r="Q46" s="3185">
        <f t="shared" si="11"/>
        <v>0</v>
      </c>
      <c r="R46" s="1573" t="s">
        <v>10</v>
      </c>
      <c r="S46" s="1574">
        <f t="shared" si="12"/>
        <v>100</v>
      </c>
      <c r="T46" s="1573" t="s">
        <v>10</v>
      </c>
      <c r="U46" s="1574">
        <f t="shared" si="13"/>
        <v>100</v>
      </c>
      <c r="V46" s="1573" t="s">
        <v>10</v>
      </c>
      <c r="W46" s="1574">
        <f t="shared" si="14"/>
        <v>100</v>
      </c>
      <c r="X46" s="3184"/>
      <c r="Y46" s="3521"/>
      <c r="Z46" s="3186">
        <f t="shared" si="15"/>
        <v>0</v>
      </c>
      <c r="AA46" s="3187">
        <f t="shared" si="3"/>
        <v>1</v>
      </c>
      <c r="AB46" s="3187">
        <f t="shared" si="4"/>
        <v>1</v>
      </c>
      <c r="AC46" s="3187">
        <f t="shared" si="5"/>
        <v>1</v>
      </c>
    </row>
    <row r="47" spans="1:29" ht="15">
      <c r="A47" s="607" t="s">
        <v>735</v>
      </c>
      <c r="B47" s="886"/>
      <c r="C47" s="2652" t="s">
        <v>9</v>
      </c>
      <c r="D47" s="2653"/>
      <c r="E47" s="2654">
        <v>14000</v>
      </c>
      <c r="F47" s="2655"/>
      <c r="G47" s="2656">
        <v>14000</v>
      </c>
      <c r="H47" s="2657"/>
      <c r="I47" s="2654">
        <v>17000</v>
      </c>
      <c r="J47" s="2657"/>
      <c r="K47" s="1606"/>
      <c r="L47" s="2145"/>
      <c r="M47" s="2146"/>
      <c r="N47" s="2135"/>
      <c r="O47" s="2146"/>
      <c r="P47" s="3427" t="str">
        <f>A47</f>
        <v>成交单价（元/平方米）</v>
      </c>
      <c r="Q47" s="3427"/>
      <c r="R47" s="3520">
        <f>E47</f>
        <v>14000</v>
      </c>
      <c r="S47" s="3520"/>
      <c r="T47" s="3520">
        <f>G47</f>
        <v>14000</v>
      </c>
      <c r="U47" s="3520"/>
      <c r="V47" s="3520">
        <f>I47</f>
        <v>17000</v>
      </c>
      <c r="W47" s="3520"/>
      <c r="X47" s="1559"/>
      <c r="Y47" s="1581"/>
      <c r="Z47" s="1559"/>
      <c r="AA47" s="1559"/>
      <c r="AB47" s="1559"/>
      <c r="AC47" s="1559"/>
    </row>
    <row r="48" spans="1:29" ht="15.75" thickBot="1">
      <c r="A48" s="615" t="s">
        <v>2693</v>
      </c>
      <c r="B48" s="887"/>
      <c r="C48" s="2658">
        <f>R49</f>
        <v>17193</v>
      </c>
      <c r="D48" s="2659"/>
      <c r="E48" s="2660">
        <f>R48</f>
        <v>16832</v>
      </c>
      <c r="F48" s="2660"/>
      <c r="G48" s="2658">
        <f>T48</f>
        <v>17176</v>
      </c>
      <c r="H48" s="2659"/>
      <c r="I48" s="2660">
        <f>V48</f>
        <v>17570</v>
      </c>
      <c r="J48" s="2659"/>
      <c r="K48" s="1607"/>
      <c r="L48" s="2145"/>
      <c r="M48" s="2146"/>
      <c r="N48" s="2146"/>
      <c r="O48" s="2146"/>
      <c r="P48" s="3427" t="str">
        <f>A48</f>
        <v>比较价格（元/平方米）</v>
      </c>
      <c r="Q48" s="3427"/>
      <c r="R48" s="3520">
        <f>IF(F1="售价",ROUND(PRODUCT(R47,AA7:AA46),0),ROUND(PRODUCT(R47,AA7:AA46),1))</f>
        <v>16832</v>
      </c>
      <c r="S48" s="3520"/>
      <c r="T48" s="3520">
        <f>IF(F1="售价",ROUND(PRODUCT(T47,AB7:AB46),0),ROUND(PRODUCT(T47,AB7:AB46),1))</f>
        <v>17176</v>
      </c>
      <c r="U48" s="3520"/>
      <c r="V48" s="3520">
        <f>IF(F1="售价",ROUND(PRODUCT(V47,AC7:AC46),0),ROUND(PRODUCT(V47,AC7:AC46),1))</f>
        <v>17570</v>
      </c>
      <c r="W48" s="3520"/>
      <c r="X48" s="1559"/>
      <c r="Y48" s="1559"/>
      <c r="Z48" s="1559"/>
      <c r="AA48" s="1559"/>
      <c r="AB48" s="1559"/>
      <c r="AC48" s="1559"/>
    </row>
    <row r="49" spans="1:29" ht="15.75" thickBot="1">
      <c r="A49" s="621" t="s">
        <v>2922</v>
      </c>
      <c r="B49" s="622"/>
      <c r="C49" s="2661">
        <f>R49</f>
        <v>17193</v>
      </c>
      <c r="D49" s="2661"/>
      <c r="E49" s="2661"/>
      <c r="F49" s="2661"/>
      <c r="G49" s="2661"/>
      <c r="H49" s="2661"/>
      <c r="I49" s="2661"/>
      <c r="J49" s="2661"/>
      <c r="K49" s="1608"/>
      <c r="L49" s="2145"/>
      <c r="M49" s="2146"/>
      <c r="N49" s="2146"/>
      <c r="O49" s="2146"/>
      <c r="P49" s="3424" t="str">
        <f>A49</f>
        <v>估价对象XX用房的比较价格（楼面单价，元/平方米）</v>
      </c>
      <c r="Q49" s="3425"/>
      <c r="R49" s="3519">
        <f>IF(F1="售价",ROUND(AVERAGE(R48:V48),0),ROUND(AVERAGE(R48:V48),1))</f>
        <v>17193</v>
      </c>
      <c r="S49" s="3519"/>
      <c r="T49" s="3519"/>
      <c r="U49" s="3519"/>
      <c r="V49" s="3519"/>
      <c r="W49" s="351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0.20228571428571418</v>
      </c>
      <c r="F52" s="627" t="str">
        <f>IF(OR(E52&gt;=0.3,E52&lt;=-0.3),"超过30%","")</f>
        <v/>
      </c>
      <c r="G52" s="626">
        <f>IF(G47&lt;G48,G48/G47-1,G47/G48-1)</f>
        <v>0.22685714285714287</v>
      </c>
      <c r="H52" s="627" t="str">
        <f>IF(OR(G52&gt;=0.3,G52&lt;=-0.3),"超过30%","")</f>
        <v/>
      </c>
      <c r="I52" s="626">
        <f>IF(I47&lt;I48,I48/I47-1,I47/I48-1)</f>
        <v>3.3529411764705808E-2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2.0437262357414498E-2</v>
      </c>
      <c r="F53" s="627" t="str">
        <f>IF(OR(E53&gt;=0.2,E53&lt;=-0.2),"超过20%","")</f>
        <v/>
      </c>
      <c r="G53" s="626">
        <f>IF(G48&lt;I48,I48/G48-1,G48/I48-1)</f>
        <v>2.2938984629715886E-2</v>
      </c>
      <c r="H53" s="627" t="str">
        <f>IF(OR(G53&gt;=0.2,G53&lt;=-0.2),"超过20%","")</f>
        <v/>
      </c>
      <c r="I53" s="626">
        <f>IF(I48&lt;E48,E48/I48-1,I48/E48-1)</f>
        <v>4.3845057034220591E-2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3188" t="s">
        <v>3047</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2547</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3057</v>
      </c>
      <c r="D90" s="688" t="s">
        <v>3058</v>
      </c>
      <c r="E90" s="688" t="s">
        <v>3059</v>
      </c>
      <c r="F90" s="688" t="s">
        <v>3060</v>
      </c>
      <c r="G90" s="688" t="s">
        <v>2995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8" t="s">
        <v>3085</v>
      </c>
      <c r="D100" s="3188" t="s">
        <v>3083</v>
      </c>
      <c r="E100" s="3188" t="s">
        <v>3081</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t="s">
        <v>3061</v>
      </c>
      <c r="D105" s="688" t="s">
        <v>3062</v>
      </c>
      <c r="E105" s="718" t="s">
        <v>3063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t="s">
        <v>3064</v>
      </c>
      <c r="D107" s="718" t="s">
        <v>3065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t="s">
        <v>3066</v>
      </c>
      <c r="D109" s="688" t="s">
        <v>3067</v>
      </c>
      <c r="E109" s="688" t="s">
        <v>3068</v>
      </c>
      <c r="F109" s="718" t="s">
        <v>3069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t="s">
        <v>3070</v>
      </c>
      <c r="D114" s="688" t="s">
        <v>3071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t="s">
        <v>3072</v>
      </c>
      <c r="D116" s="688" t="s">
        <v>3073</v>
      </c>
      <c r="E116" s="688" t="s">
        <v>3074</v>
      </c>
      <c r="F116" s="688" t="s">
        <v>3075</v>
      </c>
      <c r="G116" s="688" t="s">
        <v>3076</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t="s">
        <v>3077</v>
      </c>
      <c r="D118" s="718" t="s">
        <v>3078</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t="s">
        <v>3066</v>
      </c>
      <c r="D122" s="688" t="s">
        <v>3067</v>
      </c>
      <c r="E122" s="688" t="s">
        <v>3068</v>
      </c>
      <c r="F122" s="718" t="s">
        <v>3069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32" sqref="M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3032</v>
      </c>
      <c r="E1" s="2651"/>
      <c r="F1" s="2832" t="s">
        <v>3099</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24562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26644</v>
      </c>
      <c r="C3" s="852" t="s">
        <v>721</v>
      </c>
      <c r="D3" s="851">
        <f>SUMIF('数据-汇总表'!$C19:$C33,D1,'数据-汇总表'!$E19:$E33)</f>
        <v>9218.7000000000007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33" t="s">
        <v>521</v>
      </c>
      <c r="D4" s="3434"/>
      <c r="E4" s="3470" t="s">
        <v>522</v>
      </c>
      <c r="F4" s="3471"/>
      <c r="G4" s="3433" t="s">
        <v>523</v>
      </c>
      <c r="H4" s="3434"/>
      <c r="I4" s="3433" t="s">
        <v>524</v>
      </c>
      <c r="J4" s="3434"/>
      <c r="K4" s="853" t="s">
        <v>525</v>
      </c>
      <c r="L4" s="2134"/>
      <c r="M4" s="2135"/>
      <c r="N4" s="2135"/>
      <c r="O4" s="2135"/>
      <c r="P4" s="3435" t="s">
        <v>526</v>
      </c>
      <c r="Q4" s="3436"/>
      <c r="R4" s="3441" t="s">
        <v>522</v>
      </c>
      <c r="S4" s="3442"/>
      <c r="T4" s="3441" t="s">
        <v>523</v>
      </c>
      <c r="U4" s="3442"/>
      <c r="V4" s="3428" t="s">
        <v>524</v>
      </c>
      <c r="W4" s="3428"/>
      <c r="X4" s="3184"/>
      <c r="Y4" s="3441" t="s">
        <v>526</v>
      </c>
      <c r="Z4" s="3442"/>
      <c r="AA4" s="3430" t="s">
        <v>522</v>
      </c>
      <c r="AB4" s="3430" t="s">
        <v>523</v>
      </c>
      <c r="AC4" s="3430" t="s">
        <v>524</v>
      </c>
    </row>
    <row r="5" spans="1:29" ht="15">
      <c r="A5" s="515"/>
      <c r="B5" s="516"/>
      <c r="C5" s="3451" t="s">
        <v>2916</v>
      </c>
      <c r="D5" s="3450"/>
      <c r="E5" s="3449" t="s">
        <v>3101</v>
      </c>
      <c r="F5" s="3450"/>
      <c r="G5" s="3449" t="s">
        <v>3140</v>
      </c>
      <c r="H5" s="3450"/>
      <c r="I5" s="3449" t="s">
        <v>3141</v>
      </c>
      <c r="J5" s="3450"/>
      <c r="K5" s="854"/>
      <c r="L5" s="2134"/>
      <c r="M5" s="2135"/>
      <c r="N5" s="2135"/>
      <c r="O5" s="2135"/>
      <c r="P5" s="3437"/>
      <c r="Q5" s="3438"/>
      <c r="R5" s="3443"/>
      <c r="S5" s="3444"/>
      <c r="T5" s="3443"/>
      <c r="U5" s="3444"/>
      <c r="V5" s="3428"/>
      <c r="W5" s="3428"/>
      <c r="X5" s="3184"/>
      <c r="Y5" s="3443"/>
      <c r="Z5" s="3444"/>
      <c r="AA5" s="3431"/>
      <c r="AB5" s="3431"/>
      <c r="AC5" s="3431"/>
    </row>
    <row r="6" spans="1:29" ht="15.75" thickBot="1">
      <c r="A6" s="517"/>
      <c r="B6" s="518"/>
      <c r="C6" s="3452" t="s">
        <v>2920</v>
      </c>
      <c r="D6" s="3453"/>
      <c r="E6" s="3454"/>
      <c r="F6" s="3453"/>
      <c r="G6" s="3447"/>
      <c r="H6" s="3448"/>
      <c r="I6" s="3447"/>
      <c r="J6" s="3448"/>
      <c r="K6" s="854" t="s">
        <v>527</v>
      </c>
      <c r="L6" s="2134"/>
      <c r="M6" s="2135"/>
      <c r="N6" s="2135"/>
      <c r="O6" s="2135"/>
      <c r="P6" s="3439"/>
      <c r="Q6" s="3440"/>
      <c r="R6" s="3443"/>
      <c r="S6" s="3444"/>
      <c r="T6" s="3445"/>
      <c r="U6" s="3446"/>
      <c r="V6" s="3428"/>
      <c r="W6" s="3428"/>
      <c r="X6" s="3184"/>
      <c r="Y6" s="3445"/>
      <c r="Z6" s="3446"/>
      <c r="AA6" s="3432"/>
      <c r="AB6" s="3432"/>
      <c r="AC6" s="3432"/>
    </row>
    <row r="7" spans="1:29" s="1219" customFormat="1" ht="15.75" thickBot="1">
      <c r="A7" s="2937"/>
      <c r="B7" s="2944" t="s">
        <v>528</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60" t="s">
        <v>529</v>
      </c>
      <c r="Q7" s="3462"/>
      <c r="R7" s="1568" t="s">
        <v>13</v>
      </c>
      <c r="S7" s="1569">
        <f t="shared" ref="S7:S15" si="0">F7</f>
        <v>100</v>
      </c>
      <c r="T7" s="1568" t="s">
        <v>13</v>
      </c>
      <c r="U7" s="1569">
        <f t="shared" ref="U7:U15" si="1">H7</f>
        <v>100</v>
      </c>
      <c r="V7" s="1568" t="s">
        <v>13</v>
      </c>
      <c r="W7" s="1569">
        <f t="shared" ref="W7:W15" si="2">J7</f>
        <v>100</v>
      </c>
      <c r="X7" s="1570"/>
      <c r="Y7" s="3460" t="s">
        <v>529</v>
      </c>
      <c r="Z7" s="3461"/>
      <c r="AA7" s="1571">
        <f>D7/F7</f>
        <v>1</v>
      </c>
      <c r="AB7" s="1571">
        <f>D7/H7</f>
        <v>1</v>
      </c>
      <c r="AC7" s="1571">
        <f>D7/J7</f>
        <v>1</v>
      </c>
    </row>
    <row r="8" spans="1:29" s="1219" customFormat="1" ht="15.75" thickBot="1">
      <c r="A8" s="2938"/>
      <c r="B8" s="2945" t="s">
        <v>530</v>
      </c>
      <c r="C8" s="525" t="s">
        <v>575</v>
      </c>
      <c r="D8" s="520">
        <v>100</v>
      </c>
      <c r="E8" s="856" t="s">
        <v>3018</v>
      </c>
      <c r="F8" s="522">
        <f>SUMIF(61:61,E8,62:62)-SUMIF(61:61,C8,62:62)+100</f>
        <v>100</v>
      </c>
      <c r="G8" s="856" t="s">
        <v>3018</v>
      </c>
      <c r="H8" s="520">
        <f>SUMIF(61:61,G8,62:62)-SUMIF(61:61,C8,62:62)+100</f>
        <v>100</v>
      </c>
      <c r="I8" s="856" t="s">
        <v>3018</v>
      </c>
      <c r="J8" s="520">
        <f>SUMIF(61:61,I8,62:62)-SUMIF(61:61,C8,62:62)+100</f>
        <v>100</v>
      </c>
      <c r="K8" s="855"/>
      <c r="L8" s="2136"/>
      <c r="M8" s="2137"/>
      <c r="N8" s="2137"/>
      <c r="O8" s="2137"/>
      <c r="P8" s="3460" t="s">
        <v>532</v>
      </c>
      <c r="Q8" s="3461"/>
      <c r="R8" s="1568" t="s">
        <v>13</v>
      </c>
      <c r="S8" s="1569">
        <f t="shared" si="0"/>
        <v>100</v>
      </c>
      <c r="T8" s="1568" t="s">
        <v>13</v>
      </c>
      <c r="U8" s="1569">
        <f t="shared" si="1"/>
        <v>100</v>
      </c>
      <c r="V8" s="1568" t="s">
        <v>13</v>
      </c>
      <c r="W8" s="1569">
        <f t="shared" si="2"/>
        <v>100</v>
      </c>
      <c r="X8" s="1570"/>
      <c r="Y8" s="3460" t="s">
        <v>532</v>
      </c>
      <c r="Z8" s="3461"/>
      <c r="AA8" s="1571">
        <f t="shared" ref="AA8:AA46" si="3">D8/F8</f>
        <v>1</v>
      </c>
      <c r="AB8" s="1571">
        <f t="shared" ref="AB8:AB46" si="4">D8/H8</f>
        <v>1</v>
      </c>
      <c r="AC8" s="1571">
        <f t="shared" ref="AC8:AC46" si="5">D8/J8</f>
        <v>1</v>
      </c>
    </row>
    <row r="9" spans="1:29" s="1219" customFormat="1" ht="15">
      <c r="A9" s="2939"/>
      <c r="B9" s="2946" t="s">
        <v>2756</v>
      </c>
      <c r="C9" s="3205" t="s">
        <v>3047</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427" t="s">
        <v>534</v>
      </c>
      <c r="Q9" s="3183" t="str">
        <f t="shared" ref="Q9:Q15" si="6">B9</f>
        <v>用途</v>
      </c>
      <c r="R9" s="1568" t="s">
        <v>8</v>
      </c>
      <c r="S9" s="1569">
        <f t="shared" si="0"/>
        <v>100</v>
      </c>
      <c r="T9" s="1568" t="s">
        <v>8</v>
      </c>
      <c r="U9" s="1569">
        <f t="shared" si="1"/>
        <v>100</v>
      </c>
      <c r="V9" s="1568" t="s">
        <v>8</v>
      </c>
      <c r="W9" s="1569">
        <f t="shared" si="2"/>
        <v>100</v>
      </c>
      <c r="X9" s="1570"/>
      <c r="Y9" s="3366" t="s">
        <v>535</v>
      </c>
      <c r="Z9" s="3182" t="str">
        <f t="shared" ref="Z9:Z15" si="7">Q9</f>
        <v>用途</v>
      </c>
      <c r="AA9" s="1571">
        <f t="shared" si="3"/>
        <v>1</v>
      </c>
      <c r="AB9" s="1571">
        <f t="shared" si="4"/>
        <v>1</v>
      </c>
      <c r="AC9" s="1571">
        <f t="shared" si="5"/>
        <v>1</v>
      </c>
    </row>
    <row r="10" spans="1:29" s="1337" customFormat="1" ht="27">
      <c r="A10" s="2940"/>
      <c r="B10" s="2945" t="s">
        <v>2757</v>
      </c>
      <c r="C10" s="861" t="s">
        <v>3079</v>
      </c>
      <c r="D10" s="255">
        <v>100</v>
      </c>
      <c r="E10" s="861" t="s">
        <v>3079</v>
      </c>
      <c r="F10" s="863">
        <f>SUMIF(65:65,E10,66:66)-SUMIF(65:65,C10,66:66)+100</f>
        <v>100</v>
      </c>
      <c r="G10" s="861" t="s">
        <v>3079</v>
      </c>
      <c r="H10" s="255">
        <f>SUMIF(65:65,G10,66:66)-SUMIF(65:65,C10,66:66)+100</f>
        <v>100</v>
      </c>
      <c r="I10" s="861" t="s">
        <v>3079</v>
      </c>
      <c r="J10" s="255">
        <f>SUMIF(65:65,I10,66:66)-SUMIF(65:65,C10,66:66)+100</f>
        <v>100</v>
      </c>
      <c r="K10" s="864">
        <v>1</v>
      </c>
      <c r="L10" s="2139"/>
      <c r="M10" s="2179"/>
      <c r="N10" s="2179"/>
      <c r="O10" s="2140"/>
      <c r="P10" s="3427"/>
      <c r="Q10" s="3183" t="str">
        <f t="shared" si="6"/>
        <v>土地使用年限（年）</v>
      </c>
      <c r="R10" s="1568" t="s">
        <v>8</v>
      </c>
      <c r="S10" s="1569">
        <f t="shared" si="0"/>
        <v>100</v>
      </c>
      <c r="T10" s="1568" t="s">
        <v>8</v>
      </c>
      <c r="U10" s="1569">
        <f t="shared" si="1"/>
        <v>100</v>
      </c>
      <c r="V10" s="1568" t="s">
        <v>8</v>
      </c>
      <c r="W10" s="1569">
        <f t="shared" si="2"/>
        <v>100</v>
      </c>
      <c r="X10" s="1570"/>
      <c r="Y10" s="3366"/>
      <c r="Z10" s="3182" t="str">
        <f t="shared" si="7"/>
        <v>土地使用年限（年）</v>
      </c>
      <c r="AA10" s="1571">
        <f t="shared" si="3"/>
        <v>1</v>
      </c>
      <c r="AB10" s="1571">
        <f t="shared" si="4"/>
        <v>1</v>
      </c>
      <c r="AC10" s="1571">
        <f t="shared" si="5"/>
        <v>1</v>
      </c>
    </row>
    <row r="11" spans="1:29" ht="15.75" thickBot="1">
      <c r="A11" s="2941"/>
      <c r="B11" s="2945" t="s">
        <v>2758</v>
      </c>
      <c r="C11" s="533">
        <f>'数据-汇总表'!I6</f>
        <v>1.88</v>
      </c>
      <c r="D11" s="255">
        <v>100</v>
      </c>
      <c r="E11" s="534">
        <v>2.91</v>
      </c>
      <c r="F11" s="863">
        <f>LOOKUP(E11,68:68,69:69)-LOOKUP(C11,68:68,69:69)+100</f>
        <v>98</v>
      </c>
      <c r="G11" s="533">
        <v>2.2999999999999998</v>
      </c>
      <c r="H11" s="255">
        <f>LOOKUP(G11,68:68,69:69)-LOOKUP(C11,68:68,69:69)+100</f>
        <v>98</v>
      </c>
      <c r="I11" s="533">
        <v>1.57</v>
      </c>
      <c r="J11" s="255">
        <f>LOOKUP(I11,68:68,69:69)-LOOKUP(C11,68:68,69:69)+100</f>
        <v>100</v>
      </c>
      <c r="K11" s="864">
        <v>2</v>
      </c>
      <c r="L11" s="2141"/>
      <c r="M11" s="2135"/>
      <c r="N11" s="2135"/>
      <c r="O11" s="2142"/>
      <c r="P11" s="3427"/>
      <c r="Q11" s="3183" t="str">
        <f t="shared" si="6"/>
        <v>容积率</v>
      </c>
      <c r="R11" s="1568" t="s">
        <v>11</v>
      </c>
      <c r="S11" s="1569">
        <f t="shared" si="0"/>
        <v>98</v>
      </c>
      <c r="T11" s="1568" t="s">
        <v>11</v>
      </c>
      <c r="U11" s="1569">
        <f t="shared" si="1"/>
        <v>98</v>
      </c>
      <c r="V11" s="1568" t="s">
        <v>11</v>
      </c>
      <c r="W11" s="1569">
        <f t="shared" si="2"/>
        <v>100</v>
      </c>
      <c r="X11" s="1570"/>
      <c r="Y11" s="3366"/>
      <c r="Z11" s="3182" t="str">
        <f t="shared" si="7"/>
        <v>容积率</v>
      </c>
      <c r="AA11" s="1571">
        <f t="shared" si="3"/>
        <v>1.0204081632653061</v>
      </c>
      <c r="AB11" s="1571">
        <f t="shared" si="4"/>
        <v>1.0204081632653061</v>
      </c>
      <c r="AC11" s="1571">
        <f t="shared" si="5"/>
        <v>1</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7"/>
      <c r="Q12" s="3183">
        <f t="shared" si="6"/>
        <v>0</v>
      </c>
      <c r="R12" s="1568" t="s">
        <v>11</v>
      </c>
      <c r="S12" s="1569">
        <f t="shared" si="0"/>
        <v>100</v>
      </c>
      <c r="T12" s="1568" t="s">
        <v>11</v>
      </c>
      <c r="U12" s="1569">
        <f t="shared" si="1"/>
        <v>100</v>
      </c>
      <c r="V12" s="1568" t="s">
        <v>11</v>
      </c>
      <c r="W12" s="1569">
        <f t="shared" si="2"/>
        <v>100</v>
      </c>
      <c r="X12" s="1570"/>
      <c r="Y12" s="3366"/>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7"/>
      <c r="Q13" s="3183">
        <f t="shared" si="6"/>
        <v>0</v>
      </c>
      <c r="R13" s="1568" t="s">
        <v>11</v>
      </c>
      <c r="S13" s="1569">
        <f t="shared" si="0"/>
        <v>100</v>
      </c>
      <c r="T13" s="1568" t="s">
        <v>11</v>
      </c>
      <c r="U13" s="1569">
        <f t="shared" si="1"/>
        <v>100</v>
      </c>
      <c r="V13" s="1568" t="s">
        <v>11</v>
      </c>
      <c r="W13" s="1569">
        <f t="shared" si="2"/>
        <v>100</v>
      </c>
      <c r="X13" s="1570"/>
      <c r="Y13" s="3366"/>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7"/>
      <c r="Q14" s="3183">
        <f t="shared" si="6"/>
        <v>0</v>
      </c>
      <c r="R14" s="1568" t="s">
        <v>11</v>
      </c>
      <c r="S14" s="1569">
        <f t="shared" si="0"/>
        <v>100</v>
      </c>
      <c r="T14" s="1568" t="s">
        <v>11</v>
      </c>
      <c r="U14" s="1569">
        <f t="shared" si="1"/>
        <v>100</v>
      </c>
      <c r="V14" s="1568" t="s">
        <v>11</v>
      </c>
      <c r="W14" s="1569">
        <f t="shared" si="2"/>
        <v>100</v>
      </c>
      <c r="X14" s="1570"/>
      <c r="Y14" s="3366"/>
      <c r="Z14" s="3182">
        <f t="shared" si="7"/>
        <v>0</v>
      </c>
      <c r="AA14" s="1571">
        <f t="shared" si="3"/>
        <v>1</v>
      </c>
      <c r="AB14" s="1571">
        <f t="shared" si="4"/>
        <v>1</v>
      </c>
      <c r="AC14" s="1571">
        <f t="shared" si="5"/>
        <v>1</v>
      </c>
    </row>
    <row r="15" spans="1:29" ht="15">
      <c r="A15" s="293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105</v>
      </c>
      <c r="K15" s="868">
        <v>5</v>
      </c>
      <c r="L15" s="2143"/>
      <c r="M15" s="2135"/>
      <c r="N15" s="2135"/>
      <c r="O15" s="2142"/>
      <c r="P15" s="3463" t="s">
        <v>539</v>
      </c>
      <c r="Q15" s="3185" t="str">
        <f t="shared" si="6"/>
        <v>居住社区成熟度</v>
      </c>
      <c r="R15" s="1573" t="s">
        <v>11</v>
      </c>
      <c r="S15" s="1574">
        <f t="shared" si="0"/>
        <v>100</v>
      </c>
      <c r="T15" s="1573" t="s">
        <v>11</v>
      </c>
      <c r="U15" s="1574">
        <f t="shared" si="1"/>
        <v>100</v>
      </c>
      <c r="V15" s="1573" t="s">
        <v>11</v>
      </c>
      <c r="W15" s="1574">
        <f t="shared" si="2"/>
        <v>105</v>
      </c>
      <c r="X15" s="3184"/>
      <c r="Y15" s="3463" t="s">
        <v>539</v>
      </c>
      <c r="Z15" s="3186" t="str">
        <f t="shared" si="7"/>
        <v>居住社区成熟度</v>
      </c>
      <c r="AA15" s="3187">
        <f t="shared" si="3"/>
        <v>1</v>
      </c>
      <c r="AB15" s="3187">
        <f t="shared" si="4"/>
        <v>1</v>
      </c>
      <c r="AC15" s="3187">
        <f t="shared" si="5"/>
        <v>0.95238095238095233</v>
      </c>
    </row>
    <row r="16" spans="1:29" ht="15">
      <c r="A16" s="532"/>
      <c r="B16" s="869"/>
      <c r="C16" s="576" t="s">
        <v>3019</v>
      </c>
      <c r="D16" s="555"/>
      <c r="E16" s="576" t="s">
        <v>3019</v>
      </c>
      <c r="F16" s="557"/>
      <c r="G16" s="576" t="s">
        <v>3019</v>
      </c>
      <c r="H16" s="559"/>
      <c r="I16" s="576" t="s">
        <v>3100</v>
      </c>
      <c r="J16" s="555"/>
      <c r="K16" s="870"/>
      <c r="L16" s="2143"/>
      <c r="M16" s="2135"/>
      <c r="N16" s="2135"/>
      <c r="O16" s="2142"/>
      <c r="P16" s="3464"/>
      <c r="Q16" s="3185"/>
      <c r="R16" s="1573"/>
      <c r="S16" s="1574"/>
      <c r="T16" s="1573"/>
      <c r="U16" s="1574"/>
      <c r="V16" s="1573"/>
      <c r="W16" s="1574"/>
      <c r="X16" s="3184"/>
      <c r="Y16" s="3464"/>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64"/>
      <c r="Q17" s="3185" t="str">
        <f>B17</f>
        <v>交通便捷度</v>
      </c>
      <c r="R17" s="1573" t="s">
        <v>11</v>
      </c>
      <c r="S17" s="1574">
        <f>F17</f>
        <v>100</v>
      </c>
      <c r="T17" s="1573" t="s">
        <v>11</v>
      </c>
      <c r="U17" s="1574">
        <f>H17</f>
        <v>100</v>
      </c>
      <c r="V17" s="1573" t="s">
        <v>11</v>
      </c>
      <c r="W17" s="1574">
        <f>J17</f>
        <v>100</v>
      </c>
      <c r="X17" s="3184"/>
      <c r="Y17" s="3464"/>
      <c r="Z17" s="3186" t="str">
        <f>Q17</f>
        <v>交通便捷度</v>
      </c>
      <c r="AA17" s="3187">
        <f t="shared" si="3"/>
        <v>1</v>
      </c>
      <c r="AB17" s="3187">
        <f t="shared" si="4"/>
        <v>1</v>
      </c>
      <c r="AC17" s="3187">
        <f t="shared" si="5"/>
        <v>1</v>
      </c>
    </row>
    <row r="18" spans="1:29" ht="15">
      <c r="A18" s="532"/>
      <c r="B18" s="595"/>
      <c r="C18" s="576" t="s">
        <v>3019</v>
      </c>
      <c r="D18" s="559"/>
      <c r="E18" s="576" t="s">
        <v>3019</v>
      </c>
      <c r="F18" s="563"/>
      <c r="G18" s="576" t="s">
        <v>3019</v>
      </c>
      <c r="H18" s="555"/>
      <c r="I18" s="576" t="s">
        <v>3019</v>
      </c>
      <c r="J18" s="555"/>
      <c r="K18" s="870"/>
      <c r="L18" s="2143"/>
      <c r="M18" s="2135"/>
      <c r="N18" s="2135"/>
      <c r="O18" s="2142"/>
      <c r="P18" s="3464"/>
      <c r="Q18" s="3185"/>
      <c r="R18" s="1573"/>
      <c r="S18" s="1574"/>
      <c r="T18" s="1573"/>
      <c r="U18" s="1574"/>
      <c r="V18" s="1573"/>
      <c r="W18" s="1574"/>
      <c r="X18" s="3184"/>
      <c r="Y18" s="3464"/>
      <c r="Z18" s="3186"/>
      <c r="AA18" s="3187">
        <v>1</v>
      </c>
      <c r="AB18" s="3187">
        <v>1</v>
      </c>
      <c r="AC18" s="3187">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64"/>
      <c r="Q19" s="3185" t="str">
        <f>B19</f>
        <v>公共配套设施</v>
      </c>
      <c r="R19" s="1573" t="s">
        <v>11</v>
      </c>
      <c r="S19" s="1574">
        <f>F19</f>
        <v>100</v>
      </c>
      <c r="T19" s="1573" t="s">
        <v>11</v>
      </c>
      <c r="U19" s="1574">
        <f>H19</f>
        <v>100</v>
      </c>
      <c r="V19" s="1573" t="s">
        <v>11</v>
      </c>
      <c r="W19" s="1574">
        <f>J19</f>
        <v>100</v>
      </c>
      <c r="X19" s="3184"/>
      <c r="Y19" s="3464"/>
      <c r="Z19" s="3186" t="str">
        <f>Q19</f>
        <v>公共配套设施</v>
      </c>
      <c r="AA19" s="3187">
        <f t="shared" si="3"/>
        <v>1</v>
      </c>
      <c r="AB19" s="3187">
        <f t="shared" si="4"/>
        <v>1</v>
      </c>
      <c r="AC19" s="3187">
        <f t="shared" si="5"/>
        <v>1</v>
      </c>
    </row>
    <row r="20" spans="1:29" ht="15">
      <c r="A20" s="532"/>
      <c r="B20" s="595"/>
      <c r="C20" s="576" t="s">
        <v>3019</v>
      </c>
      <c r="D20" s="555"/>
      <c r="E20" s="576" t="s">
        <v>3019</v>
      </c>
      <c r="F20" s="557"/>
      <c r="G20" s="576" t="s">
        <v>3019</v>
      </c>
      <c r="H20" s="555"/>
      <c r="I20" s="576" t="s">
        <v>3019</v>
      </c>
      <c r="J20" s="555"/>
      <c r="K20" s="870"/>
      <c r="L20" s="2143"/>
      <c r="M20" s="2135"/>
      <c r="N20" s="2135"/>
      <c r="O20" s="2142"/>
      <c r="P20" s="3464"/>
      <c r="Q20" s="3185"/>
      <c r="R20" s="1573"/>
      <c r="S20" s="1574"/>
      <c r="T20" s="1573"/>
      <c r="U20" s="1574"/>
      <c r="V20" s="1573"/>
      <c r="W20" s="1574"/>
      <c r="X20" s="3184"/>
      <c r="Y20" s="3464"/>
      <c r="Z20" s="3186"/>
      <c r="AA20" s="3187">
        <v>1</v>
      </c>
      <c r="AB20" s="3187">
        <v>1</v>
      </c>
      <c r="AC20" s="3187">
        <v>1</v>
      </c>
    </row>
    <row r="21" spans="1:29" ht="15">
      <c r="A21" s="532"/>
      <c r="B21" s="2618" t="s">
        <v>2547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64"/>
      <c r="Q21" s="3185" t="str">
        <f>B21</f>
        <v>基础设施水平</v>
      </c>
      <c r="R21" s="1573" t="s">
        <v>11</v>
      </c>
      <c r="S21" s="1574">
        <f>F21</f>
        <v>100</v>
      </c>
      <c r="T21" s="1573" t="s">
        <v>11</v>
      </c>
      <c r="U21" s="1574">
        <f>H21</f>
        <v>100</v>
      </c>
      <c r="V21" s="1573" t="s">
        <v>11</v>
      </c>
      <c r="W21" s="1574">
        <f>J21</f>
        <v>100</v>
      </c>
      <c r="X21" s="3184"/>
      <c r="Y21" s="3464"/>
      <c r="Z21" s="3186" t="str">
        <f>Q21</f>
        <v>基础设施水平</v>
      </c>
      <c r="AA21" s="3187">
        <f t="shared" ref="AA21" si="8">D21/F21</f>
        <v>1</v>
      </c>
      <c r="AB21" s="3187">
        <f t="shared" ref="AB21" si="9">D21/H21</f>
        <v>1</v>
      </c>
      <c r="AC21" s="3187">
        <f t="shared" ref="AC21" si="10">D21/J21</f>
        <v>1</v>
      </c>
    </row>
    <row r="22" spans="1:29" ht="15">
      <c r="A22" s="532"/>
      <c r="B22" s="921"/>
      <c r="C22" s="873" t="s">
        <v>3020</v>
      </c>
      <c r="D22" s="555"/>
      <c r="E22" s="873" t="s">
        <v>3020</v>
      </c>
      <c r="F22" s="557"/>
      <c r="G22" s="873" t="s">
        <v>3020</v>
      </c>
      <c r="H22" s="555"/>
      <c r="I22" s="873" t="s">
        <v>3020</v>
      </c>
      <c r="J22" s="555"/>
      <c r="K22" s="2624"/>
      <c r="L22" s="2143"/>
      <c r="M22" s="2135"/>
      <c r="N22" s="2135"/>
      <c r="O22" s="2142"/>
      <c r="P22" s="3464"/>
      <c r="Q22" s="3185"/>
      <c r="R22" s="1573"/>
      <c r="S22" s="1574"/>
      <c r="T22" s="1573"/>
      <c r="U22" s="1574"/>
      <c r="V22" s="1573"/>
      <c r="W22" s="1574"/>
      <c r="X22" s="3184"/>
      <c r="Y22" s="3464"/>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64"/>
      <c r="Q23" s="3185" t="str">
        <f>B23</f>
        <v>自然及人文环境</v>
      </c>
      <c r="R23" s="1573" t="s">
        <v>11</v>
      </c>
      <c r="S23" s="1574">
        <f>F23</f>
        <v>100</v>
      </c>
      <c r="T23" s="1573" t="s">
        <v>11</v>
      </c>
      <c r="U23" s="1574">
        <f>H23</f>
        <v>100</v>
      </c>
      <c r="V23" s="1573" t="s">
        <v>11</v>
      </c>
      <c r="W23" s="1574">
        <f>J23</f>
        <v>100</v>
      </c>
      <c r="X23" s="3184"/>
      <c r="Y23" s="3464"/>
      <c r="Z23" s="3186" t="str">
        <f>Q23</f>
        <v>自然及人文环境</v>
      </c>
      <c r="AA23" s="3187">
        <f t="shared" si="3"/>
        <v>1</v>
      </c>
      <c r="AB23" s="3187">
        <f t="shared" si="4"/>
        <v>1</v>
      </c>
      <c r="AC23" s="3187">
        <f t="shared" si="5"/>
        <v>1</v>
      </c>
    </row>
    <row r="24" spans="1:29" ht="15">
      <c r="A24" s="532"/>
      <c r="B24" s="595"/>
      <c r="C24" s="576" t="s">
        <v>3019</v>
      </c>
      <c r="D24" s="555"/>
      <c r="E24" s="576" t="s">
        <v>3019</v>
      </c>
      <c r="F24" s="557"/>
      <c r="G24" s="576" t="s">
        <v>3019</v>
      </c>
      <c r="H24" s="555"/>
      <c r="I24" s="576" t="s">
        <v>3019</v>
      </c>
      <c r="J24" s="555"/>
      <c r="K24" s="870"/>
      <c r="L24" s="2143"/>
      <c r="M24" s="2135"/>
      <c r="N24" s="2135"/>
      <c r="O24" s="2142"/>
      <c r="P24" s="3464"/>
      <c r="Q24" s="3185"/>
      <c r="R24" s="1573"/>
      <c r="S24" s="1574"/>
      <c r="T24" s="1573"/>
      <c r="U24" s="1574"/>
      <c r="V24" s="1573"/>
      <c r="W24" s="1574"/>
      <c r="X24" s="3184"/>
      <c r="Y24" s="3464"/>
      <c r="Z24" s="3186"/>
      <c r="AA24" s="3187">
        <v>1</v>
      </c>
      <c r="AB24" s="3187">
        <v>1</v>
      </c>
      <c r="AC24" s="318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64"/>
      <c r="Q25" s="3185" t="str">
        <f t="shared" ref="Q25:Q46" si="11">B25</f>
        <v>楼层-1</v>
      </c>
      <c r="R25" s="1573" t="s">
        <v>11</v>
      </c>
      <c r="S25" s="1574">
        <f>F25</f>
        <v>100</v>
      </c>
      <c r="T25" s="1573" t="s">
        <v>11</v>
      </c>
      <c r="U25" s="1574">
        <f>H25</f>
        <v>100</v>
      </c>
      <c r="V25" s="1573" t="s">
        <v>11</v>
      </c>
      <c r="W25" s="1574">
        <f>J25</f>
        <v>100</v>
      </c>
      <c r="X25" s="3184"/>
      <c r="Y25" s="3464"/>
      <c r="Z25" s="3186" t="str">
        <f>Q25</f>
        <v>楼层-1</v>
      </c>
      <c r="AA25" s="3187">
        <f t="shared" si="3"/>
        <v>1</v>
      </c>
      <c r="AB25" s="3187">
        <f t="shared" si="4"/>
        <v>1</v>
      </c>
      <c r="AC25" s="318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64"/>
      <c r="Q26" s="3185" t="str">
        <f t="shared" si="11"/>
        <v>朝向</v>
      </c>
      <c r="R26" s="1573" t="s">
        <v>11</v>
      </c>
      <c r="S26" s="1574">
        <f>F26</f>
        <v>100</v>
      </c>
      <c r="T26" s="1573" t="s">
        <v>11</v>
      </c>
      <c r="U26" s="1574">
        <f>H26</f>
        <v>100</v>
      </c>
      <c r="V26" s="1573" t="s">
        <v>11</v>
      </c>
      <c r="W26" s="1574">
        <f>J26</f>
        <v>100</v>
      </c>
      <c r="X26" s="3184"/>
      <c r="Y26" s="3464"/>
      <c r="Z26" s="3186" t="str">
        <f>Q26</f>
        <v>朝向</v>
      </c>
      <c r="AA26" s="3187">
        <f t="shared" si="3"/>
        <v>1</v>
      </c>
      <c r="AB26" s="3187">
        <f t="shared" si="4"/>
        <v>1</v>
      </c>
      <c r="AC26" s="3187">
        <f t="shared" si="5"/>
        <v>1</v>
      </c>
    </row>
    <row r="27" spans="1:29" s="1219" customFormat="1" ht="15.75" thickBot="1">
      <c r="A27" s="536"/>
      <c r="B27" s="537" t="s">
        <v>723</v>
      </c>
      <c r="C27" s="3204" t="s">
        <v>3080</v>
      </c>
      <c r="D27" s="875">
        <v>100</v>
      </c>
      <c r="E27" s="3204" t="s">
        <v>3080</v>
      </c>
      <c r="F27" s="876">
        <f>SUMIF(90:90,E27,91:91)-SUMIF(90:90,C27,91:91)+100</f>
        <v>100</v>
      </c>
      <c r="G27" s="3204" t="s">
        <v>3080</v>
      </c>
      <c r="H27" s="875">
        <f>SUMIF(90:90,G27,91:91)-SUMIF(90:90,C27,91:91)+100</f>
        <v>100</v>
      </c>
      <c r="I27" s="3204" t="s">
        <v>3080</v>
      </c>
      <c r="J27" s="875">
        <f>SUMIF(90:90,I27,91:91)-SUMIF(90:90,C27,91:91)+100</f>
        <v>100</v>
      </c>
      <c r="K27" s="865"/>
      <c r="L27" s="2136"/>
      <c r="M27" s="2137"/>
      <c r="N27" s="2137"/>
      <c r="O27" s="2138"/>
      <c r="P27" s="3464"/>
      <c r="Q27" s="3183" t="str">
        <f t="shared" si="11"/>
        <v>道路级别</v>
      </c>
      <c r="R27" s="1568" t="s">
        <v>11</v>
      </c>
      <c r="S27" s="1569">
        <f>F27</f>
        <v>100</v>
      </c>
      <c r="T27" s="1568" t="s">
        <v>11</v>
      </c>
      <c r="U27" s="1569">
        <f>H27</f>
        <v>100</v>
      </c>
      <c r="V27" s="1568" t="s">
        <v>11</v>
      </c>
      <c r="W27" s="1569">
        <f>J27</f>
        <v>100</v>
      </c>
      <c r="X27" s="1570"/>
      <c r="Y27" s="3464"/>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64"/>
      <c r="Q28" s="3185">
        <f t="shared" si="11"/>
        <v>0</v>
      </c>
      <c r="R28" s="1573" t="s">
        <v>11</v>
      </c>
      <c r="S28" s="1574">
        <f t="shared" ref="S28:S46" si="12">F28</f>
        <v>100</v>
      </c>
      <c r="T28" s="1573" t="s">
        <v>11</v>
      </c>
      <c r="U28" s="1574">
        <f t="shared" ref="U28:U46" si="13">H28</f>
        <v>100</v>
      </c>
      <c r="V28" s="1573" t="s">
        <v>11</v>
      </c>
      <c r="W28" s="1574">
        <f t="shared" ref="W28:W46" si="14">J28</f>
        <v>100</v>
      </c>
      <c r="X28" s="3184"/>
      <c r="Y28" s="3464"/>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64"/>
      <c r="Q29" s="3185">
        <f t="shared" si="11"/>
        <v>0</v>
      </c>
      <c r="R29" s="1573" t="s">
        <v>11</v>
      </c>
      <c r="S29" s="1574">
        <f t="shared" si="12"/>
        <v>100</v>
      </c>
      <c r="T29" s="1573" t="s">
        <v>11</v>
      </c>
      <c r="U29" s="1574">
        <f t="shared" si="13"/>
        <v>100</v>
      </c>
      <c r="V29" s="1573" t="s">
        <v>11</v>
      </c>
      <c r="W29" s="1574">
        <f t="shared" si="14"/>
        <v>100</v>
      </c>
      <c r="X29" s="3184"/>
      <c r="Y29" s="3464"/>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64"/>
      <c r="Q30" s="3185">
        <f t="shared" si="11"/>
        <v>0</v>
      </c>
      <c r="R30" s="1573" t="s">
        <v>11</v>
      </c>
      <c r="S30" s="1574">
        <f t="shared" si="12"/>
        <v>100</v>
      </c>
      <c r="T30" s="1573" t="s">
        <v>11</v>
      </c>
      <c r="U30" s="1574">
        <f t="shared" si="13"/>
        <v>100</v>
      </c>
      <c r="V30" s="1573" t="s">
        <v>11</v>
      </c>
      <c r="W30" s="1574">
        <f t="shared" si="14"/>
        <v>100</v>
      </c>
      <c r="X30" s="3184"/>
      <c r="Y30" s="3464"/>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64"/>
      <c r="Q31" s="3185">
        <f t="shared" si="11"/>
        <v>0</v>
      </c>
      <c r="R31" s="1573" t="s">
        <v>11</v>
      </c>
      <c r="S31" s="1574">
        <f t="shared" si="12"/>
        <v>100</v>
      </c>
      <c r="T31" s="1573" t="s">
        <v>11</v>
      </c>
      <c r="U31" s="1574">
        <f t="shared" si="13"/>
        <v>100</v>
      </c>
      <c r="V31" s="1573" t="s">
        <v>11</v>
      </c>
      <c r="W31" s="1574">
        <f t="shared" si="14"/>
        <v>100</v>
      </c>
      <c r="X31" s="3184"/>
      <c r="Y31" s="3464"/>
      <c r="Z31" s="3186">
        <f t="shared" si="15"/>
        <v>0</v>
      </c>
      <c r="AA31" s="3187">
        <f t="shared" si="3"/>
        <v>1</v>
      </c>
      <c r="AB31" s="3187">
        <f t="shared" si="4"/>
        <v>1</v>
      </c>
      <c r="AC31" s="3187">
        <f t="shared" si="5"/>
        <v>1</v>
      </c>
    </row>
    <row r="32" spans="1:29" ht="15">
      <c r="A32" s="2932" t="s">
        <v>2755</v>
      </c>
      <c r="B32" s="172" t="s">
        <v>724</v>
      </c>
      <c r="C32" s="878" t="s">
        <v>3084</v>
      </c>
      <c r="D32" s="597">
        <v>100</v>
      </c>
      <c r="E32" s="878" t="s">
        <v>3084</v>
      </c>
      <c r="F32" s="575">
        <f>SUMIF(100:100,E32,101:101)-SUMIF(100:100,C32,101:101)+100</f>
        <v>100</v>
      </c>
      <c r="G32" s="878" t="s">
        <v>3102</v>
      </c>
      <c r="H32" s="597">
        <f>SUMIF(100:100,G32,101:101)-SUMIF(100:100,C32,101:101)+100</f>
        <v>110</v>
      </c>
      <c r="I32" s="878" t="s">
        <v>3084</v>
      </c>
      <c r="J32" s="540">
        <f>SUMIF(100:100,I32,101:101)-SUMIF(100:100,C32,101:101)+100</f>
        <v>100</v>
      </c>
      <c r="K32" s="864">
        <v>10</v>
      </c>
      <c r="L32" s="2143"/>
      <c r="M32" s="2135"/>
      <c r="N32" s="2135"/>
      <c r="O32" s="2142"/>
      <c r="P32" s="3465" t="s">
        <v>549</v>
      </c>
      <c r="Q32" s="3185" t="str">
        <f t="shared" si="11"/>
        <v>建筑类型</v>
      </c>
      <c r="R32" s="1573" t="s">
        <v>11</v>
      </c>
      <c r="S32" s="1574">
        <f t="shared" si="12"/>
        <v>100</v>
      </c>
      <c r="T32" s="1573" t="s">
        <v>11</v>
      </c>
      <c r="U32" s="1574">
        <f t="shared" si="13"/>
        <v>110</v>
      </c>
      <c r="V32" s="1573" t="s">
        <v>11</v>
      </c>
      <c r="W32" s="1574">
        <f t="shared" si="14"/>
        <v>100</v>
      </c>
      <c r="X32" s="3184"/>
      <c r="Y32" s="3466" t="s">
        <v>549</v>
      </c>
      <c r="Z32" s="3186" t="str">
        <f t="shared" si="15"/>
        <v>建筑类型</v>
      </c>
      <c r="AA32" s="3187">
        <f t="shared" si="3"/>
        <v>1</v>
      </c>
      <c r="AB32" s="3187">
        <f t="shared" si="4"/>
        <v>0.90909090909090906</v>
      </c>
      <c r="AC32" s="3187">
        <f t="shared" si="5"/>
        <v>1</v>
      </c>
    </row>
    <row r="33" spans="1:29" s="1338" customFormat="1" ht="15">
      <c r="A33" s="603"/>
      <c r="B33" s="527" t="s">
        <v>725</v>
      </c>
      <c r="C33" s="879">
        <f>'数据-基础表'!B3</f>
        <v>273671.80000000005</v>
      </c>
      <c r="D33" s="255">
        <v>100</v>
      </c>
      <c r="E33" s="879">
        <v>431700</v>
      </c>
      <c r="F33" s="863">
        <f>LOOKUP(E33,103:103,104:104)-LOOKUP(C33,103:103,104:104)+100</f>
        <v>102</v>
      </c>
      <c r="G33" s="879">
        <v>430000</v>
      </c>
      <c r="H33" s="255">
        <f>LOOKUP(G33,103:103,104:104)-LOOKUP(C33,103:103,104:104)+100</f>
        <v>102</v>
      </c>
      <c r="I33" s="879">
        <v>100075</v>
      </c>
      <c r="J33" s="255">
        <f>LOOKUP(I33,103:103,104:104)-LOOKUP(C33,103:103,104:104)+100</f>
        <v>99</v>
      </c>
      <c r="K33" s="865"/>
      <c r="L33" s="2141"/>
      <c r="M33" s="2172"/>
      <c r="N33" s="2172"/>
      <c r="O33" s="2144"/>
      <c r="P33" s="3466"/>
      <c r="Q33" s="1605" t="str">
        <f t="shared" si="11"/>
        <v>项目建筑规模</v>
      </c>
      <c r="R33" s="1577" t="s">
        <v>11</v>
      </c>
      <c r="S33" s="1578">
        <f t="shared" si="12"/>
        <v>102</v>
      </c>
      <c r="T33" s="1577" t="s">
        <v>11</v>
      </c>
      <c r="U33" s="1578">
        <f t="shared" si="13"/>
        <v>102</v>
      </c>
      <c r="V33" s="1577" t="s">
        <v>11</v>
      </c>
      <c r="W33" s="1578">
        <f t="shared" si="14"/>
        <v>99</v>
      </c>
      <c r="X33" s="1579"/>
      <c r="Y33" s="3466"/>
      <c r="Z33" s="1580" t="str">
        <f t="shared" si="15"/>
        <v>项目建筑规模</v>
      </c>
      <c r="AA33" s="3187">
        <f t="shared" si="3"/>
        <v>0.98039215686274506</v>
      </c>
      <c r="AB33" s="3187">
        <f t="shared" si="4"/>
        <v>0.98039215686274506</v>
      </c>
      <c r="AC33" s="3187">
        <f t="shared" si="5"/>
        <v>1.0101010101010102</v>
      </c>
    </row>
    <row r="34" spans="1:29" ht="15">
      <c r="A34" s="594"/>
      <c r="B34" s="527" t="s">
        <v>726</v>
      </c>
      <c r="C34" s="880" t="s">
        <v>3086</v>
      </c>
      <c r="D34" s="540">
        <v>100</v>
      </c>
      <c r="E34" s="880" t="s">
        <v>3086</v>
      </c>
      <c r="F34" s="575">
        <f>SUMIF(105:105,E34,106:106)-SUMIF(105:105,C34,106:106)+100</f>
        <v>100</v>
      </c>
      <c r="G34" s="880" t="s">
        <v>3086</v>
      </c>
      <c r="H34" s="540">
        <f>SUMIF(105:105,G34,106:106)-SUMIF(105:105,C34,106:106)+100</f>
        <v>100</v>
      </c>
      <c r="I34" s="880" t="s">
        <v>3086</v>
      </c>
      <c r="J34" s="540">
        <f>SUMIF(105:105,I34,106:106)-SUMIF(105:105,C34,106:106)+100</f>
        <v>100</v>
      </c>
      <c r="K34" s="864">
        <v>2</v>
      </c>
      <c r="L34" s="2143"/>
      <c r="M34" s="2135"/>
      <c r="N34" s="2135"/>
      <c r="O34" s="2142"/>
      <c r="P34" s="3466"/>
      <c r="Q34" s="3185" t="str">
        <f t="shared" si="11"/>
        <v>建筑结构</v>
      </c>
      <c r="R34" s="1573" t="s">
        <v>11</v>
      </c>
      <c r="S34" s="1574">
        <f t="shared" si="12"/>
        <v>100</v>
      </c>
      <c r="T34" s="1573" t="s">
        <v>11</v>
      </c>
      <c r="U34" s="1574">
        <f t="shared" si="13"/>
        <v>100</v>
      </c>
      <c r="V34" s="1573" t="s">
        <v>11</v>
      </c>
      <c r="W34" s="1574">
        <f t="shared" si="14"/>
        <v>100</v>
      </c>
      <c r="X34" s="3184"/>
      <c r="Y34" s="3466"/>
      <c r="Z34" s="3186" t="str">
        <f t="shared" si="15"/>
        <v>建筑结构</v>
      </c>
      <c r="AA34" s="3187">
        <f t="shared" si="3"/>
        <v>1</v>
      </c>
      <c r="AB34" s="3187">
        <f t="shared" si="4"/>
        <v>1</v>
      </c>
      <c r="AC34" s="3187">
        <f t="shared" si="5"/>
        <v>1</v>
      </c>
    </row>
    <row r="35" spans="1:29" ht="15">
      <c r="A35" s="594"/>
      <c r="B35" s="527" t="s">
        <v>727</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5</v>
      </c>
      <c r="L35" s="2143"/>
      <c r="M35" s="2135"/>
      <c r="N35" s="2135"/>
      <c r="O35" s="2142"/>
      <c r="P35" s="3466"/>
      <c r="Q35" s="3185" t="str">
        <f t="shared" si="11"/>
        <v>建筑品质</v>
      </c>
      <c r="R35" s="1573" t="s">
        <v>11</v>
      </c>
      <c r="S35" s="1574">
        <f t="shared" si="12"/>
        <v>100</v>
      </c>
      <c r="T35" s="1573" t="s">
        <v>11</v>
      </c>
      <c r="U35" s="1574">
        <f t="shared" si="13"/>
        <v>100</v>
      </c>
      <c r="V35" s="1573" t="s">
        <v>11</v>
      </c>
      <c r="W35" s="1574">
        <f t="shared" si="14"/>
        <v>100</v>
      </c>
      <c r="X35" s="3184"/>
      <c r="Y35" s="3466"/>
      <c r="Z35" s="3186" t="str">
        <f t="shared" si="15"/>
        <v>建筑品质</v>
      </c>
      <c r="AA35" s="3187">
        <f t="shared" si="3"/>
        <v>1</v>
      </c>
      <c r="AB35" s="3187">
        <f t="shared" si="4"/>
        <v>1</v>
      </c>
      <c r="AC35" s="3187">
        <f t="shared" si="5"/>
        <v>1</v>
      </c>
    </row>
    <row r="36" spans="1:29" ht="15">
      <c r="A36" s="594"/>
      <c r="B36" s="527" t="s">
        <v>728</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3"/>
      <c r="M36" s="2135"/>
      <c r="N36" s="2135"/>
      <c r="O36" s="2142"/>
      <c r="P36" s="3466"/>
      <c r="Q36" s="3185" t="str">
        <f t="shared" si="11"/>
        <v>公共部分装修</v>
      </c>
      <c r="R36" s="1573" t="s">
        <v>11</v>
      </c>
      <c r="S36" s="1574">
        <f t="shared" si="12"/>
        <v>100</v>
      </c>
      <c r="T36" s="1573" t="s">
        <v>11</v>
      </c>
      <c r="U36" s="1574">
        <f t="shared" si="13"/>
        <v>100</v>
      </c>
      <c r="V36" s="1573" t="s">
        <v>11</v>
      </c>
      <c r="W36" s="1574">
        <f t="shared" si="14"/>
        <v>100</v>
      </c>
      <c r="X36" s="3184"/>
      <c r="Y36" s="3466"/>
      <c r="Z36" s="3186" t="str">
        <f t="shared" si="15"/>
        <v>公共部分装修</v>
      </c>
      <c r="AA36" s="3187">
        <f t="shared" si="3"/>
        <v>1</v>
      </c>
      <c r="AB36" s="3187">
        <f t="shared" si="4"/>
        <v>1</v>
      </c>
      <c r="AC36" s="3187">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66"/>
      <c r="Q37" s="3183" t="str">
        <f t="shared" si="11"/>
        <v>成新度</v>
      </c>
      <c r="R37" s="1568" t="s">
        <v>11</v>
      </c>
      <c r="S37" s="1569">
        <f t="shared" si="12"/>
        <v>100</v>
      </c>
      <c r="T37" s="1568" t="s">
        <v>11</v>
      </c>
      <c r="U37" s="1569">
        <f t="shared" si="13"/>
        <v>100</v>
      </c>
      <c r="V37" s="1568" t="s">
        <v>11</v>
      </c>
      <c r="W37" s="1569">
        <f t="shared" si="14"/>
        <v>100</v>
      </c>
      <c r="X37" s="1570"/>
      <c r="Y37" s="3466"/>
      <c r="Z37" s="3182" t="str">
        <f t="shared" si="15"/>
        <v>成新度</v>
      </c>
      <c r="AA37" s="1571">
        <f t="shared" si="3"/>
        <v>1</v>
      </c>
      <c r="AB37" s="1571">
        <f t="shared" si="4"/>
        <v>1</v>
      </c>
      <c r="AC37" s="1571">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3</v>
      </c>
      <c r="L38" s="2143"/>
      <c r="M38" s="2135"/>
      <c r="N38" s="2135"/>
      <c r="O38" s="2142"/>
      <c r="P38" s="3466" t="s">
        <v>549</v>
      </c>
      <c r="Q38" s="3185" t="str">
        <f t="shared" si="11"/>
        <v>物业管理</v>
      </c>
      <c r="R38" s="1573" t="s">
        <v>11</v>
      </c>
      <c r="S38" s="1574">
        <f t="shared" si="12"/>
        <v>100</v>
      </c>
      <c r="T38" s="1573" t="s">
        <v>11</v>
      </c>
      <c r="U38" s="1574">
        <f t="shared" si="13"/>
        <v>100</v>
      </c>
      <c r="V38" s="1573" t="s">
        <v>11</v>
      </c>
      <c r="W38" s="1574">
        <f t="shared" si="14"/>
        <v>100</v>
      </c>
      <c r="X38" s="3184"/>
      <c r="Y38" s="3466" t="s">
        <v>549</v>
      </c>
      <c r="Z38" s="3186" t="str">
        <f t="shared" si="15"/>
        <v>物业管理</v>
      </c>
      <c r="AA38" s="3187">
        <f t="shared" si="3"/>
        <v>1</v>
      </c>
      <c r="AB38" s="3187">
        <f t="shared" si="4"/>
        <v>1</v>
      </c>
      <c r="AC38" s="3187">
        <f t="shared" si="5"/>
        <v>1</v>
      </c>
    </row>
    <row r="39" spans="1:29" ht="15">
      <c r="A39" s="594"/>
      <c r="B39" s="1896" t="s">
        <v>2564</v>
      </c>
      <c r="C39" s="599" t="s">
        <v>3020</v>
      </c>
      <c r="D39" s="540">
        <v>100</v>
      </c>
      <c r="E39" s="599" t="s">
        <v>3020</v>
      </c>
      <c r="F39" s="575">
        <f>SUMIF(116:116,E39,117:117)-SUMIF(116:116,C39,117:117)+100</f>
        <v>100</v>
      </c>
      <c r="G39" s="599" t="s">
        <v>3020</v>
      </c>
      <c r="H39" s="540">
        <f>SUMIF(116:116,G39,117:117)-SUMIF(116:116,C39,117:117)+100</f>
        <v>100</v>
      </c>
      <c r="I39" s="599" t="s">
        <v>3020</v>
      </c>
      <c r="J39" s="540">
        <f>SUMIF(116:116,I39,117:117)-SUMIF(116:116,C39,117:117)+100</f>
        <v>100</v>
      </c>
      <c r="K39" s="864">
        <v>2</v>
      </c>
      <c r="L39" s="2143"/>
      <c r="M39" s="2135"/>
      <c r="N39" s="2135"/>
      <c r="O39" s="2142"/>
      <c r="P39" s="3466"/>
      <c r="Q39" s="3185" t="str">
        <f t="shared" si="11"/>
        <v>市政基础设施</v>
      </c>
      <c r="R39" s="1573" t="s">
        <v>11</v>
      </c>
      <c r="S39" s="1574">
        <f t="shared" si="12"/>
        <v>100</v>
      </c>
      <c r="T39" s="1573" t="s">
        <v>11</v>
      </c>
      <c r="U39" s="1574">
        <f t="shared" si="13"/>
        <v>100</v>
      </c>
      <c r="V39" s="1573" t="s">
        <v>11</v>
      </c>
      <c r="W39" s="1574">
        <f t="shared" si="14"/>
        <v>100</v>
      </c>
      <c r="X39" s="3184"/>
      <c r="Y39" s="3466"/>
      <c r="Z39" s="3186" t="str">
        <f t="shared" si="15"/>
        <v>市政基础设施</v>
      </c>
      <c r="AA39" s="3187">
        <f t="shared" si="3"/>
        <v>1</v>
      </c>
      <c r="AB39" s="3187">
        <f t="shared" si="4"/>
        <v>1</v>
      </c>
      <c r="AC39" s="3187">
        <f t="shared" si="5"/>
        <v>1</v>
      </c>
    </row>
    <row r="40" spans="1:29" ht="15">
      <c r="A40" s="594"/>
      <c r="B40" s="527" t="s">
        <v>731</v>
      </c>
      <c r="C40" s="599" t="s">
        <v>3090</v>
      </c>
      <c r="D40" s="540">
        <v>100</v>
      </c>
      <c r="E40" s="599" t="s">
        <v>3090</v>
      </c>
      <c r="F40" s="575">
        <f>SUMIF(118:118,E40,119:119)-SUMIF(118:118,C40,119:119)+100</f>
        <v>100</v>
      </c>
      <c r="G40" s="599" t="s">
        <v>3090</v>
      </c>
      <c r="H40" s="540">
        <f>SUMIF(118:118,G40,119:119)-SUMIF(118:118,C40,119:119)+100</f>
        <v>100</v>
      </c>
      <c r="I40" s="599" t="s">
        <v>3090</v>
      </c>
      <c r="J40" s="540">
        <f>SUMIF(118:118,I40,119:119)-SUMIF(118:118,C40,119:119)+100</f>
        <v>100</v>
      </c>
      <c r="K40" s="864">
        <v>5</v>
      </c>
      <c r="L40" s="2143"/>
      <c r="M40" s="2135"/>
      <c r="N40" s="2135"/>
      <c r="O40" s="2142"/>
      <c r="P40" s="3466"/>
      <c r="Q40" s="3185" t="str">
        <f t="shared" si="11"/>
        <v>房型</v>
      </c>
      <c r="R40" s="1573" t="s">
        <v>11</v>
      </c>
      <c r="S40" s="1574">
        <f t="shared" si="12"/>
        <v>100</v>
      </c>
      <c r="T40" s="1573" t="s">
        <v>11</v>
      </c>
      <c r="U40" s="1574">
        <f t="shared" si="13"/>
        <v>100</v>
      </c>
      <c r="V40" s="1573" t="s">
        <v>11</v>
      </c>
      <c r="W40" s="1574">
        <f t="shared" si="14"/>
        <v>100</v>
      </c>
      <c r="X40" s="3184"/>
      <c r="Y40" s="3466"/>
      <c r="Z40" s="3186" t="str">
        <f t="shared" si="15"/>
        <v>房型</v>
      </c>
      <c r="AA40" s="3187">
        <f t="shared" si="3"/>
        <v>1</v>
      </c>
      <c r="AB40" s="3187">
        <f t="shared" si="4"/>
        <v>1</v>
      </c>
      <c r="AC40" s="3187">
        <f t="shared" si="5"/>
        <v>1</v>
      </c>
    </row>
    <row r="41" spans="1:29" s="1338" customFormat="1" ht="28.5">
      <c r="A41" s="603"/>
      <c r="B41" s="527" t="s">
        <v>732</v>
      </c>
      <c r="C41" s="879">
        <v>259</v>
      </c>
      <c r="D41" s="255">
        <v>100</v>
      </c>
      <c r="E41" s="879">
        <v>120</v>
      </c>
      <c r="F41" s="863">
        <f>SUMIF(120:120,E41,121:121)-SUMIF(120:120,C41,121:121)+100</f>
        <v>98</v>
      </c>
      <c r="G41" s="879">
        <v>140</v>
      </c>
      <c r="H41" s="255">
        <f>SUMIF(120:120,G41,121:121)-SUMIF(120:120,C41,121:121)+100</f>
        <v>98</v>
      </c>
      <c r="I41" s="879">
        <v>150</v>
      </c>
      <c r="J41" s="540">
        <f>SUMIF(120:120,I41,121:121)-SUMIF(120:120,C41,121:121)+100</f>
        <v>98</v>
      </c>
      <c r="K41" s="865"/>
      <c r="L41" s="2141"/>
      <c r="M41" s="2172"/>
      <c r="N41" s="2172"/>
      <c r="O41" s="2144"/>
      <c r="P41" s="3466"/>
      <c r="Q41" s="1605" t="str">
        <f t="shared" si="11"/>
        <v>单套/主力户型建筑面积</v>
      </c>
      <c r="R41" s="1577" t="s">
        <v>11</v>
      </c>
      <c r="S41" s="1578">
        <f t="shared" si="12"/>
        <v>98</v>
      </c>
      <c r="T41" s="1577" t="s">
        <v>11</v>
      </c>
      <c r="U41" s="1578">
        <f t="shared" si="13"/>
        <v>98</v>
      </c>
      <c r="V41" s="1577" t="s">
        <v>11</v>
      </c>
      <c r="W41" s="1578">
        <f t="shared" si="14"/>
        <v>98</v>
      </c>
      <c r="X41" s="1579"/>
      <c r="Y41" s="3466"/>
      <c r="Z41" s="1580" t="str">
        <f t="shared" si="15"/>
        <v>单套/主力户型建筑面积</v>
      </c>
      <c r="AA41" s="3187">
        <f t="shared" si="3"/>
        <v>1.0204081632653061</v>
      </c>
      <c r="AB41" s="3187">
        <f t="shared" si="4"/>
        <v>1.0204081632653061</v>
      </c>
      <c r="AC41" s="3187">
        <f t="shared" si="5"/>
        <v>1.0204081632653061</v>
      </c>
    </row>
    <row r="42" spans="1:29" ht="15.75" thickBot="1">
      <c r="A42" s="594"/>
      <c r="B42" s="527" t="s">
        <v>733</v>
      </c>
      <c r="C42" s="599" t="s">
        <v>3097</v>
      </c>
      <c r="D42" s="540">
        <v>100</v>
      </c>
      <c r="E42" s="599" t="s">
        <v>3097</v>
      </c>
      <c r="F42" s="575">
        <f>SUMIF(122:122,E42,123:123)-SUMIF(122:122,C42,123:123)+100</f>
        <v>100</v>
      </c>
      <c r="G42" s="599" t="s">
        <v>3097</v>
      </c>
      <c r="H42" s="540">
        <f>SUMIF(122:122,G42,123:123)-SUMIF(122:122,C42,123:123)+100</f>
        <v>100</v>
      </c>
      <c r="I42" s="599" t="s">
        <v>3097</v>
      </c>
      <c r="J42" s="540">
        <f>SUMIF(122:122,I42,123:123)-SUMIF(122:122,C42,123:123)+100</f>
        <v>100</v>
      </c>
      <c r="K42" s="864">
        <v>4</v>
      </c>
      <c r="L42" s="2143"/>
      <c r="M42" s="2135"/>
      <c r="N42" s="2135"/>
      <c r="O42" s="2142"/>
      <c r="P42" s="3466"/>
      <c r="Q42" s="3185" t="str">
        <f t="shared" si="11"/>
        <v>内部装修</v>
      </c>
      <c r="R42" s="1573" t="s">
        <v>11</v>
      </c>
      <c r="S42" s="1574">
        <f t="shared" si="12"/>
        <v>100</v>
      </c>
      <c r="T42" s="1573" t="s">
        <v>11</v>
      </c>
      <c r="U42" s="1574">
        <f t="shared" si="13"/>
        <v>100</v>
      </c>
      <c r="V42" s="1573" t="s">
        <v>11</v>
      </c>
      <c r="W42" s="1574">
        <f t="shared" si="14"/>
        <v>100</v>
      </c>
      <c r="X42" s="3184"/>
      <c r="Y42" s="3466"/>
      <c r="Z42" s="3186" t="str">
        <f t="shared" si="15"/>
        <v>内部装修</v>
      </c>
      <c r="AA42" s="3187">
        <f t="shared" si="3"/>
        <v>1</v>
      </c>
      <c r="AB42" s="3187">
        <f t="shared" si="4"/>
        <v>1</v>
      </c>
      <c r="AC42" s="3187">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66"/>
      <c r="Q43" s="3185" t="str">
        <f t="shared" si="11"/>
        <v>内部装修维护情况</v>
      </c>
      <c r="R43" s="1573" t="s">
        <v>11</v>
      </c>
      <c r="S43" s="1574">
        <f t="shared" si="12"/>
        <v>100</v>
      </c>
      <c r="T43" s="1573" t="s">
        <v>11</v>
      </c>
      <c r="U43" s="1574">
        <f t="shared" si="13"/>
        <v>100</v>
      </c>
      <c r="V43" s="1573" t="s">
        <v>11</v>
      </c>
      <c r="W43" s="1574">
        <f t="shared" si="14"/>
        <v>100</v>
      </c>
      <c r="X43" s="3184"/>
      <c r="Y43" s="3466"/>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66"/>
      <c r="Q44" s="3183">
        <f t="shared" si="11"/>
        <v>0</v>
      </c>
      <c r="R44" s="1568" t="s">
        <v>11</v>
      </c>
      <c r="S44" s="1569">
        <f t="shared" si="12"/>
        <v>100</v>
      </c>
      <c r="T44" s="1568" t="s">
        <v>11</v>
      </c>
      <c r="U44" s="1569">
        <f t="shared" si="13"/>
        <v>100</v>
      </c>
      <c r="V44" s="1568" t="s">
        <v>11</v>
      </c>
      <c r="W44" s="1569">
        <f t="shared" si="14"/>
        <v>100</v>
      </c>
      <c r="X44" s="1570"/>
      <c r="Y44" s="3466"/>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66"/>
      <c r="Q45" s="3185">
        <f t="shared" si="11"/>
        <v>0</v>
      </c>
      <c r="R45" s="1573" t="s">
        <v>11</v>
      </c>
      <c r="S45" s="1574">
        <f t="shared" si="12"/>
        <v>100</v>
      </c>
      <c r="T45" s="1573" t="s">
        <v>11</v>
      </c>
      <c r="U45" s="1574">
        <f t="shared" si="13"/>
        <v>100</v>
      </c>
      <c r="V45" s="1573" t="s">
        <v>11</v>
      </c>
      <c r="W45" s="1574">
        <f t="shared" si="14"/>
        <v>100</v>
      </c>
      <c r="X45" s="3184"/>
      <c r="Y45" s="3466"/>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1"/>
      <c r="Q46" s="3185">
        <f t="shared" si="11"/>
        <v>0</v>
      </c>
      <c r="R46" s="1573" t="s">
        <v>10</v>
      </c>
      <c r="S46" s="1574">
        <f t="shared" si="12"/>
        <v>100</v>
      </c>
      <c r="T46" s="1573" t="s">
        <v>10</v>
      </c>
      <c r="U46" s="1574">
        <f t="shared" si="13"/>
        <v>100</v>
      </c>
      <c r="V46" s="1573" t="s">
        <v>10</v>
      </c>
      <c r="W46" s="1574">
        <f t="shared" si="14"/>
        <v>100</v>
      </c>
      <c r="X46" s="3184"/>
      <c r="Y46" s="3521"/>
      <c r="Z46" s="3186">
        <f t="shared" si="15"/>
        <v>0</v>
      </c>
      <c r="AA46" s="3187">
        <f t="shared" si="3"/>
        <v>1</v>
      </c>
      <c r="AB46" s="3187">
        <f t="shared" si="4"/>
        <v>1</v>
      </c>
      <c r="AC46" s="3187">
        <f t="shared" si="5"/>
        <v>1</v>
      </c>
    </row>
    <row r="47" spans="1:29" ht="15">
      <c r="A47" s="607" t="s">
        <v>735</v>
      </c>
      <c r="B47" s="886"/>
      <c r="C47" s="2652" t="s">
        <v>9</v>
      </c>
      <c r="D47" s="2653"/>
      <c r="E47" s="2654">
        <v>24000</v>
      </c>
      <c r="F47" s="2655"/>
      <c r="G47" s="2656">
        <v>28000</v>
      </c>
      <c r="H47" s="2657"/>
      <c r="I47" s="2654">
        <v>30000</v>
      </c>
      <c r="J47" s="2657"/>
      <c r="K47" s="1606"/>
      <c r="L47" s="2145"/>
      <c r="M47" s="2146"/>
      <c r="N47" s="2135"/>
      <c r="O47" s="2146"/>
      <c r="P47" s="3427" t="str">
        <f>A47</f>
        <v>成交单价（元/平方米）</v>
      </c>
      <c r="Q47" s="3427"/>
      <c r="R47" s="3520">
        <f>E47</f>
        <v>24000</v>
      </c>
      <c r="S47" s="3520"/>
      <c r="T47" s="3520">
        <f>G47</f>
        <v>28000</v>
      </c>
      <c r="U47" s="3520"/>
      <c r="V47" s="3520">
        <f>I47</f>
        <v>30000</v>
      </c>
      <c r="W47" s="3520"/>
      <c r="X47" s="1559"/>
      <c r="Y47" s="1581"/>
      <c r="Z47" s="1559"/>
      <c r="AA47" s="1559"/>
      <c r="AB47" s="1559"/>
      <c r="AC47" s="1559"/>
    </row>
    <row r="48" spans="1:29" ht="15.75" thickBot="1">
      <c r="A48" s="615" t="s">
        <v>2693</v>
      </c>
      <c r="B48" s="887"/>
      <c r="C48" s="2658">
        <f>R49</f>
        <v>26644</v>
      </c>
      <c r="D48" s="2659"/>
      <c r="E48" s="2660">
        <f>R48</f>
        <v>24500</v>
      </c>
      <c r="F48" s="2660"/>
      <c r="G48" s="2658">
        <f>T48</f>
        <v>25984</v>
      </c>
      <c r="H48" s="2659"/>
      <c r="I48" s="2660">
        <f>V48</f>
        <v>29449</v>
      </c>
      <c r="J48" s="2659"/>
      <c r="K48" s="1607"/>
      <c r="L48" s="2145"/>
      <c r="M48" s="2146"/>
      <c r="N48" s="2146"/>
      <c r="O48" s="2146"/>
      <c r="P48" s="3427" t="str">
        <f>A48</f>
        <v>比较价格（元/平方米）</v>
      </c>
      <c r="Q48" s="3427"/>
      <c r="R48" s="3520">
        <f>IF(F1="售价",ROUND(PRODUCT(R47,AA7:AA46),0),ROUND(PRODUCT(R47,AA7:AA46),1))</f>
        <v>24500</v>
      </c>
      <c r="S48" s="3520"/>
      <c r="T48" s="3520">
        <f>IF(F1="售价",ROUND(PRODUCT(T47,AB7:AB46),0),ROUND(PRODUCT(T47,AB7:AB46),1))</f>
        <v>25984</v>
      </c>
      <c r="U48" s="3520"/>
      <c r="V48" s="3520">
        <f>IF(F1="售价",ROUND(PRODUCT(V47,AC7:AC46),0),ROUND(PRODUCT(V47,AC7:AC46),1))</f>
        <v>29449</v>
      </c>
      <c r="W48" s="3520"/>
      <c r="X48" s="1559"/>
      <c r="Y48" s="1559"/>
      <c r="Z48" s="1559"/>
      <c r="AA48" s="1559"/>
      <c r="AB48" s="1559"/>
      <c r="AC48" s="1559"/>
    </row>
    <row r="49" spans="1:29" ht="15.75" thickBot="1">
      <c r="A49" s="621" t="s">
        <v>2922</v>
      </c>
      <c r="B49" s="622"/>
      <c r="C49" s="2661">
        <f>R49</f>
        <v>26644</v>
      </c>
      <c r="D49" s="2661"/>
      <c r="E49" s="2661"/>
      <c r="F49" s="2661"/>
      <c r="G49" s="2661"/>
      <c r="H49" s="2661"/>
      <c r="I49" s="2661"/>
      <c r="J49" s="2661"/>
      <c r="K49" s="1608"/>
      <c r="L49" s="2145"/>
      <c r="M49" s="2146"/>
      <c r="N49" s="2146"/>
      <c r="O49" s="2146"/>
      <c r="P49" s="3424" t="str">
        <f>A49</f>
        <v>估价对象XX用房的比较价格（楼面单价，元/平方米）</v>
      </c>
      <c r="Q49" s="3425"/>
      <c r="R49" s="3519">
        <f>IF(F1="售价",ROUND(AVERAGE(R48:V48),0),ROUND(AVERAGE(R48:V48),1))</f>
        <v>26644</v>
      </c>
      <c r="S49" s="3519"/>
      <c r="T49" s="3519"/>
      <c r="U49" s="3519"/>
      <c r="V49" s="3519"/>
      <c r="W49" s="351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2.0833333333333259E-2</v>
      </c>
      <c r="F52" s="627" t="str">
        <f>IF(OR(E52&gt;=0.3,E52&lt;=-0.3),"超过30%","")</f>
        <v/>
      </c>
      <c r="G52" s="626">
        <f>IF(G47&lt;G48,G48/G47-1,G47/G48-1)</f>
        <v>7.7586206896551824E-2</v>
      </c>
      <c r="H52" s="627" t="str">
        <f>IF(OR(G52&gt;=0.3,G52&lt;=-0.3),"超过30%","")</f>
        <v/>
      </c>
      <c r="I52" s="626">
        <f>IF(I47&lt;I48,I48/I47-1,I47/I48-1)</f>
        <v>1.8710312744065982E-2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6.0571428571428498E-2</v>
      </c>
      <c r="F53" s="627" t="str">
        <f>IF(OR(E53&gt;=0.2,E53&lt;=-0.2),"超过20%","")</f>
        <v/>
      </c>
      <c r="G53" s="626">
        <f>IF(G48&lt;I48,I48/G48-1,G48/I48-1)</f>
        <v>0.13335129310344818</v>
      </c>
      <c r="H53" s="627" t="str">
        <f>IF(OR(G53&gt;=0.2,G53&lt;=-0.2),"超过20%","")</f>
        <v/>
      </c>
      <c r="I53" s="626">
        <f>IF(I48&lt;E48,E48/I48-1,I48/E48-1)</f>
        <v>0.20199999999999996</v>
      </c>
      <c r="J53" s="627" t="str">
        <f>IF(OR(I53&gt;=0.2,I53&lt;=-0.2),"超过20%","")</f>
        <v>超过20%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0.16666666666666674</v>
      </c>
      <c r="F54" s="627" t="str">
        <f>IF(OR(E54&gt;=0.3,E54&lt;=-0.3),"超过30%","")</f>
        <v/>
      </c>
      <c r="G54" s="626">
        <f>IF(G47&lt;I47,I47/G47-1,G47/I47-1)</f>
        <v>7.1428571428571397E-2</v>
      </c>
      <c r="H54" s="627" t="str">
        <f>IF(OR(G54&gt;=0.3,G54&lt;=-0.3),"超过30%","")</f>
        <v/>
      </c>
      <c r="I54" s="626">
        <f>IF(I47&lt;E47,E47/I47-1,I47/E47-1)</f>
        <v>0.25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3188" t="s">
        <v>3047</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2547</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3057</v>
      </c>
      <c r="D90" s="688" t="s">
        <v>3058</v>
      </c>
      <c r="E90" s="688" t="s">
        <v>3059</v>
      </c>
      <c r="F90" s="688" t="s">
        <v>3060</v>
      </c>
      <c r="G90" s="688" t="s">
        <v>2995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8" t="s">
        <v>3103</v>
      </c>
      <c r="D100" s="3188" t="s">
        <v>3085</v>
      </c>
      <c r="E100" s="318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t="s">
        <v>3061</v>
      </c>
      <c r="D105" s="688" t="s">
        <v>3062</v>
      </c>
      <c r="E105" s="718" t="s">
        <v>3063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t="s">
        <v>3064</v>
      </c>
      <c r="D107" s="718" t="s">
        <v>3065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t="s">
        <v>3066</v>
      </c>
      <c r="D109" s="688" t="s">
        <v>3067</v>
      </c>
      <c r="E109" s="688" t="s">
        <v>3068</v>
      </c>
      <c r="F109" s="718" t="s">
        <v>3069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t="s">
        <v>3070</v>
      </c>
      <c r="D114" s="688" t="s">
        <v>3071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t="s">
        <v>3072</v>
      </c>
      <c r="D116" s="688" t="s">
        <v>3073</v>
      </c>
      <c r="E116" s="688" t="s">
        <v>3074</v>
      </c>
      <c r="F116" s="688" t="s">
        <v>3075</v>
      </c>
      <c r="G116" s="688" t="s">
        <v>3076</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t="s">
        <v>3077</v>
      </c>
      <c r="D118" s="718" t="s">
        <v>3078</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f>C41</f>
        <v>259</v>
      </c>
      <c r="D120" s="688">
        <f>E41</f>
        <v>120</v>
      </c>
      <c r="E120" s="688">
        <f>G41</f>
        <v>140</v>
      </c>
      <c r="F120" s="688">
        <f>I41</f>
        <v>150</v>
      </c>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v>100</v>
      </c>
      <c r="D121" s="671">
        <v>98</v>
      </c>
      <c r="E121" s="671">
        <v>98</v>
      </c>
      <c r="F121" s="671">
        <v>98</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t="s">
        <v>3066</v>
      </c>
      <c r="D122" s="688" t="s">
        <v>3067</v>
      </c>
      <c r="E122" s="688" t="s">
        <v>3068</v>
      </c>
      <c r="F122" s="718" t="s">
        <v>3069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0" sqref="F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3034</v>
      </c>
      <c r="D1" s="3157" t="s">
        <v>3104</v>
      </c>
      <c r="E1" s="2412" t="s">
        <v>2376</v>
      </c>
      <c r="F1" s="2413">
        <f ca="1">J53</f>
        <v>35.090000000000003</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3823</v>
      </c>
      <c r="C2" s="2058"/>
      <c r="D2" s="2056"/>
      <c r="E2" s="2057"/>
      <c r="F2" s="2057"/>
      <c r="G2" s="1590"/>
      <c r="H2" s="2058"/>
      <c r="I2" s="2058"/>
      <c r="J2" s="2058"/>
      <c r="K2" s="2059"/>
      <c r="L2" s="2058"/>
      <c r="M2" s="2058"/>
    </row>
    <row r="3" spans="1:33" ht="18" customHeight="1" thickBot="1">
      <c r="A3" s="833" t="s">
        <v>1727</v>
      </c>
      <c r="B3" s="834">
        <f ca="1">IF(ISERROR(B2*10000/F43),0,ROUND(B2*10000/F43,0))</f>
        <v>15557</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226</v>
      </c>
      <c r="D5" s="2521" t="s">
        <v>2461</v>
      </c>
      <c r="E5" s="2515"/>
      <c r="F5" s="2516"/>
      <c r="G5" s="1592"/>
      <c r="H5" s="781">
        <v>1</v>
      </c>
      <c r="I5" s="782" t="s">
        <v>2458</v>
      </c>
      <c r="J5" s="55">
        <f ca="1">J6+J10+J12</f>
        <v>0</v>
      </c>
      <c r="K5" s="2521" t="s">
        <v>2461</v>
      </c>
      <c r="L5" s="2515"/>
      <c r="M5" s="2516"/>
    </row>
    <row r="6" spans="1:33" ht="18" customHeight="1">
      <c r="A6" s="1831" t="s">
        <v>1824</v>
      </c>
      <c r="B6" s="3503" t="s">
        <v>2463</v>
      </c>
      <c r="C6" s="783">
        <f ca="1">ROUND(F6*F8*F7*(1-F9)/10000,0)</f>
        <v>226</v>
      </c>
      <c r="D6" s="2522" t="s">
        <v>2462</v>
      </c>
      <c r="E6" s="784" t="s">
        <v>1738</v>
      </c>
      <c r="F6" s="785">
        <f ca="1">INDIRECT("'数据-取费表'!u"&amp;$G$1)</f>
        <v>2.8</v>
      </c>
      <c r="G6" s="1592"/>
      <c r="H6" s="2529" t="s">
        <v>2468</v>
      </c>
      <c r="I6" s="3503" t="s">
        <v>2463</v>
      </c>
      <c r="J6" s="783">
        <f ca="1">ROUND(M6*M8*M7*(1-M9)/10000,0)</f>
        <v>0</v>
      </c>
      <c r="K6" s="341" t="s">
        <v>1737</v>
      </c>
      <c r="L6" s="784" t="s">
        <v>1738</v>
      </c>
      <c r="M6" s="785">
        <f ca="1">INDIRECT("'数据-取费表'!z"&amp;$G$1)</f>
        <v>0</v>
      </c>
    </row>
    <row r="7" spans="1:33" ht="18" customHeight="1">
      <c r="A7" s="2525"/>
      <c r="B7" s="3504"/>
      <c r="C7" s="788"/>
      <c r="D7" s="789"/>
      <c r="E7" s="784" t="s">
        <v>1739</v>
      </c>
      <c r="F7" s="785">
        <f ca="1">IF(INDIRECT("'数据-取费表'!ah"&amp;$G$1)="",INDIRECT("'数据-取费表'!k"&amp;$G$1),INDIRECT("'数据-取费表'!ah"&amp;$G$1))</f>
        <v>2457.4699999999998</v>
      </c>
      <c r="G7" s="1592"/>
      <c r="H7" s="2514"/>
      <c r="I7" s="3504"/>
      <c r="J7" s="788"/>
      <c r="K7" s="789"/>
      <c r="L7" s="784" t="s">
        <v>1739</v>
      </c>
      <c r="M7" s="785">
        <f ca="1">F7</f>
        <v>2457.4699999999998</v>
      </c>
    </row>
    <row r="8" spans="1:33" ht="18" customHeight="1">
      <c r="A8" s="2518"/>
      <c r="B8" s="3505"/>
      <c r="C8" s="788"/>
      <c r="D8" s="789"/>
      <c r="E8" s="784" t="s">
        <v>1740</v>
      </c>
      <c r="F8" s="785">
        <f ca="1">INDIRECT("'数据-取费表'!ai"&amp;$G$1)</f>
        <v>365</v>
      </c>
      <c r="G8" s="1592"/>
      <c r="H8" s="2514"/>
      <c r="I8" s="3505"/>
      <c r="J8" s="788"/>
      <c r="K8" s="789"/>
      <c r="L8" s="784" t="s">
        <v>1740</v>
      </c>
      <c r="M8" s="785">
        <f ca="1">INDIRECT("'数据-取费表'!ai"&amp;$G$1)</f>
        <v>365</v>
      </c>
    </row>
    <row r="9" spans="1:33" ht="18" customHeight="1">
      <c r="A9" s="786"/>
      <c r="B9" s="3506"/>
      <c r="C9" s="788"/>
      <c r="D9" s="789"/>
      <c r="E9" s="784" t="s">
        <v>1741</v>
      </c>
      <c r="F9" s="794">
        <f ca="1">INDIRECT("'数据-取费表'!w"&amp;$G$1)</f>
        <v>0.1</v>
      </c>
      <c r="G9" s="1592"/>
      <c r="H9" s="2530"/>
      <c r="I9" s="3505"/>
      <c r="J9" s="788"/>
      <c r="K9" s="789"/>
      <c r="L9" s="795" t="s">
        <v>1741</v>
      </c>
      <c r="M9" s="796">
        <f ca="1">INDIRECT("'数据-取费表'!ab"&amp;$G$1)</f>
        <v>0</v>
      </c>
    </row>
    <row r="10" spans="1:33" ht="18" customHeight="1">
      <c r="A10" s="1831" t="s">
        <v>2466</v>
      </c>
      <c r="B10" s="2519" t="s">
        <v>2459</v>
      </c>
      <c r="C10" s="799">
        <f ca="1">ROUND(IF(F10="押一",C6/12*F11,IF(F10="押二",C6/12*2*F11,IF(F10="押三",C6/12*3*F11,C11*F11))),0)</f>
        <v>0</v>
      </c>
      <c r="D10" s="2526" t="s">
        <v>2964</v>
      </c>
      <c r="E10" s="2523" t="s">
        <v>2464</v>
      </c>
      <c r="F10" s="2646" t="s">
        <v>3107</v>
      </c>
      <c r="G10" s="1592"/>
      <c r="H10" s="2586" t="s">
        <v>2469</v>
      </c>
      <c r="I10" s="2591" t="s">
        <v>2459</v>
      </c>
      <c r="J10" s="783">
        <f ca="1">ROUND(IF(M10="押一",J6/12*M11,IF(M10="押二",J6/12*2*M11,IF(M10="押三",J6/12*3*M11,J11*M11))),0)</f>
        <v>0</v>
      </c>
      <c r="K10" s="2526" t="s">
        <v>2964</v>
      </c>
      <c r="L10" s="2523" t="s">
        <v>2464</v>
      </c>
      <c r="M10" s="2646"/>
    </row>
    <row r="11" spans="1:33" ht="18" customHeight="1">
      <c r="A11" s="790"/>
      <c r="B11" s="2520" t="s">
        <v>2573</v>
      </c>
      <c r="C11" s="2524"/>
      <c r="D11" s="789"/>
      <c r="E11" s="2523" t="s">
        <v>2465</v>
      </c>
      <c r="F11" s="796">
        <f ca="1">'数据-取费表'!B39</f>
        <v>1.4999999999999999E-2</v>
      </c>
      <c r="G11" s="1592"/>
      <c r="H11" s="2587"/>
      <c r="I11" s="2520" t="s">
        <v>2573</v>
      </c>
      <c r="J11" s="2524"/>
      <c r="K11" s="2588"/>
      <c r="L11" s="2523" t="s">
        <v>2465</v>
      </c>
      <c r="M11" s="2517">
        <f ca="1">'数据-取费表'!B39</f>
        <v>1.4999999999999999E-2</v>
      </c>
    </row>
    <row r="12" spans="1:33" ht="18" customHeight="1" thickBot="1">
      <c r="A12" s="2562" t="s">
        <v>2467</v>
      </c>
      <c r="B12" s="2563" t="s">
        <v>2460</v>
      </c>
      <c r="C12" s="2564"/>
      <c r="D12" s="2565"/>
      <c r="E12" s="2566"/>
      <c r="F12" s="2567"/>
      <c r="G12" s="1592"/>
      <c r="H12" s="2576" t="s">
        <v>2470</v>
      </c>
      <c r="I12" s="2589" t="s">
        <v>2460</v>
      </c>
      <c r="J12" s="2590"/>
      <c r="K12" s="2565"/>
      <c r="L12" s="2566"/>
      <c r="M12" s="2579"/>
    </row>
    <row r="13" spans="1:33" ht="18" customHeight="1" thickTop="1">
      <c r="A13" s="1830">
        <v>2</v>
      </c>
      <c r="B13" s="1828" t="s">
        <v>1742</v>
      </c>
      <c r="C13" s="792">
        <f ca="1">ROUND(C29*F13,0)</f>
        <v>977</v>
      </c>
      <c r="D13" s="1835" t="s">
        <v>2298</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635</v>
      </c>
      <c r="D14" s="1980" t="s">
        <v>1745</v>
      </c>
      <c r="E14" s="1981"/>
      <c r="F14" s="805"/>
      <c r="G14" s="1592"/>
      <c r="H14" s="1649" t="s">
        <v>1830</v>
      </c>
      <c r="I14" s="2232" t="s">
        <v>2826</v>
      </c>
      <c r="J14" s="53">
        <f ca="1">C29</f>
        <v>977</v>
      </c>
      <c r="K14" s="26"/>
      <c r="L14" s="801"/>
      <c r="M14" s="802"/>
    </row>
    <row r="15" spans="1:33" s="2065" customFormat="1" ht="18" customHeight="1" thickBot="1">
      <c r="A15" s="1648" t="s">
        <v>1885</v>
      </c>
      <c r="B15" s="784" t="s">
        <v>646</v>
      </c>
      <c r="C15" s="53">
        <f ca="1">ROUND(C14*F15,0)</f>
        <v>32</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97</v>
      </c>
      <c r="K16" s="1822" t="s">
        <v>1750</v>
      </c>
      <c r="L16" s="2511"/>
      <c r="M16" s="2516"/>
    </row>
    <row r="17" spans="1:33" s="2065" customFormat="1" ht="18" customHeight="1">
      <c r="A17" s="1648" t="s">
        <v>1887</v>
      </c>
      <c r="B17" s="784" t="s">
        <v>652</v>
      </c>
      <c r="C17" s="53">
        <f ca="1">ROUND(F17*(F43+INDIRECT("'数据-取费表'!S"&amp;$G$1))/10000,0)</f>
        <v>58</v>
      </c>
      <c r="D17" s="784" t="s">
        <v>1751</v>
      </c>
      <c r="E17" s="784" t="s">
        <v>1752</v>
      </c>
      <c r="F17" s="56">
        <f>'数据-取费表'!B35</f>
        <v>200</v>
      </c>
      <c r="G17" s="1593"/>
      <c r="H17" s="1649" t="s">
        <v>1830</v>
      </c>
      <c r="I17" s="784" t="s">
        <v>655</v>
      </c>
      <c r="J17" s="53">
        <f ca="1">ROUND(IF(项目基本情况!B11="自然人",J5*M17,J18+J19+J20),0)</f>
        <v>82</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735</v>
      </c>
      <c r="D19" s="261" t="s">
        <v>1757</v>
      </c>
      <c r="E19" s="1983"/>
      <c r="F19" s="56"/>
      <c r="G19" s="1592"/>
      <c r="H19" s="1648" t="s">
        <v>1885</v>
      </c>
      <c r="I19" s="784" t="s">
        <v>1758</v>
      </c>
      <c r="J19" s="53">
        <f ca="1">IF(K19="按租金收入计税",ROUND(J5*M19,1),ROUND(C29*F33*0.7,1))</f>
        <v>82.1</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1880</v>
      </c>
      <c r="I20" s="341" t="s">
        <v>1760</v>
      </c>
      <c r="J20" s="54">
        <f ca="1">ROUND(M20*M21/10000,0)</f>
        <v>0</v>
      </c>
      <c r="K20" s="814" t="s">
        <v>1761</v>
      </c>
      <c r="L20" s="784" t="s">
        <v>1762</v>
      </c>
      <c r="M20" s="640">
        <f>'数据-取费表'!B52</f>
        <v>3.5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2299</v>
      </c>
      <c r="E21" s="784" t="s">
        <v>1765</v>
      </c>
      <c r="F21" s="809">
        <f>'数据-取费表'!B38</f>
        <v>1.4999999999999999E-2</v>
      </c>
      <c r="G21" s="1593"/>
      <c r="H21" s="2531"/>
      <c r="I21" s="793"/>
      <c r="J21" s="69"/>
      <c r="K21" s="816"/>
      <c r="L21" s="784" t="s">
        <v>1766</v>
      </c>
      <c r="M21" s="785">
        <f ca="1">INDIRECT("'数据-取费表'!r"&amp;$G$1)</f>
        <v>1242.73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15</v>
      </c>
      <c r="K22" s="2509"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45</v>
      </c>
      <c r="D23" s="2596" t="str">
        <f>IF(F23&lt;=1,"(建造成本+管理费用)×利率×(建设周期÷2)","(建造成本+管理费用)×((1+利率)^(建设周期÷2)-1)")</f>
        <v>(建造成本+管理费用)×((1+利率)^(建设周期÷2)-1)</v>
      </c>
      <c r="E23" s="784" t="s">
        <v>1770</v>
      </c>
      <c r="F23" s="640">
        <f>'数据-取费表'!B20</f>
        <v>2.5</v>
      </c>
      <c r="G23" s="1593"/>
      <c r="H23" s="1649" t="s">
        <v>1890</v>
      </c>
      <c r="I23" s="784" t="s">
        <v>678</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8.9999999999999998E-4</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2822</v>
      </c>
      <c r="J25" s="792">
        <f ca="1">J5-J16</f>
        <v>-97</v>
      </c>
      <c r="K25" s="2573" t="s">
        <v>1777</v>
      </c>
      <c r="L25" s="2574"/>
      <c r="M25" s="2575"/>
    </row>
    <row r="26" spans="1:33" ht="18" customHeight="1">
      <c r="A26" s="1648" t="s">
        <v>1831</v>
      </c>
      <c r="B26" s="784" t="s">
        <v>2440</v>
      </c>
      <c r="C26" s="53">
        <f ca="1">ROUND((C19+C20)*F26,0)</f>
        <v>113</v>
      </c>
      <c r="D26" s="812" t="s">
        <v>1778</v>
      </c>
      <c r="E26" s="795" t="s">
        <v>1779</v>
      </c>
      <c r="F26" s="794">
        <f ca="1">INDIRECT("'数据-取费表'!q"&amp;$G$1)</f>
        <v>0.15</v>
      </c>
      <c r="G26" s="1592"/>
      <c r="H26" s="2527" t="s">
        <v>1780</v>
      </c>
      <c r="I26" s="2233" t="s">
        <v>2827</v>
      </c>
      <c r="J26" s="783">
        <f ca="1">IF(J5&lt;&gt;0,ROUND(J25*(1-((1+M28)/(1+M26))^M27)/(M26-M28),0),0)</f>
        <v>0</v>
      </c>
      <c r="K26" s="814" t="s">
        <v>1781</v>
      </c>
      <c r="L26" s="784" t="s">
        <v>2421</v>
      </c>
      <c r="M26" s="794">
        <f ca="1">INDIRECT("'数据-取费表'!I"&amp;$G$1)</f>
        <v>5.5E-2</v>
      </c>
    </row>
    <row r="27" spans="1:33" ht="18" customHeight="1">
      <c r="A27" s="1648" t="s">
        <v>1832</v>
      </c>
      <c r="B27" s="784" t="s">
        <v>685</v>
      </c>
      <c r="C27" s="53">
        <f ca="1">ROUND(F21*F26,4)</f>
        <v>2.3E-3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5.2400000000000002E-2</v>
      </c>
      <c r="D28" s="812" t="s">
        <v>2300</v>
      </c>
      <c r="E28" s="784" t="s">
        <v>1785</v>
      </c>
      <c r="F28" s="809">
        <f>'数据-取费表'!B41</f>
        <v>5.5000000000000007E-2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2301</v>
      </c>
      <c r="C29" s="2569">
        <f ca="1">ROUND((C19+C20+C23+C26)/(1-F21-C24-C27-C28),0)</f>
        <v>977</v>
      </c>
      <c r="D29" s="2570"/>
      <c r="E29" s="2571"/>
      <c r="F29" s="2572"/>
      <c r="G29" s="1593"/>
      <c r="H29" s="823" t="s">
        <v>1787</v>
      </c>
      <c r="I29" s="824" t="s">
        <v>1788</v>
      </c>
      <c r="J29" s="825">
        <f ca="1">ROUND(J26/(1+F40)^F41,0)</f>
        <v>0</v>
      </c>
      <c r="K29" s="826" t="s">
        <v>1789</v>
      </c>
      <c r="L29" s="827"/>
      <c r="M29" s="828">
        <f ca="1">INDIRECT("'数据-取费表'!k"&amp;$G$1)</f>
        <v>2457.4699999999998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58</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39.299999999999997</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11.8</v>
      </c>
      <c r="D32" s="1978" t="s">
        <v>1795</v>
      </c>
      <c r="E32" s="784" t="s">
        <v>1796</v>
      </c>
      <c r="F32" s="809">
        <f>'数据-取费表'!B41</f>
        <v>5.5000000000000007E-2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27.1</v>
      </c>
      <c r="D33" s="811" t="s">
        <v>3128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0.4</v>
      </c>
      <c r="D34" s="814" t="s">
        <v>1799</v>
      </c>
      <c r="E34" s="784" t="s">
        <v>1800</v>
      </c>
      <c r="F34" s="640">
        <f>'数据-取费表'!B52</f>
        <v>3.5</v>
      </c>
      <c r="G34" s="2063"/>
      <c r="H34" s="2066"/>
      <c r="I34" s="835" t="s">
        <v>1813</v>
      </c>
      <c r="J34" s="836"/>
      <c r="K34" s="2081"/>
      <c r="L34" s="2080"/>
      <c r="M34" s="2080"/>
    </row>
    <row r="35" spans="1:18" ht="18" customHeight="1">
      <c r="A35" s="815"/>
      <c r="B35" s="793"/>
      <c r="C35" s="69"/>
      <c r="D35" s="816"/>
      <c r="E35" s="784" t="s">
        <v>1801</v>
      </c>
      <c r="F35" s="785">
        <f ca="1">INDIRECT("'数据-取费表'!r"&amp;$G$1)</f>
        <v>1242.73</v>
      </c>
      <c r="G35" s="2063"/>
      <c r="H35" s="2066"/>
      <c r="I35" s="837" t="s">
        <v>1814</v>
      </c>
      <c r="J35" s="838">
        <f ca="1">ROUND(C13*J36,0)</f>
        <v>83</v>
      </c>
      <c r="K35" s="2079"/>
      <c r="L35" s="2078"/>
      <c r="M35" s="2078"/>
    </row>
    <row r="36" spans="1:18" ht="18" customHeight="1">
      <c r="A36" s="1649" t="s">
        <v>1889</v>
      </c>
      <c r="B36" s="784" t="s">
        <v>1802</v>
      </c>
      <c r="C36" s="53">
        <f ca="1">ROUND(C29*F36,1)</f>
        <v>14.7</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1.5</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2.2999999999999998</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168</v>
      </c>
      <c r="D39" s="2573" t="s">
        <v>1806</v>
      </c>
      <c r="E39" s="2574"/>
      <c r="F39" s="2575"/>
      <c r="G39" s="2063"/>
      <c r="H39" s="2078"/>
      <c r="I39" s="837" t="s">
        <v>1818</v>
      </c>
      <c r="J39" s="845">
        <f ca="1">ROUND(J35/C39,3)</f>
        <v>0.49399999999999999</v>
      </c>
      <c r="K39" s="2084"/>
      <c r="L39" s="2078"/>
      <c r="M39" s="2078"/>
    </row>
    <row r="40" spans="1:18" ht="18" customHeight="1">
      <c r="A40" s="781" t="s">
        <v>1895</v>
      </c>
      <c r="B40" s="2233" t="s">
        <v>2302</v>
      </c>
      <c r="C40" s="783">
        <f ca="1">ROUND(C39*(1-((1+F42)/(1+F40))^F41)/(F40-F42),0)</f>
        <v>3823</v>
      </c>
      <c r="D40" s="814" t="s">
        <v>1807</v>
      </c>
      <c r="E40" s="784" t="s">
        <v>2421</v>
      </c>
      <c r="F40" s="794">
        <f ca="1">INDIRECT("'数据-取费表'!I"&amp;$G$1)</f>
        <v>5.5E-2</v>
      </c>
      <c r="G40" s="2063"/>
      <c r="H40" s="2063"/>
      <c r="I40" s="837" t="s">
        <v>1819</v>
      </c>
      <c r="J40" s="845">
        <f ca="1">1-J39</f>
        <v>0.50600000000000001</v>
      </c>
      <c r="K40" s="2084"/>
      <c r="L40" s="2063"/>
      <c r="M40" s="2063"/>
    </row>
    <row r="41" spans="1:18" ht="18" customHeight="1">
      <c r="A41" s="786"/>
      <c r="B41" s="787"/>
      <c r="C41" s="788"/>
      <c r="D41" s="821" t="s">
        <v>1808</v>
      </c>
      <c r="E41" s="784" t="s">
        <v>2954</v>
      </c>
      <c r="F41" s="822">
        <f ca="1">IF(INDIRECT("'数据-取费表'!af"&amp;$G$1)=0,INDIRECT("'数据-取费表'!ae"&amp;$G$1),INDIRECT("'数据-取费表'!af"&amp;$G$1))</f>
        <v>35.090000000000003</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0.25600000000000001</v>
      </c>
      <c r="K42" s="2083"/>
      <c r="L42" s="1989"/>
      <c r="M42" s="1989"/>
    </row>
    <row r="43" spans="1:18" ht="18" customHeight="1" thickBot="1">
      <c r="A43" s="823" t="s">
        <v>1787</v>
      </c>
      <c r="B43" s="824" t="s">
        <v>1810</v>
      </c>
      <c r="C43" s="825">
        <f ca="1">ROUND(C40*10000/F43,0)</f>
        <v>15557</v>
      </c>
      <c r="D43" s="826" t="s">
        <v>1811</v>
      </c>
      <c r="E43" s="827" t="s">
        <v>1812</v>
      </c>
      <c r="F43" s="828">
        <f ca="1">INDIRECT("'数据-取费表'!k"&amp;$G$1)</f>
        <v>2457.4699999999998</v>
      </c>
      <c r="G43" s="2063"/>
      <c r="H43" s="1989"/>
      <c r="I43" s="847" t="s">
        <v>1822</v>
      </c>
      <c r="J43" s="848">
        <f ca="1">1-J42</f>
        <v>0.74399999999999999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-4085</v>
      </c>
      <c r="D46" s="2086"/>
      <c r="E46" s="2086"/>
      <c r="F46" s="2086"/>
      <c r="I46" s="2379" t="s">
        <v>2344</v>
      </c>
      <c r="J46" s="2380"/>
      <c r="K46" s="2381"/>
      <c r="L46" s="2382">
        <f>IF(OR(M47="住宅",D1="土地（套用方法）"),0,IF(L48&gt;J51,L60,J60))</f>
        <v>0</v>
      </c>
      <c r="O46" s="2419" t="s">
        <v>2412</v>
      </c>
      <c r="P46" s="1592"/>
      <c r="Q46" s="1604"/>
      <c r="R46" s="1592"/>
    </row>
    <row r="47" spans="1:18" s="2060" customFormat="1" ht="18" customHeight="1" thickBot="1">
      <c r="A47" s="2373">
        <v>1</v>
      </c>
      <c r="B47" s="2374" t="s">
        <v>634</v>
      </c>
      <c r="C47" s="2599">
        <f ca="1">C48+C52+C54</f>
        <v>0</v>
      </c>
      <c r="D47" s="2086"/>
      <c r="E47" s="2086"/>
      <c r="F47" s="2086"/>
      <c r="I47" s="2383" t="s">
        <v>2345</v>
      </c>
      <c r="J47" s="2388" t="s">
        <v>3086</v>
      </c>
      <c r="K47" s="2389" t="s">
        <v>2351</v>
      </c>
      <c r="L47" s="2390">
        <f ca="1">INDIRECT("'数据-取费表'!d"&amp;$G$1)</f>
        <v>40</v>
      </c>
      <c r="M47" s="1604" t="str">
        <f>IF(ISNUMBER(FIND("住宅",C1)),"住宅","非住宅")</f>
        <v>非住宅</v>
      </c>
      <c r="O47" s="2420" t="s">
        <v>2377</v>
      </c>
      <c r="P47" s="2421" t="s">
        <v>2378</v>
      </c>
      <c r="Q47" s="2422" t="s">
        <v>2379</v>
      </c>
      <c r="R47" s="2421" t="s">
        <v>2380</v>
      </c>
    </row>
    <row r="48" spans="1:18" s="2060" customFormat="1" ht="18" customHeight="1" thickBot="1">
      <c r="A48" s="2667" t="s">
        <v>2537</v>
      </c>
      <c r="B48" s="2668" t="s">
        <v>2538</v>
      </c>
      <c r="C48" s="2375">
        <f ca="1">ROUND(F48*F50*F49*(1-F51)/10000,0)</f>
        <v>0</v>
      </c>
      <c r="D48" s="2376" t="s">
        <v>635</v>
      </c>
      <c r="E48" s="2377" t="s">
        <v>2297</v>
      </c>
      <c r="F48" s="2378"/>
      <c r="G48" s="2091"/>
      <c r="I48" s="2384" t="s">
        <v>2346</v>
      </c>
      <c r="J48" s="2391" t="s">
        <v>2352</v>
      </c>
      <c r="K48" s="2392" t="s">
        <v>2353</v>
      </c>
      <c r="L48" s="2393">
        <f ca="1">INDIRECT("'数据-取费表'!f"&amp;$G$1)</f>
        <v>37.590000000000003</v>
      </c>
      <c r="O48" s="2423" t="s">
        <v>2381</v>
      </c>
      <c r="P48" s="2424" t="s">
        <v>2407</v>
      </c>
      <c r="Q48" s="2425">
        <f ca="1">C40+J29</f>
        <v>3823</v>
      </c>
      <c r="R48" s="2424" t="s">
        <v>2382</v>
      </c>
    </row>
    <row r="49" spans="1:18" s="2060" customFormat="1" ht="18" customHeight="1" thickBot="1">
      <c r="A49" s="786"/>
      <c r="B49" s="787"/>
      <c r="C49" s="788"/>
      <c r="D49" s="789"/>
      <c r="E49" s="784" t="s">
        <v>1739</v>
      </c>
      <c r="F49" s="785">
        <f ca="1">F7</f>
        <v>2457.4699999999998</v>
      </c>
      <c r="G49" s="2091"/>
      <c r="H49" s="2094"/>
      <c r="I49" s="2384" t="s">
        <v>2347</v>
      </c>
      <c r="J49" s="2394"/>
      <c r="K49" s="2395" t="s">
        <v>2354</v>
      </c>
      <c r="L49" s="2396"/>
      <c r="O49" s="2423" t="s">
        <v>2383</v>
      </c>
      <c r="P49" s="2424" t="s">
        <v>2408</v>
      </c>
      <c r="Q49" s="2425" t="str">
        <f ca="1">J60</f>
        <v>0</v>
      </c>
      <c r="R49" s="2424" t="s">
        <v>2384</v>
      </c>
    </row>
    <row r="50" spans="1:18" s="2060" customFormat="1" ht="18" customHeight="1" thickBot="1">
      <c r="A50" s="786"/>
      <c r="B50" s="787"/>
      <c r="C50" s="788"/>
      <c r="D50" s="789"/>
      <c r="E50" s="784" t="s">
        <v>1740</v>
      </c>
      <c r="F50" s="785">
        <f ca="1">F8</f>
        <v>365</v>
      </c>
      <c r="G50" s="2096"/>
      <c r="H50" s="2094"/>
      <c r="I50" s="2384" t="s">
        <v>2348</v>
      </c>
      <c r="J50" s="2397">
        <f>SUMPRODUCT((I63:I65=J47)*(J62:L62=J48)*(J63:L65))</f>
        <v>60</v>
      </c>
      <c r="K50" s="2395" t="s">
        <v>2355</v>
      </c>
      <c r="L50" s="2396"/>
      <c r="O50" s="2426" t="s">
        <v>2385</v>
      </c>
      <c r="P50" s="2424" t="s">
        <v>2409</v>
      </c>
      <c r="Q50" s="2425">
        <f ca="1">C29</f>
        <v>977</v>
      </c>
      <c r="R50" s="2424" t="s">
        <v>2382</v>
      </c>
    </row>
    <row r="51" spans="1:18" s="2060" customFormat="1" ht="18" customHeight="1" thickBot="1">
      <c r="A51" s="786"/>
      <c r="B51" s="787"/>
      <c r="C51" s="788"/>
      <c r="D51" s="789"/>
      <c r="E51" s="784" t="s">
        <v>639</v>
      </c>
      <c r="F51" s="2372"/>
      <c r="H51" s="2094"/>
      <c r="I51" s="2385" t="s">
        <v>2349</v>
      </c>
      <c r="J51" s="2398">
        <f>IF(J49="",J50,J49+J50-YEAR('数据-取费表'!B2))</f>
        <v>60</v>
      </c>
      <c r="K51" s="2384" t="s">
        <v>2356</v>
      </c>
      <c r="L51" s="2399">
        <f ca="1">ROUND(-PV(INDIRECT("'数据-取费表'!h"&amp;$G$1),L48,(C39-C13*J36),0),0)</f>
        <v>1428</v>
      </c>
      <c r="O51" s="2426" t="s">
        <v>2386</v>
      </c>
      <c r="P51" s="2424" t="s">
        <v>2387</v>
      </c>
      <c r="Q51" s="2427" t="e">
        <f ca="1">J58</f>
        <v>#VALUE!</v>
      </c>
      <c r="R51" s="2428"/>
    </row>
    <row r="52" spans="1:18" s="2060" customFormat="1" ht="18" customHeight="1" thickBot="1">
      <c r="A52" s="781" t="s">
        <v>2536</v>
      </c>
      <c r="B52" s="2519" t="s">
        <v>2459</v>
      </c>
      <c r="C52" s="799">
        <f ca="1">ROUND(IF(F52="押一",C48/12*F11,IF(F52="押二",C48/12*2*F11,IF(F52="押三",C48/12*3*F11,C53*F11))),0)</f>
        <v>0</v>
      </c>
      <c r="D52" s="2526" t="s">
        <v>2965</v>
      </c>
      <c r="E52" s="2523" t="s">
        <v>2464</v>
      </c>
      <c r="F52" s="2646"/>
      <c r="I52" s="2386" t="s">
        <v>2423</v>
      </c>
      <c r="J52" s="2400"/>
      <c r="K52" s="2386" t="s">
        <v>2422</v>
      </c>
      <c r="L52" s="2400"/>
      <c r="O52" s="2426" t="s">
        <v>2388</v>
      </c>
      <c r="P52" s="2424" t="s">
        <v>2389</v>
      </c>
      <c r="Q52" s="2427">
        <f>J52</f>
        <v>0</v>
      </c>
      <c r="R52" s="2428"/>
    </row>
    <row r="53" spans="1:18" s="2060" customFormat="1" ht="39.75" customHeight="1" thickBot="1">
      <c r="A53" s="786"/>
      <c r="B53" s="2520" t="s">
        <v>2573</v>
      </c>
      <c r="C53" s="2524"/>
      <c r="D53" s="2526"/>
      <c r="E53" s="2523"/>
      <c r="F53" s="800"/>
      <c r="I53" s="2387" t="s">
        <v>2350</v>
      </c>
      <c r="J53" s="2401">
        <f ca="1">IF(M47="住宅",J51,IF(D1="——",MIN(J51,L48),IF(D1="土地（套用方法）",MIN(J51,L48-'数据-取费表'!B20))))</f>
        <v>35.090000000000003</v>
      </c>
      <c r="K53" s="3522" t="s">
        <v>2956</v>
      </c>
      <c r="L53" s="3523"/>
      <c r="O53" s="2426" t="s">
        <v>2390</v>
      </c>
      <c r="P53" s="2424" t="s">
        <v>2391</v>
      </c>
      <c r="Q53" s="2425">
        <f ca="1">J53</f>
        <v>35.090000000000003</v>
      </c>
      <c r="R53" s="2424" t="s">
        <v>2392</v>
      </c>
    </row>
    <row r="54" spans="1:18" s="2060" customFormat="1" ht="18" customHeight="1" thickBot="1">
      <c r="A54" s="2562" t="s">
        <v>2467</v>
      </c>
      <c r="B54" s="2563" t="s">
        <v>2460</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2393</v>
      </c>
      <c r="P54" s="2424" t="s">
        <v>2410</v>
      </c>
      <c r="Q54" s="2425">
        <f ca="1">Q48+Q49</f>
        <v>3823</v>
      </c>
      <c r="R54" s="2428" t="s">
        <v>2394</v>
      </c>
    </row>
    <row r="55" spans="1:18" s="2060" customFormat="1" ht="18" customHeight="1" thickTop="1" thickBot="1">
      <c r="A55" s="797">
        <v>2</v>
      </c>
      <c r="B55" s="798" t="s">
        <v>643</v>
      </c>
      <c r="C55" s="799">
        <f ca="1">C13</f>
        <v>977</v>
      </c>
      <c r="D55" s="795"/>
      <c r="E55" s="795"/>
      <c r="F55" s="800"/>
      <c r="I55" s="3128" t="s">
        <v>2357</v>
      </c>
      <c r="J55" s="3127" t="e">
        <f ca="1">ROUND(IF(J47="钢混",J57/J50,1-(1-2%)*(J50-J57)/J50),3)</f>
        <v>#VALUE!</v>
      </c>
      <c r="K55" s="2402" t="s">
        <v>2358</v>
      </c>
      <c r="L55" s="2403"/>
      <c r="O55" s="2429" t="s">
        <v>2413</v>
      </c>
      <c r="P55" s="1592"/>
      <c r="Q55" s="1604"/>
      <c r="R55" s="1592"/>
    </row>
    <row r="56" spans="1:18" s="2060" customFormat="1" ht="42.75" customHeight="1" thickBot="1">
      <c r="A56" s="1650"/>
      <c r="B56" s="2232" t="s">
        <v>2303</v>
      </c>
      <c r="C56" s="53">
        <f ca="1">C29</f>
        <v>977</v>
      </c>
      <c r="D56" s="2664"/>
      <c r="E56" s="784"/>
      <c r="F56" s="809"/>
      <c r="I56" s="2404" t="s">
        <v>2359</v>
      </c>
      <c r="J56" s="3151" t="s">
        <v>1678</v>
      </c>
      <c r="K56" s="2384" t="s">
        <v>2364</v>
      </c>
      <c r="L56" s="2393" t="str">
        <f ca="1">IF(L48&lt;J51,"——",L48-J51)</f>
        <v>——</v>
      </c>
      <c r="O56" s="2420" t="s">
        <v>2377</v>
      </c>
      <c r="P56" s="2421" t="s">
        <v>2378</v>
      </c>
      <c r="Q56" s="2422" t="s">
        <v>2379</v>
      </c>
      <c r="R56" s="2421" t="s">
        <v>2380</v>
      </c>
    </row>
    <row r="57" spans="1:18" s="2060" customFormat="1" ht="28.5" customHeight="1" thickBot="1">
      <c r="A57" s="797" t="s">
        <v>1748</v>
      </c>
      <c r="B57" s="798" t="s">
        <v>650</v>
      </c>
      <c r="C57" s="799">
        <f ca="1">ROUND(C58+C63+C64+C65,0)</f>
        <v>17</v>
      </c>
      <c r="D57" s="26" t="s">
        <v>1750</v>
      </c>
      <c r="E57" s="2665"/>
      <c r="F57" s="56"/>
      <c r="I57" s="2405" t="s">
        <v>2360</v>
      </c>
      <c r="J57" s="2407" t="str">
        <f ca="1">IF(OR(M47="住宅",J51&lt;L48,J56="是"),"——",J51-L48)</f>
        <v>——</v>
      </c>
      <c r="K57" s="2384" t="s">
        <v>2365</v>
      </c>
      <c r="L57" s="2393" t="str">
        <f ca="1">IF(L48&lt;J51,"——",IF(L55="比较法",L49,IF(L55="基准地价",L50,L51)))</f>
        <v>——</v>
      </c>
      <c r="O57" s="2423" t="s">
        <v>2381</v>
      </c>
      <c r="P57" s="2424" t="s">
        <v>2411</v>
      </c>
      <c r="Q57" s="2425">
        <f ca="1">C40+J29</f>
        <v>3823</v>
      </c>
      <c r="R57" s="2424" t="s">
        <v>2382</v>
      </c>
    </row>
    <row r="58" spans="1:18" s="2060" customFormat="1" ht="28.5" customHeight="1" thickBot="1">
      <c r="A58" s="1649" t="s">
        <v>1824</v>
      </c>
      <c r="B58" s="784" t="s">
        <v>655</v>
      </c>
      <c r="C58" s="53">
        <f ca="1">ROUND(IF(项目基本情况!B11="自然人",C47*F58,C59+C60+C61),1)</f>
        <v>0.4</v>
      </c>
      <c r="D58" s="2663" t="s">
        <v>656</v>
      </c>
      <c r="E58" s="2664" t="s">
        <v>689</v>
      </c>
      <c r="F58" s="810" t="str">
        <f ca="1">IF(项目基本情况!B11="企业","",IF(INDIRECT("'数据-取费表'!c"&amp;$G$1)="住宅",5%,IF(F48*F49*F50/12/(1+'数据-取费表'!C42)&gt;20000,12%,7%)))</f>
        <v/>
      </c>
      <c r="I58" s="2405" t="s">
        <v>2361</v>
      </c>
      <c r="J58" s="3129" t="e">
        <f ca="1">IF(J55&lt;0.4,0.4,J55)</f>
        <v>#VALUE!</v>
      </c>
      <c r="K58" s="2384" t="s">
        <v>2366</v>
      </c>
      <c r="L58" s="2393" t="e">
        <f ca="1">ROUND(POWER(1+L52,L47-L48)*(POWER(1+L52,L48)-1)/(POWER(1+L52,L47)-1),4)</f>
        <v>#DIV/0!</v>
      </c>
      <c r="O58" s="2423" t="s">
        <v>2383</v>
      </c>
      <c r="P58" s="2424" t="s">
        <v>2414</v>
      </c>
      <c r="Q58" s="2425">
        <f ca="1">L60</f>
        <v>0</v>
      </c>
      <c r="R58" s="2428" t="s">
        <v>2416</v>
      </c>
    </row>
    <row r="59" spans="1:18" s="2060" customFormat="1" ht="28.5" customHeight="1" thickBot="1">
      <c r="A59" s="1648" t="s">
        <v>1831</v>
      </c>
      <c r="B59" s="784" t="s">
        <v>659</v>
      </c>
      <c r="C59" s="53">
        <f ca="1">ROUND(C47*F59/1.05,1)</f>
        <v>0</v>
      </c>
      <c r="D59" s="2664" t="s">
        <v>1756</v>
      </c>
      <c r="E59" s="784" t="s">
        <v>1747</v>
      </c>
      <c r="F59" s="809">
        <f t="shared" ref="F59:F65" si="0">F32</f>
        <v>5.5000000000000007E-2</v>
      </c>
      <c r="I59" s="2405" t="s">
        <v>2362</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2385</v>
      </c>
      <c r="P59" s="2424" t="s">
        <v>2415</v>
      </c>
      <c r="Q59" s="2425">
        <f>IF(L55="比较法",L49,IF(L55="基准地价",L50,0))</f>
        <v>0</v>
      </c>
      <c r="R59" s="2424" t="s">
        <v>2382</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2363</v>
      </c>
      <c r="J60" s="2408" t="str">
        <f ca="1">IF(OR(M47="住宅",J51&lt;L48,J56="是"),"0",ROUND(J59/(1+J52)^J53,0))</f>
        <v>0</v>
      </c>
      <c r="K60" s="2409" t="s">
        <v>2368</v>
      </c>
      <c r="L60" s="2408">
        <f ca="1">IF(OR(M47="住宅",L48&lt;J51),0,ROUND(L57*(L58/L59-1),0))</f>
        <v>0</v>
      </c>
      <c r="O60" s="2426" t="s">
        <v>2386</v>
      </c>
      <c r="P60" s="2424" t="s">
        <v>2395</v>
      </c>
      <c r="Q60" s="2427">
        <f>L52</f>
        <v>0</v>
      </c>
      <c r="R60" s="2428"/>
    </row>
    <row r="61" spans="1:18" s="2060" customFormat="1" ht="18" customHeight="1" thickBot="1">
      <c r="A61" s="1651" t="s">
        <v>1833</v>
      </c>
      <c r="B61" s="341" t="s">
        <v>667</v>
      </c>
      <c r="C61" s="54">
        <f ca="1">ROUND(F61*F62/10000,1)</f>
        <v>0.4</v>
      </c>
      <c r="D61" s="814" t="s">
        <v>668</v>
      </c>
      <c r="E61" s="784" t="s">
        <v>669</v>
      </c>
      <c r="F61" s="640">
        <f t="shared" si="0"/>
        <v>3.5</v>
      </c>
      <c r="K61" s="2087"/>
      <c r="O61" s="2426" t="s">
        <v>2388</v>
      </c>
      <c r="P61" s="2424" t="s">
        <v>2396</v>
      </c>
      <c r="Q61" s="2425" t="e">
        <f ca="1">L58</f>
        <v>#DIV/0!</v>
      </c>
      <c r="R61" s="2428" t="s">
        <v>2397</v>
      </c>
    </row>
    <row r="62" spans="1:18" s="2060" customFormat="1" ht="15.75" thickBot="1">
      <c r="A62" s="815"/>
      <c r="B62" s="793"/>
      <c r="C62" s="69"/>
      <c r="D62" s="816"/>
      <c r="E62" s="784" t="s">
        <v>673</v>
      </c>
      <c r="F62" s="785">
        <f t="shared" ca="1" si="0"/>
        <v>1242.73</v>
      </c>
      <c r="I62" s="2410" t="s">
        <v>2369</v>
      </c>
      <c r="J62" s="2411" t="s">
        <v>2370</v>
      </c>
      <c r="K62" s="2411" t="s">
        <v>2371</v>
      </c>
      <c r="L62" s="2411" t="s">
        <v>2352</v>
      </c>
      <c r="M62" s="3130" t="s">
        <v>2931</v>
      </c>
      <c r="O62" s="2426" t="s">
        <v>2390</v>
      </c>
      <c r="P62" s="2424" t="str">
        <f>K59</f>
        <v>建设期及建筑物耐用年限下的土地年期修正系数Kn</v>
      </c>
      <c r="Q62" s="2425" t="e">
        <f ca="1">L59</f>
        <v>#DIV/0!</v>
      </c>
      <c r="R62" s="2428" t="s">
        <v>2399</v>
      </c>
    </row>
    <row r="63" spans="1:18" s="2060" customFormat="1" ht="15.75" thickBot="1">
      <c r="A63" s="1649" t="s">
        <v>1889</v>
      </c>
      <c r="B63" s="784" t="s">
        <v>675</v>
      </c>
      <c r="C63" s="53">
        <f ca="1">ROUND(C56*F63,1)</f>
        <v>14.7</v>
      </c>
      <c r="D63" s="2664" t="s">
        <v>1803</v>
      </c>
      <c r="E63" s="784" t="s">
        <v>1747</v>
      </c>
      <c r="F63" s="817">
        <f t="shared" ca="1" si="0"/>
        <v>1.4999999999999999E-2</v>
      </c>
      <c r="I63" s="2410" t="s">
        <v>2372</v>
      </c>
      <c r="J63" s="2411">
        <v>70</v>
      </c>
      <c r="K63" s="2411">
        <v>50</v>
      </c>
      <c r="L63" s="2411">
        <v>80</v>
      </c>
      <c r="M63" s="3131">
        <v>0.02</v>
      </c>
      <c r="O63" s="2423" t="s">
        <v>2393</v>
      </c>
      <c r="P63" s="2424" t="s">
        <v>2410</v>
      </c>
      <c r="Q63" s="2425">
        <f ca="1">Q57+Q58</f>
        <v>3823</v>
      </c>
      <c r="R63" s="2428" t="s">
        <v>2394</v>
      </c>
    </row>
    <row r="64" spans="1:18" s="2060" customFormat="1" ht="16.5" thickBot="1">
      <c r="A64" s="1649" t="s">
        <v>1890</v>
      </c>
      <c r="B64" s="784" t="s">
        <v>678</v>
      </c>
      <c r="C64" s="53">
        <f ca="1">ROUND(C55*F64,1)</f>
        <v>1.5</v>
      </c>
      <c r="D64" s="2664" t="s">
        <v>679</v>
      </c>
      <c r="E64" s="784" t="s">
        <v>1747</v>
      </c>
      <c r="F64" s="818">
        <f t="shared" ca="1" si="0"/>
        <v>1.5E-3</v>
      </c>
      <c r="I64" s="2410" t="s">
        <v>2373</v>
      </c>
      <c r="J64" s="2411">
        <v>50</v>
      </c>
      <c r="K64" s="2411">
        <v>35</v>
      </c>
      <c r="L64" s="2411">
        <v>60</v>
      </c>
      <c r="M64" s="3132">
        <v>0</v>
      </c>
      <c r="O64" s="2429" t="s">
        <v>2417</v>
      </c>
      <c r="P64" s="1592"/>
      <c r="Q64" s="1604"/>
      <c r="R64" s="1592"/>
    </row>
    <row r="65" spans="1:18" s="2060" customFormat="1" ht="15.75" thickBot="1">
      <c r="A65" s="1649" t="s">
        <v>1891</v>
      </c>
      <c r="B65" s="784" t="s">
        <v>665</v>
      </c>
      <c r="C65" s="53">
        <f ca="1">ROUND(C47*F65,1)</f>
        <v>0</v>
      </c>
      <c r="D65" s="2664" t="s">
        <v>682</v>
      </c>
      <c r="E65" s="784" t="s">
        <v>1747</v>
      </c>
      <c r="F65" s="794">
        <f t="shared" ca="1" si="0"/>
        <v>0.01</v>
      </c>
      <c r="I65" s="2410" t="s">
        <v>2374</v>
      </c>
      <c r="J65" s="2411">
        <v>40</v>
      </c>
      <c r="K65" s="2411">
        <v>30</v>
      </c>
      <c r="L65" s="2411">
        <v>50</v>
      </c>
      <c r="M65" s="3131">
        <v>0.02</v>
      </c>
      <c r="O65" s="2420" t="s">
        <v>2377</v>
      </c>
      <c r="P65" s="2421" t="s">
        <v>2378</v>
      </c>
      <c r="Q65" s="2422" t="s">
        <v>2379</v>
      </c>
      <c r="R65" s="2421" t="s">
        <v>2380</v>
      </c>
    </row>
    <row r="66" spans="1:18" s="2060" customFormat="1" ht="24.75" thickBot="1">
      <c r="A66" s="797" t="s">
        <v>1776</v>
      </c>
      <c r="B66" s="3036" t="s">
        <v>2822</v>
      </c>
      <c r="C66" s="799">
        <f ca="1">C47-C57</f>
        <v>-17</v>
      </c>
      <c r="D66" s="2663" t="s">
        <v>699</v>
      </c>
      <c r="E66" s="2662"/>
      <c r="F66" s="820"/>
      <c r="K66" s="2087"/>
      <c r="O66" s="2423" t="s">
        <v>2381</v>
      </c>
      <c r="P66" s="2424" t="s">
        <v>2411</v>
      </c>
      <c r="Q66" s="2425">
        <f ca="1">C40+J29</f>
        <v>3823</v>
      </c>
      <c r="R66" s="2424" t="s">
        <v>2382</v>
      </c>
    </row>
    <row r="67" spans="1:18" s="2060" customFormat="1" ht="20.25" thickBot="1">
      <c r="A67" s="781" t="s">
        <v>1780</v>
      </c>
      <c r="B67" s="2233" t="s">
        <v>2302</v>
      </c>
      <c r="C67" s="783">
        <f ca="1">ROUND(C66*(1-((1+F69)/(1+F67))^F68)/(F67-F69),0)</f>
        <v>-262</v>
      </c>
      <c r="D67" s="814" t="s">
        <v>703</v>
      </c>
      <c r="E67" s="784" t="s">
        <v>704</v>
      </c>
      <c r="F67" s="794">
        <f ca="1">F40</f>
        <v>5.5E-2</v>
      </c>
      <c r="K67" s="2087"/>
      <c r="O67" s="2423" t="s">
        <v>2383</v>
      </c>
      <c r="P67" s="2424" t="s">
        <v>2414</v>
      </c>
      <c r="Q67" s="2425">
        <f ca="1">L60</f>
        <v>0</v>
      </c>
      <c r="R67" s="2428" t="s">
        <v>2416</v>
      </c>
    </row>
    <row r="68" spans="1:18" ht="21.75" thickBot="1">
      <c r="A68" s="786"/>
      <c r="B68" s="787"/>
      <c r="C68" s="788"/>
      <c r="D68" s="821" t="s">
        <v>1808</v>
      </c>
      <c r="E68" s="784" t="s">
        <v>1784</v>
      </c>
      <c r="F68" s="822">
        <f ca="1">F41</f>
        <v>35.090000000000003</v>
      </c>
      <c r="O68" s="2426" t="s">
        <v>2385</v>
      </c>
      <c r="P68" s="2424" t="s">
        <v>2415</v>
      </c>
      <c r="Q68" s="2430">
        <f ca="1">L51</f>
        <v>1428</v>
      </c>
      <c r="R68" s="2431" t="s">
        <v>2418</v>
      </c>
    </row>
    <row r="69" spans="1:18" ht="20.25" thickBot="1">
      <c r="A69" s="790"/>
      <c r="B69" s="791"/>
      <c r="C69" s="792"/>
      <c r="D69" s="816"/>
      <c r="E69" s="784" t="s">
        <v>709</v>
      </c>
      <c r="F69" s="2372"/>
      <c r="O69" s="2426" t="s">
        <v>2386</v>
      </c>
      <c r="P69" s="2432" t="s">
        <v>2400</v>
      </c>
      <c r="Q69" s="2425">
        <f ca="1">ROUND(Q70-Q71*Q72,0)</f>
        <v>85</v>
      </c>
      <c r="R69" s="2428"/>
    </row>
    <row r="70" spans="1:18" ht="15.75" thickBot="1">
      <c r="A70" s="823" t="s">
        <v>1787</v>
      </c>
      <c r="B70" s="824" t="s">
        <v>1810</v>
      </c>
      <c r="C70" s="825">
        <f ca="1">ROUND(C67*10000/F70,0)</f>
        <v>-1066</v>
      </c>
      <c r="D70" s="826" t="s">
        <v>1811</v>
      </c>
      <c r="E70" s="827" t="s">
        <v>1812</v>
      </c>
      <c r="F70" s="828">
        <f ca="1">F43</f>
        <v>2457.4699999999998</v>
      </c>
      <c r="O70" s="2426" t="s">
        <v>2401</v>
      </c>
      <c r="P70" s="2432" t="s">
        <v>2402</v>
      </c>
      <c r="Q70" s="2425">
        <f ca="1">C39</f>
        <v>168</v>
      </c>
      <c r="R70" s="2424" t="s">
        <v>2382</v>
      </c>
    </row>
    <row r="71" spans="1:18" ht="15.75" thickBot="1">
      <c r="O71" s="2426" t="s">
        <v>2403</v>
      </c>
      <c r="P71" s="2432" t="s">
        <v>2404</v>
      </c>
      <c r="Q71" s="2425">
        <f ca="1">C13</f>
        <v>977</v>
      </c>
      <c r="R71" s="2424" t="s">
        <v>2382</v>
      </c>
    </row>
    <row r="72" spans="1:18" ht="15.75" thickBot="1">
      <c r="O72" s="2426" t="s">
        <v>2405</v>
      </c>
      <c r="P72" s="2432" t="s">
        <v>2406</v>
      </c>
      <c r="Q72" s="2427">
        <f ca="1">J36</f>
        <v>8.5000000000000006E-2</v>
      </c>
      <c r="R72" s="2428"/>
    </row>
    <row r="73" spans="1:18" ht="15.75" thickBot="1">
      <c r="O73" s="2426" t="s">
        <v>2388</v>
      </c>
      <c r="P73" s="2424" t="s">
        <v>2395</v>
      </c>
      <c r="Q73" s="2427">
        <f>L52</f>
        <v>0</v>
      </c>
      <c r="R73" s="2428"/>
    </row>
    <row r="74" spans="1:18" ht="20.25" thickBot="1">
      <c r="O74" s="2426" t="s">
        <v>2390</v>
      </c>
      <c r="P74" s="2424" t="s">
        <v>2396</v>
      </c>
      <c r="Q74" s="2425" t="e">
        <f ca="1">L58</f>
        <v>#DIV/0!</v>
      </c>
      <c r="R74" s="2428" t="s">
        <v>2397</v>
      </c>
    </row>
    <row r="75" spans="1:18" ht="15.75" thickBot="1">
      <c r="O75" s="2426" t="s">
        <v>2419</v>
      </c>
      <c r="P75" s="2424" t="str">
        <f>K59</f>
        <v>建设期及建筑物耐用年限下的土地年期修正系数Kn</v>
      </c>
      <c r="Q75" s="2425" t="e">
        <f ca="1">L59</f>
        <v>#DIV/0!</v>
      </c>
      <c r="R75" s="2428" t="s">
        <v>2399</v>
      </c>
    </row>
    <row r="76" spans="1:18" ht="15.75" thickBot="1">
      <c r="O76" s="2423" t="s">
        <v>2393</v>
      </c>
      <c r="P76" s="2424" t="s">
        <v>2410</v>
      </c>
      <c r="Q76" s="2425">
        <f ca="1">Q66+Q67</f>
        <v>3823</v>
      </c>
      <c r="R76" s="242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2471</v>
      </c>
      <c r="B1" s="3525"/>
      <c r="C1" s="3526"/>
      <c r="D1" s="3527">
        <f>SUM(I10,I15,I20,I21,I23)</f>
        <v>0</v>
      </c>
      <c r="E1" s="3527"/>
      <c r="F1" s="3527"/>
      <c r="G1" s="3527"/>
      <c r="H1" s="3527"/>
      <c r="I1" s="3528"/>
    </row>
    <row r="2" spans="1:9">
      <c r="A2" s="3529" t="s">
        <v>2472</v>
      </c>
      <c r="B2" s="3530" t="s">
        <v>2473</v>
      </c>
      <c r="C2" s="3530"/>
      <c r="D2" s="2532" t="s">
        <v>2474</v>
      </c>
      <c r="E2" s="2532" t="s">
        <v>2475</v>
      </c>
      <c r="F2" s="2532" t="s">
        <v>2476</v>
      </c>
      <c r="G2" s="2532" t="s">
        <v>2477</v>
      </c>
      <c r="H2" s="2532" t="s">
        <v>2478</v>
      </c>
      <c r="I2" s="2533" t="s">
        <v>2479</v>
      </c>
    </row>
    <row r="3" spans="1:9">
      <c r="A3" s="3529"/>
      <c r="B3" s="3530" t="s">
        <v>2480</v>
      </c>
      <c r="C3" s="3530"/>
      <c r="D3" s="2534"/>
      <c r="E3" s="2532"/>
      <c r="F3" s="2535"/>
      <c r="G3" s="2535"/>
      <c r="H3" s="2536"/>
      <c r="I3" s="2537">
        <f>ROUND(D3*E3*F3*G3*H3/10000,0)</f>
        <v>0</v>
      </c>
    </row>
    <row r="4" spans="1:9">
      <c r="A4" s="3529"/>
      <c r="B4" s="3530" t="s">
        <v>2481</v>
      </c>
      <c r="C4" s="3530"/>
      <c r="D4" s="2534"/>
      <c r="E4" s="2532"/>
      <c r="F4" s="2535"/>
      <c r="G4" s="2535"/>
      <c r="H4" s="2536"/>
      <c r="I4" s="2537">
        <f t="shared" ref="I4:I9" si="0">ROUND(D4*E4*F4*G4*H4/10000,0)</f>
        <v>0</v>
      </c>
    </row>
    <row r="5" spans="1:9">
      <c r="A5" s="3529"/>
      <c r="B5" s="3530" t="s">
        <v>2482</v>
      </c>
      <c r="C5" s="3530"/>
      <c r="D5" s="2534"/>
      <c r="E5" s="2532"/>
      <c r="F5" s="2535"/>
      <c r="G5" s="2535"/>
      <c r="H5" s="2536"/>
      <c r="I5" s="2537">
        <f t="shared" si="0"/>
        <v>0</v>
      </c>
    </row>
    <row r="6" spans="1:9">
      <c r="A6" s="3529"/>
      <c r="B6" s="3530" t="s">
        <v>2483</v>
      </c>
      <c r="C6" s="3530"/>
      <c r="D6" s="2534"/>
      <c r="E6" s="2532"/>
      <c r="F6" s="2535"/>
      <c r="G6" s="2535"/>
      <c r="H6" s="2536"/>
      <c r="I6" s="2537">
        <f t="shared" si="0"/>
        <v>0</v>
      </c>
    </row>
    <row r="7" spans="1:9">
      <c r="A7" s="3529"/>
      <c r="B7" s="3530" t="s">
        <v>2484</v>
      </c>
      <c r="C7" s="3530"/>
      <c r="D7" s="2534"/>
      <c r="E7" s="2532"/>
      <c r="F7" s="2535"/>
      <c r="G7" s="2535"/>
      <c r="H7" s="2536"/>
      <c r="I7" s="2537">
        <f t="shared" si="0"/>
        <v>0</v>
      </c>
    </row>
    <row r="8" spans="1:9">
      <c r="A8" s="3529"/>
      <c r="B8" s="3530" t="s">
        <v>2485</v>
      </c>
      <c r="C8" s="3530"/>
      <c r="D8" s="2534"/>
      <c r="E8" s="2532"/>
      <c r="F8" s="2535"/>
      <c r="G8" s="2535"/>
      <c r="H8" s="2536"/>
      <c r="I8" s="2537">
        <f t="shared" si="0"/>
        <v>0</v>
      </c>
    </row>
    <row r="9" spans="1:9">
      <c r="A9" s="3529"/>
      <c r="B9" s="3530" t="s">
        <v>2486</v>
      </c>
      <c r="C9" s="3530"/>
      <c r="D9" s="2534"/>
      <c r="E9" s="2532"/>
      <c r="F9" s="2535"/>
      <c r="G9" s="2535"/>
      <c r="H9" s="2536"/>
      <c r="I9" s="2537">
        <f t="shared" si="0"/>
        <v>0</v>
      </c>
    </row>
    <row r="10" spans="1:9">
      <c r="A10" s="3529"/>
      <c r="B10" s="3531" t="s">
        <v>2487</v>
      </c>
      <c r="C10" s="3531"/>
      <c r="D10" s="2538">
        <v>527</v>
      </c>
      <c r="E10" s="2538" t="e">
        <f>ROUND(D1*10000/D10/H9,0)</f>
        <v>#DIV/0!</v>
      </c>
      <c r="F10" s="2539"/>
      <c r="G10" s="2539"/>
      <c r="H10" s="2540"/>
      <c r="I10" s="2541">
        <f>SUM(I3:I9)</f>
        <v>0</v>
      </c>
    </row>
    <row r="11" spans="1:9" ht="14.25">
      <c r="A11" s="3529" t="s">
        <v>2488</v>
      </c>
      <c r="B11" s="3530" t="s">
        <v>2489</v>
      </c>
      <c r="C11" s="3530"/>
      <c r="D11" s="2534" t="s">
        <v>2490</v>
      </c>
      <c r="E11" s="2534" t="s">
        <v>2491</v>
      </c>
      <c r="F11" s="2535" t="s">
        <v>2492</v>
      </c>
      <c r="G11" s="2535" t="s">
        <v>2493</v>
      </c>
      <c r="H11" s="2542" t="s">
        <v>2494</v>
      </c>
      <c r="I11" s="2533" t="s">
        <v>2495</v>
      </c>
    </row>
    <row r="12" spans="1:9">
      <c r="A12" s="3529"/>
      <c r="B12" s="3530" t="s">
        <v>2496</v>
      </c>
      <c r="C12" s="3530"/>
      <c r="D12" s="2534"/>
      <c r="E12" s="2534"/>
      <c r="F12" s="2535"/>
      <c r="G12" s="2536"/>
      <c r="H12" s="2543"/>
      <c r="I12" s="2533">
        <f>ROUND(D12*E12*F12*G12/10000,0)</f>
        <v>0</v>
      </c>
    </row>
    <row r="13" spans="1:9">
      <c r="A13" s="3529"/>
      <c r="B13" s="3530" t="s">
        <v>2497</v>
      </c>
      <c r="C13" s="3530"/>
      <c r="D13" s="2534"/>
      <c r="E13" s="2534"/>
      <c r="F13" s="2535"/>
      <c r="G13" s="2536"/>
      <c r="H13" s="2543"/>
      <c r="I13" s="2533">
        <f>ROUND(D13*E13*F13*G13/10000,0)</f>
        <v>0</v>
      </c>
    </row>
    <row r="14" spans="1:9">
      <c r="A14" s="3529"/>
      <c r="B14" s="3530" t="s">
        <v>2498</v>
      </c>
      <c r="C14" s="3530"/>
      <c r="D14" s="2534"/>
      <c r="E14" s="2534"/>
      <c r="F14" s="2535"/>
      <c r="G14" s="2536"/>
      <c r="H14" s="2543"/>
      <c r="I14" s="2533">
        <f>ROUND(D14*E14*F14*G14/10000,0)</f>
        <v>0</v>
      </c>
    </row>
    <row r="15" spans="1:9">
      <c r="A15" s="3529"/>
      <c r="B15" s="3531" t="s">
        <v>2487</v>
      </c>
      <c r="C15" s="3531"/>
      <c r="D15" s="2538"/>
      <c r="E15" s="2538">
        <f>SUM(E12:E14)</f>
        <v>0</v>
      </c>
      <c r="F15" s="2539"/>
      <c r="G15" s="2536"/>
      <c r="H15" s="2543"/>
      <c r="I15" s="2544">
        <f>SUM(I12:I14)</f>
        <v>0</v>
      </c>
    </row>
    <row r="16" spans="1:9" ht="24">
      <c r="A16" s="3529" t="s">
        <v>2499</v>
      </c>
      <c r="B16" s="3530" t="s">
        <v>2500</v>
      </c>
      <c r="C16" s="3530"/>
      <c r="D16" s="2534" t="s">
        <v>2501</v>
      </c>
      <c r="E16" s="2545" t="s">
        <v>2502</v>
      </c>
      <c r="F16" s="2535" t="s">
        <v>2503</v>
      </c>
      <c r="G16" s="2536" t="s">
        <v>2493</v>
      </c>
      <c r="H16" s="2542" t="s">
        <v>2494</v>
      </c>
      <c r="I16" s="2533" t="s">
        <v>2495</v>
      </c>
    </row>
    <row r="17" spans="1:9" ht="14.25">
      <c r="A17" s="3529"/>
      <c r="B17" s="3530" t="s">
        <v>2504</v>
      </c>
      <c r="C17" s="3530"/>
      <c r="D17" s="2534"/>
      <c r="E17" s="2534"/>
      <c r="F17" s="2535"/>
      <c r="G17" s="2536"/>
      <c r="H17" s="2546"/>
      <c r="I17" s="2547">
        <f>ROUND(D17*E17*F17*G17/10000,0)</f>
        <v>0</v>
      </c>
    </row>
    <row r="18" spans="1:9" ht="14.25">
      <c r="A18" s="3529"/>
      <c r="B18" s="3530" t="s">
        <v>2505</v>
      </c>
      <c r="C18" s="3530"/>
      <c r="D18" s="2534"/>
      <c r="E18" s="2534"/>
      <c r="F18" s="2535"/>
      <c r="G18" s="2536"/>
      <c r="H18" s="2546"/>
      <c r="I18" s="2547">
        <f>ROUND(D18*E18*F18*G18/10000,0)</f>
        <v>0</v>
      </c>
    </row>
    <row r="19" spans="1:9" ht="14.25">
      <c r="A19" s="3529"/>
      <c r="B19" s="3530" t="s">
        <v>2506</v>
      </c>
      <c r="C19" s="3530"/>
      <c r="D19" s="2534"/>
      <c r="E19" s="2534"/>
      <c r="F19" s="2535"/>
      <c r="G19" s="2536"/>
      <c r="H19" s="2546"/>
      <c r="I19" s="2547">
        <f>ROUND(D19*E19*F19*G19/10000,0)</f>
        <v>0</v>
      </c>
    </row>
    <row r="20" spans="1:9">
      <c r="A20" s="3529"/>
      <c r="B20" s="3531" t="s">
        <v>2487</v>
      </c>
      <c r="C20" s="3531"/>
      <c r="D20" s="2538">
        <f>SUM(D17:D19)</f>
        <v>0</v>
      </c>
      <c r="E20" s="2538"/>
      <c r="F20" s="2539"/>
      <c r="G20" s="2536"/>
      <c r="H20" s="2543"/>
      <c r="I20" s="2544">
        <f>SUM(I17:I19)</f>
        <v>0</v>
      </c>
    </row>
    <row r="21" spans="1:9">
      <c r="A21" s="3529" t="s">
        <v>2507</v>
      </c>
      <c r="B21" s="3533"/>
      <c r="C21" s="3533"/>
      <c r="D21" s="3533"/>
      <c r="E21" s="3533"/>
      <c r="F21" s="3533"/>
      <c r="G21" s="3533"/>
      <c r="H21" s="2548">
        <v>0.1</v>
      </c>
      <c r="I21" s="2541">
        <f>ROUND(I10*H21,0)</f>
        <v>0</v>
      </c>
    </row>
    <row r="22" spans="1:9" ht="14.25">
      <c r="A22" s="3534" t="s">
        <v>2508</v>
      </c>
      <c r="B22" s="3535"/>
      <c r="C22" s="3536"/>
      <c r="D22" s="2549" t="s">
        <v>2509</v>
      </c>
      <c r="E22" s="2549" t="s">
        <v>2510</v>
      </c>
      <c r="F22" s="2550" t="s">
        <v>2511</v>
      </c>
      <c r="G22" s="2550" t="s">
        <v>2512</v>
      </c>
      <c r="H22" s="2542" t="s">
        <v>2513</v>
      </c>
      <c r="I22" s="2533" t="s">
        <v>2514</v>
      </c>
    </row>
    <row r="23" spans="1:9" ht="14.25" thickBot="1">
      <c r="A23" s="3537"/>
      <c r="B23" s="3538"/>
      <c r="C23" s="3539"/>
      <c r="D23" s="2551"/>
      <c r="E23" s="2551"/>
      <c r="F23" s="2551"/>
      <c r="G23" s="2552"/>
      <c r="H23" s="2553"/>
      <c r="I23" s="2554">
        <f>ROUND(E23*D23*F23*(1-G23)/10000,0)</f>
        <v>0</v>
      </c>
    </row>
    <row r="26" spans="1:9">
      <c r="A26" s="2555" t="s">
        <v>2515</v>
      </c>
      <c r="B26" s="2555"/>
      <c r="C26" s="2555"/>
      <c r="D26" s="2555"/>
      <c r="E26" s="3540">
        <f>C27-C30-C31-C32</f>
        <v>0</v>
      </c>
      <c r="F26" s="3540"/>
      <c r="G26" s="3540"/>
      <c r="H26" s="3069" t="s">
        <v>2843</v>
      </c>
    </row>
    <row r="27" spans="1:9">
      <c r="A27" s="2556">
        <v>1</v>
      </c>
      <c r="B27" s="2557" t="s">
        <v>2516</v>
      </c>
      <c r="C27" s="2557"/>
      <c r="D27" s="2557"/>
      <c r="E27" s="3541"/>
      <c r="F27" s="3541"/>
      <c r="G27" s="3541"/>
    </row>
    <row r="28" spans="1:9">
      <c r="A28" s="2558" t="s">
        <v>2517</v>
      </c>
      <c r="B28" s="2557" t="s">
        <v>2518</v>
      </c>
      <c r="C28" s="2557"/>
      <c r="D28" s="2557"/>
      <c r="E28" s="3541"/>
      <c r="F28" s="3541"/>
      <c r="G28" s="3541"/>
    </row>
    <row r="29" spans="1:9">
      <c r="A29" s="2558" t="s">
        <v>2519</v>
      </c>
      <c r="B29" s="2557" t="s">
        <v>2460</v>
      </c>
      <c r="C29" s="2557"/>
      <c r="D29" s="2557"/>
      <c r="E29" s="2557" t="s">
        <v>2520</v>
      </c>
      <c r="F29" s="2557"/>
      <c r="G29" s="2557"/>
    </row>
    <row r="30" spans="1:9">
      <c r="A30" s="2556">
        <v>2</v>
      </c>
      <c r="B30" s="2557" t="s">
        <v>2521</v>
      </c>
      <c r="C30" s="2557">
        <f>C27*D30</f>
        <v>0</v>
      </c>
      <c r="D30" s="2559">
        <v>0.2</v>
      </c>
      <c r="E30" s="2557" t="s">
        <v>2522</v>
      </c>
      <c r="F30" s="2557"/>
      <c r="G30" s="2557"/>
    </row>
    <row r="31" spans="1:9">
      <c r="A31" s="2556">
        <v>3</v>
      </c>
      <c r="B31" s="2557" t="s">
        <v>2523</v>
      </c>
      <c r="C31" s="2557">
        <f>C25*D31</f>
        <v>0</v>
      </c>
      <c r="D31" s="2559">
        <v>0.15</v>
      </c>
      <c r="E31" s="2557" t="s">
        <v>2524</v>
      </c>
      <c r="F31" s="2557"/>
      <c r="G31" s="2557"/>
    </row>
    <row r="32" spans="1:9">
      <c r="A32" s="2556">
        <v>4</v>
      </c>
      <c r="B32" s="2557" t="s">
        <v>2525</v>
      </c>
      <c r="C32" s="2557">
        <f>C27*D32</f>
        <v>0</v>
      </c>
      <c r="D32" s="2559">
        <v>0.05</v>
      </c>
      <c r="E32" s="3532"/>
      <c r="F32" s="3532"/>
      <c r="G32" s="3532"/>
    </row>
    <row r="33" spans="1:7" hidden="1">
      <c r="A33" s="3542" t="s">
        <v>2526</v>
      </c>
      <c r="B33" s="3543"/>
      <c r="C33" s="3543"/>
      <c r="D33" s="3544"/>
      <c r="E33" s="3540"/>
      <c r="F33" s="3540"/>
      <c r="G33" s="3540"/>
    </row>
    <row r="34" spans="1:7" hidden="1">
      <c r="A34" s="2560">
        <v>1</v>
      </c>
      <c r="B34" s="2557" t="s">
        <v>2527</v>
      </c>
      <c r="C34" s="2557"/>
      <c r="D34" s="2557"/>
      <c r="E34" s="3541"/>
      <c r="F34" s="3541"/>
      <c r="G34" s="3541"/>
    </row>
    <row r="35" spans="1:7" hidden="1">
      <c r="A35" s="2560">
        <v>2</v>
      </c>
      <c r="B35" s="2557" t="s">
        <v>2528</v>
      </c>
      <c r="C35" s="2557"/>
      <c r="D35" s="2557"/>
      <c r="E35" s="3541"/>
      <c r="F35" s="3541"/>
      <c r="G35" s="3541"/>
    </row>
    <row r="36" spans="1:7" hidden="1">
      <c r="A36" s="2560">
        <v>3</v>
      </c>
      <c r="B36" s="2557" t="s">
        <v>2529</v>
      </c>
      <c r="C36" s="2557"/>
      <c r="D36" s="2557"/>
      <c r="E36" s="3541"/>
      <c r="F36" s="3541"/>
      <c r="G36" s="3541"/>
    </row>
    <row r="37" spans="1:7" hidden="1">
      <c r="A37" s="2560">
        <v>4</v>
      </c>
      <c r="B37" s="2557" t="s">
        <v>2530</v>
      </c>
      <c r="C37" s="2557"/>
      <c r="D37" s="2557"/>
      <c r="E37" s="3541"/>
      <c r="F37" s="3541"/>
      <c r="G37" s="3541"/>
    </row>
    <row r="38" spans="1:7" hidden="1">
      <c r="A38" s="3542" t="s">
        <v>2531</v>
      </c>
      <c r="B38" s="3543"/>
      <c r="C38" s="3543"/>
      <c r="D38" s="3544"/>
      <c r="E38" s="3540"/>
      <c r="F38" s="3540"/>
      <c r="G38" s="35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612</v>
      </c>
      <c r="C10" s="749">
        <f>C11+C14+C15</f>
        <v>0</v>
      </c>
      <c r="D10" s="760">
        <f>'数据-汇总表'!E3</f>
        <v>273671.8</v>
      </c>
      <c r="E10" s="749">
        <f>'数据-取费表'!B31</f>
        <v>200</v>
      </c>
      <c r="F10" s="761"/>
      <c r="G10" s="759" t="s">
        <v>613</v>
      </c>
    </row>
    <row r="11" spans="1:25" s="2184" customFormat="1" ht="13.5" customHeight="1">
      <c r="A11" s="2494" t="s">
        <v>2441</v>
      </c>
      <c r="B11" s="752" t="s">
        <v>609</v>
      </c>
      <c r="C11" s="753">
        <f>'数据-取费表'!B29</f>
        <v>0</v>
      </c>
      <c r="D11" s="754"/>
      <c r="E11" s="753"/>
      <c r="F11" s="755"/>
      <c r="G11" s="2503" t="s">
        <v>2452</v>
      </c>
    </row>
    <row r="12" spans="1:25" s="2184" customFormat="1" ht="13.5" customHeight="1">
      <c r="A12" s="2501" t="s">
        <v>2449</v>
      </c>
      <c r="B12" s="756" t="s">
        <v>610</v>
      </c>
      <c r="C12" s="757">
        <f>ROUND(D12*E12/10000,0)</f>
        <v>2152</v>
      </c>
      <c r="D12" s="758">
        <f>'数据-汇总表'!E5</f>
        <v>179318.65000000002</v>
      </c>
      <c r="E12" s="757">
        <f>'数据-取费表'!B27</f>
        <v>120</v>
      </c>
      <c r="F12" s="755"/>
      <c r="G12" s="759"/>
    </row>
    <row r="13" spans="1:25" s="2184" customFormat="1" ht="13.5" customHeight="1">
      <c r="A13" s="2501" t="s">
        <v>2448</v>
      </c>
      <c r="B13" s="756" t="s">
        <v>611</v>
      </c>
      <c r="C13" s="757">
        <f>ROUND(D13*E13/10000,0)</f>
        <v>1132</v>
      </c>
      <c r="D13" s="758">
        <f>'数据-汇总表'!E6</f>
        <v>94353.149999999965</v>
      </c>
      <c r="E13" s="757">
        <f>'数据-取费表'!B28</f>
        <v>120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614</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0</v>
      </c>
      <c r="D18" s="762"/>
      <c r="E18" s="763"/>
      <c r="F18" s="761">
        <f>'数据-取费表'!Q16</f>
        <v>0.09</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f>'数据-取费表'!AP16</f>
        <v>0.93200000000000005</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433" t="s">
        <v>521</v>
      </c>
      <c r="D4" s="3434"/>
      <c r="E4" s="3470" t="s">
        <v>522</v>
      </c>
      <c r="F4" s="3471"/>
      <c r="G4" s="3433" t="s">
        <v>523</v>
      </c>
      <c r="H4" s="3434"/>
      <c r="I4" s="3433" t="s">
        <v>524</v>
      </c>
      <c r="J4" s="3434"/>
      <c r="K4" s="514" t="s">
        <v>525</v>
      </c>
      <c r="L4" s="2134"/>
      <c r="M4" s="2135"/>
      <c r="N4" s="2135"/>
      <c r="O4" s="2135"/>
      <c r="P4" s="3435" t="s">
        <v>526</v>
      </c>
      <c r="Q4" s="3436"/>
      <c r="R4" s="3441" t="s">
        <v>522</v>
      </c>
      <c r="S4" s="3442"/>
      <c r="T4" s="3441" t="s">
        <v>523</v>
      </c>
      <c r="U4" s="3442"/>
      <c r="V4" s="3428" t="s">
        <v>524</v>
      </c>
      <c r="W4" s="3428"/>
      <c r="X4" s="1567"/>
      <c r="Y4" s="3441" t="s">
        <v>526</v>
      </c>
      <c r="Z4" s="3442"/>
      <c r="AA4" s="3430" t="s">
        <v>522</v>
      </c>
      <c r="AB4" s="3428" t="s">
        <v>523</v>
      </c>
      <c r="AC4" s="3430" t="s">
        <v>524</v>
      </c>
    </row>
    <row r="5" spans="1:29" ht="15">
      <c r="A5" s="515"/>
      <c r="B5" s="516"/>
      <c r="C5" s="3451" t="s">
        <v>2916</v>
      </c>
      <c r="D5" s="3450"/>
      <c r="E5" s="3472" t="s">
        <v>2917</v>
      </c>
      <c r="F5" s="3473"/>
      <c r="G5" s="3451" t="s">
        <v>2918</v>
      </c>
      <c r="H5" s="3450"/>
      <c r="I5" s="3451" t="s">
        <v>2919</v>
      </c>
      <c r="J5" s="3450"/>
      <c r="K5" s="514"/>
      <c r="L5" s="2134"/>
      <c r="M5" s="2135"/>
      <c r="N5" s="2135"/>
      <c r="O5" s="2135"/>
      <c r="P5" s="3437"/>
      <c r="Q5" s="3438"/>
      <c r="R5" s="3443"/>
      <c r="S5" s="3444"/>
      <c r="T5" s="3443"/>
      <c r="U5" s="3444"/>
      <c r="V5" s="3428"/>
      <c r="W5" s="3428"/>
      <c r="X5" s="1567"/>
      <c r="Y5" s="3443"/>
      <c r="Z5" s="3444"/>
      <c r="AA5" s="3431"/>
      <c r="AB5" s="3428"/>
      <c r="AC5" s="3431"/>
    </row>
    <row r="6" spans="1:29" ht="15.75" thickBot="1">
      <c r="A6" s="517"/>
      <c r="B6" s="518"/>
      <c r="C6" s="3467" t="s">
        <v>2920</v>
      </c>
      <c r="D6" s="3448"/>
      <c r="E6" s="3468" t="s">
        <v>2920</v>
      </c>
      <c r="F6" s="3469"/>
      <c r="G6" s="3467" t="s">
        <v>2920</v>
      </c>
      <c r="H6" s="3448"/>
      <c r="I6" s="3467" t="s">
        <v>2920</v>
      </c>
      <c r="J6" s="3448"/>
      <c r="K6" s="514" t="s">
        <v>527</v>
      </c>
      <c r="L6" s="2134"/>
      <c r="M6" s="2135"/>
      <c r="N6" s="2135"/>
      <c r="O6" s="2135"/>
      <c r="P6" s="3439"/>
      <c r="Q6" s="3440"/>
      <c r="R6" s="3443"/>
      <c r="S6" s="3444"/>
      <c r="T6" s="3445"/>
      <c r="U6" s="3446"/>
      <c r="V6" s="3428"/>
      <c r="W6" s="3428"/>
      <c r="X6" s="1567"/>
      <c r="Y6" s="3445"/>
      <c r="Z6" s="3446"/>
      <c r="AA6" s="3432"/>
      <c r="AB6" s="3428"/>
      <c r="AC6" s="3432"/>
    </row>
    <row r="7" spans="1:29" s="1219" customFormat="1" ht="15.75" thickBot="1">
      <c r="A7" s="2937"/>
      <c r="B7" s="2944" t="s">
        <v>528</v>
      </c>
      <c r="C7" s="519">
        <f>'数据-取费表'!B2</f>
        <v>43217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60" t="s">
        <v>529</v>
      </c>
      <c r="Q7" s="3462"/>
      <c r="R7" s="1568" t="s">
        <v>8</v>
      </c>
      <c r="S7" s="1569">
        <f t="shared" ref="S7:S15" si="0">F7</f>
        <v>0</v>
      </c>
      <c r="T7" s="1568" t="s">
        <v>8</v>
      </c>
      <c r="U7" s="1569">
        <f t="shared" ref="U7:U15" si="1">H7</f>
        <v>0</v>
      </c>
      <c r="V7" s="1568" t="s">
        <v>8</v>
      </c>
      <c r="W7" s="1569">
        <f t="shared" ref="W7:W15" si="2">J7</f>
        <v>0</v>
      </c>
      <c r="X7" s="1570"/>
      <c r="Y7" s="3460" t="s">
        <v>529</v>
      </c>
      <c r="Z7" s="3461"/>
      <c r="AA7" s="1571" t="e">
        <f>D7/F7</f>
        <v>#DIV/0!</v>
      </c>
      <c r="AB7" s="1571" t="e">
        <f>D7/H7</f>
        <v>#DIV/0!</v>
      </c>
      <c r="AC7" s="1571" t="e">
        <f>D7/J7</f>
        <v>#DIV/0!</v>
      </c>
    </row>
    <row r="8" spans="1:29" s="1219"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60" t="s">
        <v>532</v>
      </c>
      <c r="Q8" s="3461"/>
      <c r="R8" s="1568" t="s">
        <v>8</v>
      </c>
      <c r="S8" s="1569">
        <f t="shared" si="0"/>
        <v>0</v>
      </c>
      <c r="T8" s="1568" t="s">
        <v>8</v>
      </c>
      <c r="U8" s="1569">
        <f t="shared" si="1"/>
        <v>0</v>
      </c>
      <c r="V8" s="1568" t="s">
        <v>8</v>
      </c>
      <c r="W8" s="1569">
        <f t="shared" si="2"/>
        <v>0</v>
      </c>
      <c r="X8" s="1570"/>
      <c r="Y8" s="3460" t="s">
        <v>532</v>
      </c>
      <c r="Z8" s="3461"/>
      <c r="AA8" s="1571" t="e">
        <f t="shared" ref="AA8:AA46" si="3">D8/F8</f>
        <v>#DIV/0!</v>
      </c>
      <c r="AB8" s="1571" t="e">
        <f t="shared" ref="AB8:AB46" si="4">D8/H8</f>
        <v>#DIV/0!</v>
      </c>
      <c r="AC8" s="1571" t="e">
        <f t="shared" ref="AC8:AC46" si="5">D8/J8</f>
        <v>#DIV/0!</v>
      </c>
    </row>
    <row r="9" spans="1:29" s="1219" customFormat="1" ht="15">
      <c r="A9" s="2939"/>
      <c r="B9" s="2946"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7" t="s">
        <v>534</v>
      </c>
      <c r="Q9" s="1150" t="str">
        <f t="shared" ref="Q9:Q15" si="6">B9</f>
        <v>用途</v>
      </c>
      <c r="R9" s="1568" t="s">
        <v>8</v>
      </c>
      <c r="S9" s="1569">
        <f t="shared" si="0"/>
        <v>100</v>
      </c>
      <c r="T9" s="1568" t="s">
        <v>8</v>
      </c>
      <c r="U9" s="1569">
        <f t="shared" si="1"/>
        <v>100</v>
      </c>
      <c r="V9" s="1568" t="s">
        <v>8</v>
      </c>
      <c r="W9" s="1569">
        <f t="shared" si="2"/>
        <v>100</v>
      </c>
      <c r="X9" s="1570"/>
      <c r="Y9" s="3366" t="s">
        <v>535</v>
      </c>
      <c r="Z9" s="1149" t="str">
        <f t="shared" ref="Z9:Z15" si="7">Q9</f>
        <v>用途</v>
      </c>
      <c r="AA9" s="1571">
        <f t="shared" si="3"/>
        <v>1</v>
      </c>
      <c r="AB9" s="1571">
        <f t="shared" si="4"/>
        <v>1</v>
      </c>
      <c r="AC9" s="1571">
        <f t="shared" si="5"/>
        <v>1</v>
      </c>
    </row>
    <row r="10" spans="1:29" s="1337" customFormat="1" ht="27">
      <c r="A10" s="2940"/>
      <c r="B10" s="2945"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7"/>
      <c r="Q10" s="1150" t="str">
        <f t="shared" si="6"/>
        <v>土地使用年限（年）</v>
      </c>
      <c r="R10" s="1568" t="s">
        <v>8</v>
      </c>
      <c r="S10" s="1569">
        <f t="shared" si="0"/>
        <v>100</v>
      </c>
      <c r="T10" s="1568" t="s">
        <v>8</v>
      </c>
      <c r="U10" s="1569">
        <f t="shared" si="1"/>
        <v>100</v>
      </c>
      <c r="V10" s="1568" t="s">
        <v>8</v>
      </c>
      <c r="W10" s="1569">
        <f t="shared" si="2"/>
        <v>100</v>
      </c>
      <c r="X10" s="1570"/>
      <c r="Y10" s="3366"/>
      <c r="Z10" s="1149"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7"/>
      <c r="Q11" s="1150" t="str">
        <f t="shared" si="6"/>
        <v>容积率</v>
      </c>
      <c r="R11" s="1568" t="s">
        <v>8</v>
      </c>
      <c r="S11" s="1569" t="e">
        <f t="shared" si="0"/>
        <v>#N/A</v>
      </c>
      <c r="T11" s="1568" t="s">
        <v>8</v>
      </c>
      <c r="U11" s="1569" t="e">
        <f t="shared" si="1"/>
        <v>#N/A</v>
      </c>
      <c r="V11" s="1568" t="s">
        <v>8</v>
      </c>
      <c r="W11" s="1569" t="e">
        <f t="shared" si="2"/>
        <v>#N/A</v>
      </c>
      <c r="X11" s="1570"/>
      <c r="Y11" s="3366"/>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27"/>
      <c r="Q12" s="1150">
        <f t="shared" si="6"/>
        <v>111</v>
      </c>
      <c r="R12" s="1568" t="s">
        <v>8</v>
      </c>
      <c r="S12" s="1569">
        <f t="shared" si="0"/>
        <v>100</v>
      </c>
      <c r="T12" s="1568" t="s">
        <v>8</v>
      </c>
      <c r="U12" s="1569">
        <f t="shared" si="1"/>
        <v>100</v>
      </c>
      <c r="V12" s="1568" t="s">
        <v>8</v>
      </c>
      <c r="W12" s="1569">
        <f t="shared" si="2"/>
        <v>100</v>
      </c>
      <c r="X12" s="1570"/>
      <c r="Y12" s="3366"/>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27"/>
      <c r="Q13" s="1150">
        <f t="shared" si="6"/>
        <v>111</v>
      </c>
      <c r="R13" s="1568" t="s">
        <v>8</v>
      </c>
      <c r="S13" s="1569">
        <f t="shared" si="0"/>
        <v>100</v>
      </c>
      <c r="T13" s="1568" t="s">
        <v>8</v>
      </c>
      <c r="U13" s="1569">
        <f t="shared" si="1"/>
        <v>100</v>
      </c>
      <c r="V13" s="1568" t="s">
        <v>8</v>
      </c>
      <c r="W13" s="1569">
        <f t="shared" si="2"/>
        <v>100</v>
      </c>
      <c r="X13" s="1570"/>
      <c r="Y13" s="3366"/>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27"/>
      <c r="Q14" s="1150">
        <f t="shared" si="6"/>
        <v>111</v>
      </c>
      <c r="R14" s="1568" t="s">
        <v>8</v>
      </c>
      <c r="S14" s="1569">
        <f t="shared" si="0"/>
        <v>100</v>
      </c>
      <c r="T14" s="1568" t="s">
        <v>8</v>
      </c>
      <c r="U14" s="1569">
        <f t="shared" si="1"/>
        <v>100</v>
      </c>
      <c r="V14" s="1568" t="s">
        <v>8</v>
      </c>
      <c r="W14" s="1569">
        <f t="shared" si="2"/>
        <v>100</v>
      </c>
      <c r="X14" s="1570"/>
      <c r="Y14" s="3366"/>
      <c r="Z14" s="1149">
        <f t="shared" si="7"/>
        <v>111</v>
      </c>
      <c r="AA14" s="1571">
        <f t="shared" si="3"/>
        <v>1</v>
      </c>
      <c r="AB14" s="1571">
        <f t="shared" si="4"/>
        <v>1</v>
      </c>
      <c r="AC14" s="1571">
        <f t="shared" si="5"/>
        <v>1</v>
      </c>
    </row>
    <row r="15" spans="1:29" ht="15">
      <c r="A15" s="2935" t="s">
        <v>2754</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63" t="s">
        <v>539</v>
      </c>
      <c r="Q15" s="1572" t="str">
        <f t="shared" si="6"/>
        <v>商业繁华度</v>
      </c>
      <c r="R15" s="1573" t="s">
        <v>8</v>
      </c>
      <c r="S15" s="1574">
        <f t="shared" si="0"/>
        <v>100</v>
      </c>
      <c r="T15" s="1573" t="s">
        <v>8</v>
      </c>
      <c r="U15" s="1574">
        <f t="shared" si="1"/>
        <v>100</v>
      </c>
      <c r="V15" s="1573" t="s">
        <v>8</v>
      </c>
      <c r="W15" s="1574">
        <f t="shared" si="2"/>
        <v>100</v>
      </c>
      <c r="X15" s="1567"/>
      <c r="Y15" s="3463"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64"/>
      <c r="Q16" s="1572"/>
      <c r="R16" s="1573"/>
      <c r="S16" s="1574"/>
      <c r="T16" s="1573"/>
      <c r="U16" s="1574"/>
      <c r="V16" s="1573"/>
      <c r="W16" s="1574"/>
      <c r="X16" s="1567"/>
      <c r="Y16" s="346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64"/>
      <c r="Q17" s="1572" t="str">
        <f>B17</f>
        <v>交通便捷度</v>
      </c>
      <c r="R17" s="1573" t="s">
        <v>8</v>
      </c>
      <c r="S17" s="1574">
        <f>F17</f>
        <v>100</v>
      </c>
      <c r="T17" s="1573" t="s">
        <v>8</v>
      </c>
      <c r="U17" s="1574">
        <f>H17</f>
        <v>100</v>
      </c>
      <c r="V17" s="1573" t="s">
        <v>8</v>
      </c>
      <c r="W17" s="1574">
        <f>J17</f>
        <v>100</v>
      </c>
      <c r="X17" s="1567"/>
      <c r="Y17" s="346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64"/>
      <c r="Q18" s="1572"/>
      <c r="R18" s="1573"/>
      <c r="S18" s="1574"/>
      <c r="T18" s="1573"/>
      <c r="U18" s="1574"/>
      <c r="V18" s="1573"/>
      <c r="W18" s="1574"/>
      <c r="X18" s="1567"/>
      <c r="Y18" s="3464"/>
      <c r="Z18" s="1575"/>
      <c r="AA18" s="1576">
        <v>1</v>
      </c>
      <c r="AB18" s="1576">
        <v>1</v>
      </c>
      <c r="AC18" s="1576">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64"/>
      <c r="Q19" s="1572" t="str">
        <f>B19</f>
        <v>公共配套设施</v>
      </c>
      <c r="R19" s="1573" t="s">
        <v>8</v>
      </c>
      <c r="S19" s="1574">
        <f>F19</f>
        <v>100</v>
      </c>
      <c r="T19" s="1573" t="s">
        <v>8</v>
      </c>
      <c r="U19" s="1574">
        <f>H19</f>
        <v>100</v>
      </c>
      <c r="V19" s="1573" t="s">
        <v>8</v>
      </c>
      <c r="W19" s="1574">
        <f>J19</f>
        <v>100</v>
      </c>
      <c r="X19" s="1567"/>
      <c r="Y19" s="346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64"/>
      <c r="Q20" s="1572"/>
      <c r="R20" s="1573"/>
      <c r="S20" s="1574"/>
      <c r="T20" s="1573"/>
      <c r="U20" s="1574"/>
      <c r="V20" s="1573"/>
      <c r="W20" s="1574"/>
      <c r="X20" s="1567"/>
      <c r="Y20" s="3464"/>
      <c r="Z20" s="1575"/>
      <c r="AA20" s="1576">
        <v>1</v>
      </c>
      <c r="AB20" s="1576">
        <v>1</v>
      </c>
      <c r="AC20" s="1576">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64"/>
      <c r="Q21" s="2604" t="str">
        <f>B21</f>
        <v>基础设施水平</v>
      </c>
      <c r="R21" s="1573" t="s">
        <v>8</v>
      </c>
      <c r="S21" s="1574">
        <f>F21</f>
        <v>100</v>
      </c>
      <c r="T21" s="1573" t="s">
        <v>8</v>
      </c>
      <c r="U21" s="1574">
        <f>H21</f>
        <v>100</v>
      </c>
      <c r="V21" s="1573" t="s">
        <v>8</v>
      </c>
      <c r="W21" s="1574">
        <f>J21</f>
        <v>100</v>
      </c>
      <c r="X21" s="2606"/>
      <c r="Y21" s="3464"/>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464"/>
      <c r="Q22" s="2604"/>
      <c r="R22" s="1573"/>
      <c r="S22" s="1574"/>
      <c r="T22" s="1573"/>
      <c r="U22" s="1574"/>
      <c r="V22" s="1573"/>
      <c r="W22" s="1574"/>
      <c r="X22" s="2606"/>
      <c r="Y22" s="3464"/>
      <c r="Z22" s="2605"/>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64"/>
      <c r="Q23" s="1572" t="str">
        <f>B23</f>
        <v>自然及人文环境</v>
      </c>
      <c r="R23" s="1573" t="s">
        <v>8</v>
      </c>
      <c r="S23" s="1574">
        <f>F23</f>
        <v>100</v>
      </c>
      <c r="T23" s="1573" t="s">
        <v>8</v>
      </c>
      <c r="U23" s="1574">
        <f>H23</f>
        <v>100</v>
      </c>
      <c r="V23" s="1573" t="s">
        <v>8</v>
      </c>
      <c r="W23" s="1574">
        <f>J23</f>
        <v>100</v>
      </c>
      <c r="X23" s="1567"/>
      <c r="Y23" s="346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64"/>
      <c r="Q24" s="1572"/>
      <c r="R24" s="1573"/>
      <c r="S24" s="1574"/>
      <c r="T24" s="1573"/>
      <c r="U24" s="1574"/>
      <c r="V24" s="1573"/>
      <c r="W24" s="1574"/>
      <c r="X24" s="1567"/>
      <c r="Y24" s="3464"/>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64"/>
      <c r="Q25" s="1572" t="str">
        <f t="shared" ref="Q25:Q46" si="11">B25</f>
        <v>临街状况</v>
      </c>
      <c r="R25" s="1573" t="s">
        <v>8</v>
      </c>
      <c r="S25" s="1574">
        <f>F25</f>
        <v>100</v>
      </c>
      <c r="T25" s="1573" t="s">
        <v>8</v>
      </c>
      <c r="U25" s="1574">
        <f>H25</f>
        <v>100</v>
      </c>
      <c r="V25" s="1573" t="s">
        <v>8</v>
      </c>
      <c r="W25" s="1574">
        <f>J25</f>
        <v>100</v>
      </c>
      <c r="X25" s="1567"/>
      <c r="Y25" s="3464"/>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64"/>
      <c r="Q26" s="1572" t="str">
        <f t="shared" si="11"/>
        <v>平面位置/可视性</v>
      </c>
      <c r="R26" s="1573" t="s">
        <v>8</v>
      </c>
      <c r="S26" s="1574">
        <f>F26</f>
        <v>100</v>
      </c>
      <c r="T26" s="1573" t="s">
        <v>8</v>
      </c>
      <c r="U26" s="1574">
        <f>H26</f>
        <v>100</v>
      </c>
      <c r="V26" s="1573" t="s">
        <v>8</v>
      </c>
      <c r="W26" s="1574">
        <f>J26</f>
        <v>100</v>
      </c>
      <c r="X26" s="1567"/>
      <c r="Y26" s="3464"/>
      <c r="Z26" s="1575" t="str">
        <f>Q26</f>
        <v>平面位置/可视性</v>
      </c>
      <c r="AA26" s="1576">
        <f t="shared" si="3"/>
        <v>1</v>
      </c>
      <c r="AB26" s="1576">
        <f t="shared" si="4"/>
        <v>1</v>
      </c>
      <c r="AC26" s="1576">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64"/>
      <c r="Q27" s="1150" t="str">
        <f t="shared" si="11"/>
        <v>人流量</v>
      </c>
      <c r="R27" s="1568" t="s">
        <v>8</v>
      </c>
      <c r="S27" s="1569">
        <f>F27</f>
        <v>100</v>
      </c>
      <c r="T27" s="1568" t="s">
        <v>8</v>
      </c>
      <c r="U27" s="1569">
        <f>H27</f>
        <v>100</v>
      </c>
      <c r="V27" s="1568" t="s">
        <v>8</v>
      </c>
      <c r="W27" s="1569">
        <f>J27</f>
        <v>100</v>
      </c>
      <c r="X27" s="1570"/>
      <c r="Y27" s="3464"/>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6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6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64"/>
      <c r="Q29" s="1572">
        <f t="shared" si="11"/>
        <v>111</v>
      </c>
      <c r="R29" s="1573" t="s">
        <v>8</v>
      </c>
      <c r="S29" s="1574">
        <f t="shared" si="12"/>
        <v>100</v>
      </c>
      <c r="T29" s="1573" t="s">
        <v>8</v>
      </c>
      <c r="U29" s="1574">
        <f t="shared" si="13"/>
        <v>100</v>
      </c>
      <c r="V29" s="1573" t="s">
        <v>8</v>
      </c>
      <c r="W29" s="1574">
        <f t="shared" si="14"/>
        <v>100</v>
      </c>
      <c r="X29" s="1567"/>
      <c r="Y29" s="346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64"/>
      <c r="Q30" s="1572">
        <f t="shared" si="11"/>
        <v>111</v>
      </c>
      <c r="R30" s="1573" t="s">
        <v>8</v>
      </c>
      <c r="S30" s="1574">
        <f t="shared" si="12"/>
        <v>100</v>
      </c>
      <c r="T30" s="1573" t="s">
        <v>8</v>
      </c>
      <c r="U30" s="1574">
        <f t="shared" si="13"/>
        <v>100</v>
      </c>
      <c r="V30" s="1573" t="s">
        <v>8</v>
      </c>
      <c r="W30" s="1574">
        <f t="shared" si="14"/>
        <v>100</v>
      </c>
      <c r="X30" s="1567"/>
      <c r="Y30" s="346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64"/>
      <c r="Q31" s="1572">
        <f t="shared" si="11"/>
        <v>111</v>
      </c>
      <c r="R31" s="1573" t="s">
        <v>8</v>
      </c>
      <c r="S31" s="1574">
        <f t="shared" si="12"/>
        <v>100</v>
      </c>
      <c r="T31" s="1573" t="s">
        <v>8</v>
      </c>
      <c r="U31" s="1574">
        <f t="shared" si="13"/>
        <v>100</v>
      </c>
      <c r="V31" s="1573" t="s">
        <v>8</v>
      </c>
      <c r="W31" s="1574">
        <f t="shared" si="14"/>
        <v>100</v>
      </c>
      <c r="X31" s="1567"/>
      <c r="Y31" s="3464"/>
      <c r="Z31" s="1575">
        <f t="shared" si="15"/>
        <v>111</v>
      </c>
      <c r="AA31" s="1576">
        <f t="shared" si="3"/>
        <v>1</v>
      </c>
      <c r="AB31" s="1576">
        <f t="shared" si="4"/>
        <v>1</v>
      </c>
      <c r="AC31" s="1576">
        <f t="shared" si="5"/>
        <v>1</v>
      </c>
    </row>
    <row r="32" spans="1:29" ht="15">
      <c r="A32" s="2932"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65" t="s">
        <v>549</v>
      </c>
      <c r="Q32" s="1572" t="str">
        <f t="shared" si="11"/>
        <v>商业类型</v>
      </c>
      <c r="R32" s="1573" t="s">
        <v>8</v>
      </c>
      <c r="S32" s="1574">
        <f t="shared" si="12"/>
        <v>100</v>
      </c>
      <c r="T32" s="1573" t="s">
        <v>8</v>
      </c>
      <c r="U32" s="1574">
        <f t="shared" si="13"/>
        <v>100</v>
      </c>
      <c r="V32" s="1573" t="s">
        <v>8</v>
      </c>
      <c r="W32" s="1574">
        <f t="shared" si="14"/>
        <v>100</v>
      </c>
      <c r="X32" s="1567"/>
      <c r="Y32" s="3466" t="s">
        <v>549</v>
      </c>
      <c r="Z32" s="1575" t="str">
        <f t="shared" si="15"/>
        <v>商业类型</v>
      </c>
      <c r="AA32" s="1576">
        <f t="shared" si="3"/>
        <v>1</v>
      </c>
      <c r="AB32" s="1576">
        <f t="shared" si="4"/>
        <v>1</v>
      </c>
      <c r="AC32" s="1576">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66"/>
      <c r="Q33" s="1605" t="str">
        <f t="shared" si="11"/>
        <v>项目建筑规模</v>
      </c>
      <c r="R33" s="1577" t="s">
        <v>8</v>
      </c>
      <c r="S33" s="1578" t="e">
        <f t="shared" si="12"/>
        <v>#N/A</v>
      </c>
      <c r="T33" s="1577" t="s">
        <v>8</v>
      </c>
      <c r="U33" s="1578" t="e">
        <f t="shared" si="13"/>
        <v>#N/A</v>
      </c>
      <c r="V33" s="1577" t="s">
        <v>8</v>
      </c>
      <c r="W33" s="1578" t="e">
        <f t="shared" si="14"/>
        <v>#N/A</v>
      </c>
      <c r="X33" s="1579"/>
      <c r="Y33" s="3466"/>
      <c r="Z33" s="1580" t="str">
        <f t="shared" si="15"/>
        <v>项目建筑规模</v>
      </c>
      <c r="AA33" s="1576" t="e">
        <f t="shared" si="3"/>
        <v>#N/A</v>
      </c>
      <c r="AB33" s="1576" t="e">
        <f t="shared" si="4"/>
        <v>#N/A</v>
      </c>
      <c r="AC33" s="1576"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66"/>
      <c r="Q34" s="1572" t="str">
        <f t="shared" si="11"/>
        <v>建筑结构</v>
      </c>
      <c r="R34" s="1573" t="s">
        <v>8</v>
      </c>
      <c r="S34" s="1574">
        <f t="shared" si="12"/>
        <v>100</v>
      </c>
      <c r="T34" s="1573" t="s">
        <v>8</v>
      </c>
      <c r="U34" s="1574">
        <f t="shared" si="13"/>
        <v>100</v>
      </c>
      <c r="V34" s="1573" t="s">
        <v>8</v>
      </c>
      <c r="W34" s="1574">
        <f t="shared" si="14"/>
        <v>100</v>
      </c>
      <c r="X34" s="1567"/>
      <c r="Y34" s="3466"/>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66"/>
      <c r="Q35" s="1572" t="str">
        <f t="shared" si="11"/>
        <v>公共部分装修</v>
      </c>
      <c r="R35" s="1573" t="s">
        <v>8</v>
      </c>
      <c r="S35" s="1574">
        <f t="shared" si="12"/>
        <v>100</v>
      </c>
      <c r="T35" s="1573" t="s">
        <v>8</v>
      </c>
      <c r="U35" s="1574">
        <f t="shared" si="13"/>
        <v>100</v>
      </c>
      <c r="V35" s="1573" t="s">
        <v>8</v>
      </c>
      <c r="W35" s="1574">
        <f t="shared" si="14"/>
        <v>100</v>
      </c>
      <c r="X35" s="1567"/>
      <c r="Y35" s="3466"/>
      <c r="Z35" s="1575" t="str">
        <f t="shared" si="15"/>
        <v>公共部分装修</v>
      </c>
      <c r="AA35" s="1576">
        <f t="shared" si="3"/>
        <v>1</v>
      </c>
      <c r="AB35" s="1576">
        <f t="shared" si="4"/>
        <v>1</v>
      </c>
      <c r="AC35" s="1576">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66"/>
      <c r="Q36" s="1572" t="str">
        <f t="shared" si="11"/>
        <v>成新度</v>
      </c>
      <c r="R36" s="1573" t="s">
        <v>8</v>
      </c>
      <c r="S36" s="1574" t="e">
        <f t="shared" si="12"/>
        <v>#N/A</v>
      </c>
      <c r="T36" s="1573" t="s">
        <v>8</v>
      </c>
      <c r="U36" s="1574" t="e">
        <f t="shared" si="13"/>
        <v>#N/A</v>
      </c>
      <c r="V36" s="1573" t="s">
        <v>8</v>
      </c>
      <c r="W36" s="1574" t="e">
        <f t="shared" si="14"/>
        <v>#N/A</v>
      </c>
      <c r="X36" s="1567"/>
      <c r="Y36" s="3466"/>
      <c r="Z36" s="1575" t="str">
        <f t="shared" si="15"/>
        <v>成新度</v>
      </c>
      <c r="AA36" s="1576" t="e">
        <f t="shared" si="3"/>
        <v>#N/A</v>
      </c>
      <c r="AB36" s="1576" t="e">
        <f t="shared" si="4"/>
        <v>#N/A</v>
      </c>
      <c r="AC36" s="1576" t="e">
        <f t="shared" si="5"/>
        <v>#N/A</v>
      </c>
    </row>
    <row r="37" spans="1:29" s="1219"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66"/>
      <c r="Q37" s="1150" t="str">
        <f t="shared" si="11"/>
        <v>市政基础设施</v>
      </c>
      <c r="R37" s="1568" t="s">
        <v>8</v>
      </c>
      <c r="S37" s="1569">
        <f t="shared" si="12"/>
        <v>100</v>
      </c>
      <c r="T37" s="1568" t="s">
        <v>8</v>
      </c>
      <c r="U37" s="1569">
        <f t="shared" si="13"/>
        <v>100</v>
      </c>
      <c r="V37" s="1568" t="s">
        <v>8</v>
      </c>
      <c r="W37" s="1569">
        <f t="shared" si="14"/>
        <v>100</v>
      </c>
      <c r="X37" s="1570"/>
      <c r="Y37" s="3466"/>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66" t="s">
        <v>765</v>
      </c>
      <c r="Q38" s="1572" t="str">
        <f t="shared" si="11"/>
        <v>业态</v>
      </c>
      <c r="R38" s="1573" t="s">
        <v>8</v>
      </c>
      <c r="S38" s="1574">
        <f t="shared" si="12"/>
        <v>100</v>
      </c>
      <c r="T38" s="1573" t="s">
        <v>8</v>
      </c>
      <c r="U38" s="1574">
        <f t="shared" si="13"/>
        <v>100</v>
      </c>
      <c r="V38" s="1573" t="s">
        <v>8</v>
      </c>
      <c r="W38" s="1574">
        <f t="shared" si="14"/>
        <v>100</v>
      </c>
      <c r="X38" s="1567"/>
      <c r="Y38" s="3466"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66"/>
      <c r="Q39" s="1572" t="str">
        <f t="shared" si="11"/>
        <v>层高</v>
      </c>
      <c r="R39" s="1573" t="s">
        <v>8</v>
      </c>
      <c r="S39" s="1574">
        <f t="shared" si="12"/>
        <v>100</v>
      </c>
      <c r="T39" s="1573" t="s">
        <v>8</v>
      </c>
      <c r="U39" s="1574">
        <f t="shared" si="13"/>
        <v>100</v>
      </c>
      <c r="V39" s="1573" t="s">
        <v>8</v>
      </c>
      <c r="W39" s="1574">
        <f t="shared" si="14"/>
        <v>100</v>
      </c>
      <c r="X39" s="1567"/>
      <c r="Y39" s="3466"/>
      <c r="Z39" s="1575" t="str">
        <f t="shared" si="15"/>
        <v>层高</v>
      </c>
      <c r="AA39" s="1576">
        <f t="shared" si="3"/>
        <v>1</v>
      </c>
      <c r="AB39" s="1576">
        <f t="shared" si="4"/>
        <v>1</v>
      </c>
      <c r="AC39" s="1576">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66"/>
      <c r="Q40" s="1572" t="str">
        <f t="shared" si="11"/>
        <v>单套建筑面积</v>
      </c>
      <c r="R40" s="1573" t="s">
        <v>8</v>
      </c>
      <c r="S40" s="1574">
        <f t="shared" si="12"/>
        <v>100</v>
      </c>
      <c r="T40" s="1573" t="s">
        <v>8</v>
      </c>
      <c r="U40" s="1574">
        <f t="shared" si="13"/>
        <v>100</v>
      </c>
      <c r="V40" s="1573" t="s">
        <v>8</v>
      </c>
      <c r="W40" s="1574">
        <f t="shared" si="14"/>
        <v>100</v>
      </c>
      <c r="X40" s="1567"/>
      <c r="Y40" s="3466"/>
      <c r="Z40" s="1575" t="str">
        <f t="shared" si="15"/>
        <v>单套建筑面积</v>
      </c>
      <c r="AA40" s="1576">
        <f t="shared" si="3"/>
        <v>1</v>
      </c>
      <c r="AB40" s="1576">
        <f t="shared" si="4"/>
        <v>1</v>
      </c>
      <c r="AC40" s="1576">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66"/>
      <c r="Q41" s="1605" t="str">
        <f t="shared" si="11"/>
        <v>进深比</v>
      </c>
      <c r="R41" s="1577" t="s">
        <v>8</v>
      </c>
      <c r="S41" s="1578">
        <f t="shared" si="12"/>
        <v>100</v>
      </c>
      <c r="T41" s="1577" t="s">
        <v>8</v>
      </c>
      <c r="U41" s="1578">
        <f t="shared" si="13"/>
        <v>100</v>
      </c>
      <c r="V41" s="1577" t="s">
        <v>8</v>
      </c>
      <c r="W41" s="1578">
        <f t="shared" si="14"/>
        <v>100</v>
      </c>
      <c r="X41" s="1579"/>
      <c r="Y41" s="3466"/>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66"/>
      <c r="Q42" s="1572" t="str">
        <f t="shared" si="11"/>
        <v>内部装修</v>
      </c>
      <c r="R42" s="1573" t="s">
        <v>8</v>
      </c>
      <c r="S42" s="1574">
        <f t="shared" si="12"/>
        <v>100</v>
      </c>
      <c r="T42" s="1573" t="s">
        <v>8</v>
      </c>
      <c r="U42" s="1574">
        <f t="shared" si="13"/>
        <v>100</v>
      </c>
      <c r="V42" s="1573" t="s">
        <v>8</v>
      </c>
      <c r="W42" s="1574">
        <f t="shared" si="14"/>
        <v>100</v>
      </c>
      <c r="X42" s="1567"/>
      <c r="Y42" s="3466"/>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66"/>
      <c r="Q43" s="1572" t="str">
        <f t="shared" si="11"/>
        <v>内部装修维护情况</v>
      </c>
      <c r="R43" s="1573" t="s">
        <v>8</v>
      </c>
      <c r="S43" s="1574">
        <f t="shared" si="12"/>
        <v>100</v>
      </c>
      <c r="T43" s="1573" t="s">
        <v>8</v>
      </c>
      <c r="U43" s="1574">
        <f t="shared" si="13"/>
        <v>100</v>
      </c>
      <c r="V43" s="1573" t="s">
        <v>8</v>
      </c>
      <c r="W43" s="1574">
        <f t="shared" si="14"/>
        <v>100</v>
      </c>
      <c r="X43" s="1567"/>
      <c r="Y43" s="346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66"/>
      <c r="Q44" s="1150">
        <f t="shared" si="11"/>
        <v>111</v>
      </c>
      <c r="R44" s="1568" t="s">
        <v>8</v>
      </c>
      <c r="S44" s="1569">
        <f t="shared" si="12"/>
        <v>100</v>
      </c>
      <c r="T44" s="1568" t="s">
        <v>8</v>
      </c>
      <c r="U44" s="1569">
        <f t="shared" si="13"/>
        <v>100</v>
      </c>
      <c r="V44" s="1568" t="s">
        <v>8</v>
      </c>
      <c r="W44" s="1569">
        <f t="shared" si="14"/>
        <v>100</v>
      </c>
      <c r="X44" s="1570"/>
      <c r="Y44" s="346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66"/>
      <c r="Q45" s="1572">
        <f t="shared" si="11"/>
        <v>111</v>
      </c>
      <c r="R45" s="1573" t="s">
        <v>8</v>
      </c>
      <c r="S45" s="1574">
        <f t="shared" si="12"/>
        <v>100</v>
      </c>
      <c r="T45" s="1573" t="s">
        <v>8</v>
      </c>
      <c r="U45" s="1574">
        <f t="shared" si="13"/>
        <v>100</v>
      </c>
      <c r="V45" s="1573" t="s">
        <v>8</v>
      </c>
      <c r="W45" s="1574">
        <f t="shared" si="14"/>
        <v>100</v>
      </c>
      <c r="X45" s="1567"/>
      <c r="Y45" s="346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21"/>
      <c r="Q46" s="1572">
        <f t="shared" si="11"/>
        <v>111</v>
      </c>
      <c r="R46" s="1573" t="s">
        <v>8</v>
      </c>
      <c r="S46" s="1574">
        <f t="shared" si="12"/>
        <v>100</v>
      </c>
      <c r="T46" s="1573" t="s">
        <v>8</v>
      </c>
      <c r="U46" s="1574">
        <f t="shared" si="13"/>
        <v>100</v>
      </c>
      <c r="V46" s="1573" t="s">
        <v>8</v>
      </c>
      <c r="W46" s="1574">
        <f t="shared" si="14"/>
        <v>100</v>
      </c>
      <c r="X46" s="1567"/>
      <c r="Y46" s="3521"/>
      <c r="Z46" s="1575">
        <f t="shared" si="15"/>
        <v>111</v>
      </c>
      <c r="AA46" s="1576">
        <f t="shared" si="3"/>
        <v>1</v>
      </c>
      <c r="AB46" s="1576">
        <f t="shared" si="4"/>
        <v>1</v>
      </c>
      <c r="AC46" s="1576">
        <f t="shared" si="5"/>
        <v>1</v>
      </c>
    </row>
    <row r="47" spans="1:29" ht="15">
      <c r="A47" s="607" t="s">
        <v>735</v>
      </c>
      <c r="B47" s="886"/>
      <c r="C47" s="2652" t="s">
        <v>1</v>
      </c>
      <c r="D47" s="2653"/>
      <c r="E47" s="2654"/>
      <c r="F47" s="2655"/>
      <c r="G47" s="2656"/>
      <c r="H47" s="2657"/>
      <c r="I47" s="2654"/>
      <c r="J47" s="2657"/>
      <c r="K47" s="1611"/>
      <c r="L47" s="2145"/>
      <c r="M47" s="2146"/>
      <c r="N47" s="2135"/>
      <c r="O47" s="2146"/>
      <c r="P47" s="3427" t="str">
        <f>A47</f>
        <v>成交单价（元/平方米）</v>
      </c>
      <c r="Q47" s="3427"/>
      <c r="R47" s="3520">
        <f>E47</f>
        <v>0</v>
      </c>
      <c r="S47" s="3520"/>
      <c r="T47" s="3520">
        <f>G47</f>
        <v>0</v>
      </c>
      <c r="U47" s="3520"/>
      <c r="V47" s="3520">
        <f>I47</f>
        <v>0</v>
      </c>
      <c r="W47" s="3520"/>
      <c r="X47" s="1559"/>
      <c r="Y47" s="1581"/>
      <c r="Z47" s="1559"/>
      <c r="AA47" s="1559"/>
      <c r="AB47" s="1559"/>
      <c r="AC47" s="1559"/>
    </row>
    <row r="48" spans="1:29" ht="15.75" thickBot="1">
      <c r="A48" s="615" t="s">
        <v>2760</v>
      </c>
      <c r="B48" s="887"/>
      <c r="C48" s="2658" t="e">
        <f>R49</f>
        <v>#DIV/0!</v>
      </c>
      <c r="D48" s="2659"/>
      <c r="E48" s="2660" t="e">
        <f>R48</f>
        <v>#DIV/0!</v>
      </c>
      <c r="F48" s="2660"/>
      <c r="G48" s="2658" t="e">
        <f>T48</f>
        <v>#DIV/0!</v>
      </c>
      <c r="H48" s="2659"/>
      <c r="I48" s="2660" t="e">
        <f>V48</f>
        <v>#DIV/0!</v>
      </c>
      <c r="J48" s="2659"/>
      <c r="K48" s="1612"/>
      <c r="L48" s="2145"/>
      <c r="M48" s="2146"/>
      <c r="N48" s="2135"/>
      <c r="O48" s="2146"/>
      <c r="P48" s="3427" t="str">
        <f>A48</f>
        <v>比较价格（元/平方米）</v>
      </c>
      <c r="Q48" s="3427"/>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59"/>
      <c r="Y48" s="1559"/>
      <c r="Z48" s="1559"/>
      <c r="AA48" s="1559"/>
      <c r="AB48" s="1559"/>
      <c r="AC48" s="1559"/>
    </row>
    <row r="49" spans="1:29" ht="15.75" thickBot="1">
      <c r="A49" s="621" t="s">
        <v>2922</v>
      </c>
      <c r="B49" s="622"/>
      <c r="C49" s="2661" t="e">
        <f>R49</f>
        <v>#DIV/0!</v>
      </c>
      <c r="D49" s="2661"/>
      <c r="E49" s="2661"/>
      <c r="F49" s="2661"/>
      <c r="G49" s="2661"/>
      <c r="H49" s="2661"/>
      <c r="I49" s="2661"/>
      <c r="J49" s="2661"/>
      <c r="K49" s="1613"/>
      <c r="L49" s="2145"/>
      <c r="M49" s="2146"/>
      <c r="N49" s="2135"/>
      <c r="O49" s="2146"/>
      <c r="P49" s="3424" t="str">
        <f>A49</f>
        <v>估价对象XX用房的比较价格（楼面单价，元/平方米）</v>
      </c>
      <c r="Q49" s="3425"/>
      <c r="R49" s="3519" t="e">
        <f>IF(F1="售价",ROUND(AVERAGE(R48:V48),0),ROUND(AVERAGE(R48:V48),1))</f>
        <v>#DIV/0!</v>
      </c>
      <c r="S49" s="3519"/>
      <c r="T49" s="3519"/>
      <c r="U49" s="3519"/>
      <c r="V49" s="3519"/>
      <c r="W49" s="351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433" t="s">
        <v>521</v>
      </c>
      <c r="D4" s="3434"/>
      <c r="E4" s="3470" t="s">
        <v>522</v>
      </c>
      <c r="F4" s="3471"/>
      <c r="G4" s="3433" t="s">
        <v>523</v>
      </c>
      <c r="H4" s="3434"/>
      <c r="I4" s="3433" t="s">
        <v>524</v>
      </c>
      <c r="J4" s="3434"/>
      <c r="K4" s="514" t="s">
        <v>525</v>
      </c>
      <c r="L4" s="2134"/>
      <c r="M4" s="2135"/>
      <c r="N4" s="2135"/>
      <c r="O4" s="2135"/>
      <c r="P4" s="3546" t="s">
        <v>526</v>
      </c>
      <c r="Q4" s="3436"/>
      <c r="R4" s="3441" t="s">
        <v>522</v>
      </c>
      <c r="S4" s="3442"/>
      <c r="T4" s="3441" t="s">
        <v>523</v>
      </c>
      <c r="U4" s="3442"/>
      <c r="V4" s="3428" t="s">
        <v>524</v>
      </c>
      <c r="W4" s="3428"/>
      <c r="X4" s="1567"/>
      <c r="Y4" s="3441" t="s">
        <v>526</v>
      </c>
      <c r="Z4" s="3442"/>
      <c r="AA4" s="3430" t="s">
        <v>522</v>
      </c>
      <c r="AB4" s="3430" t="s">
        <v>523</v>
      </c>
      <c r="AC4" s="3430" t="s">
        <v>524</v>
      </c>
    </row>
    <row r="5" spans="1:29" ht="15">
      <c r="A5" s="515"/>
      <c r="B5" s="516"/>
      <c r="C5" s="3451" t="s">
        <v>2916</v>
      </c>
      <c r="D5" s="3450"/>
      <c r="E5" s="3472" t="s">
        <v>2917</v>
      </c>
      <c r="F5" s="3473"/>
      <c r="G5" s="3451" t="s">
        <v>2918</v>
      </c>
      <c r="H5" s="3450"/>
      <c r="I5" s="3451" t="s">
        <v>2919</v>
      </c>
      <c r="J5" s="3450"/>
      <c r="K5" s="514"/>
      <c r="L5" s="2134"/>
      <c r="M5" s="2135"/>
      <c r="N5" s="2135"/>
      <c r="O5" s="2135"/>
      <c r="P5" s="3547"/>
      <c r="Q5" s="3438"/>
      <c r="R5" s="3443"/>
      <c r="S5" s="3444"/>
      <c r="T5" s="3443"/>
      <c r="U5" s="3444"/>
      <c r="V5" s="3428"/>
      <c r="W5" s="3428"/>
      <c r="X5" s="1567"/>
      <c r="Y5" s="3443"/>
      <c r="Z5" s="3444"/>
      <c r="AA5" s="3431"/>
      <c r="AB5" s="3431"/>
      <c r="AC5" s="3431"/>
    </row>
    <row r="6" spans="1:29" ht="15.75" thickBot="1">
      <c r="A6" s="517"/>
      <c r="B6" s="518"/>
      <c r="C6" s="3467" t="s">
        <v>2920</v>
      </c>
      <c r="D6" s="3448"/>
      <c r="E6" s="3468" t="s">
        <v>2920</v>
      </c>
      <c r="F6" s="3469"/>
      <c r="G6" s="3467" t="s">
        <v>2920</v>
      </c>
      <c r="H6" s="3448"/>
      <c r="I6" s="3467" t="s">
        <v>2920</v>
      </c>
      <c r="J6" s="3448"/>
      <c r="K6" s="514" t="s">
        <v>527</v>
      </c>
      <c r="L6" s="2134"/>
      <c r="M6" s="2135"/>
      <c r="N6" s="2135"/>
      <c r="O6" s="2135"/>
      <c r="P6" s="3548"/>
      <c r="Q6" s="3440"/>
      <c r="R6" s="3443"/>
      <c r="S6" s="3444"/>
      <c r="T6" s="3445"/>
      <c r="U6" s="3446"/>
      <c r="V6" s="3428"/>
      <c r="W6" s="3428"/>
      <c r="X6" s="1567"/>
      <c r="Y6" s="3445"/>
      <c r="Z6" s="3446"/>
      <c r="AA6" s="3432"/>
      <c r="AB6" s="3432"/>
      <c r="AC6" s="3432"/>
    </row>
    <row r="7" spans="1:29" s="1219" customFormat="1" ht="15.75" thickBot="1">
      <c r="A7" s="2937"/>
      <c r="B7" s="2944" t="s">
        <v>528</v>
      </c>
      <c r="C7" s="519">
        <f>'数据-取费表'!B2</f>
        <v>43217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62" t="s">
        <v>529</v>
      </c>
      <c r="Q7" s="3462"/>
      <c r="R7" s="1568" t="s">
        <v>8</v>
      </c>
      <c r="S7" s="1569">
        <f t="shared" ref="S7:S15" si="0">F7</f>
        <v>0</v>
      </c>
      <c r="T7" s="1568" t="s">
        <v>8</v>
      </c>
      <c r="U7" s="1569">
        <f t="shared" ref="U7:U15" si="1">H7</f>
        <v>0</v>
      </c>
      <c r="V7" s="1568" t="s">
        <v>8</v>
      </c>
      <c r="W7" s="1569">
        <f t="shared" ref="W7:W15" si="2">J7</f>
        <v>0</v>
      </c>
      <c r="X7" s="1570"/>
      <c r="Y7" s="3460" t="s">
        <v>529</v>
      </c>
      <c r="Z7" s="3461"/>
      <c r="AA7" s="1571" t="e">
        <f>D7/F7</f>
        <v>#DIV/0!</v>
      </c>
      <c r="AB7" s="1571" t="e">
        <f>D7/H7</f>
        <v>#DIV/0!</v>
      </c>
      <c r="AC7" s="1571" t="e">
        <f>D7/J7</f>
        <v>#DIV/0!</v>
      </c>
    </row>
    <row r="8" spans="1:29" s="1219"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62" t="s">
        <v>532</v>
      </c>
      <c r="Q8" s="3461"/>
      <c r="R8" s="1568" t="s">
        <v>8</v>
      </c>
      <c r="S8" s="1569">
        <f t="shared" si="0"/>
        <v>0</v>
      </c>
      <c r="T8" s="1568" t="s">
        <v>8</v>
      </c>
      <c r="U8" s="1569">
        <f t="shared" si="1"/>
        <v>0</v>
      </c>
      <c r="V8" s="1568" t="s">
        <v>8</v>
      </c>
      <c r="W8" s="1569">
        <f t="shared" si="2"/>
        <v>0</v>
      </c>
      <c r="X8" s="1570"/>
      <c r="Y8" s="3460" t="s">
        <v>532</v>
      </c>
      <c r="Z8" s="3461"/>
      <c r="AA8" s="1571" t="e">
        <f t="shared" ref="AA8:AA47" si="3">D8/F8</f>
        <v>#DIV/0!</v>
      </c>
      <c r="AB8" s="1571" t="e">
        <f t="shared" ref="AB8:AB47" si="4">D8/H8</f>
        <v>#DIV/0!</v>
      </c>
      <c r="AC8" s="1571" t="e">
        <f t="shared" ref="AC8:AC47" si="5">D8/J8</f>
        <v>#DIV/0!</v>
      </c>
    </row>
    <row r="9" spans="1:29" s="1219" customFormat="1" ht="15">
      <c r="A9" s="2939"/>
      <c r="B9" s="2946"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27" t="s">
        <v>534</v>
      </c>
      <c r="Q9" s="1150" t="str">
        <f t="shared" ref="Q9:Q15" si="6">B9</f>
        <v>用途</v>
      </c>
      <c r="R9" s="1568" t="s">
        <v>8</v>
      </c>
      <c r="S9" s="1569">
        <f t="shared" si="0"/>
        <v>100</v>
      </c>
      <c r="T9" s="1568" t="s">
        <v>8</v>
      </c>
      <c r="U9" s="1569">
        <f t="shared" si="1"/>
        <v>100</v>
      </c>
      <c r="V9" s="1568" t="s">
        <v>8</v>
      </c>
      <c r="W9" s="1569">
        <f t="shared" si="2"/>
        <v>100</v>
      </c>
      <c r="X9" s="1570"/>
      <c r="Y9" s="3366" t="s">
        <v>535</v>
      </c>
      <c r="Z9" s="1149" t="str">
        <f t="shared" ref="Z9:Z15" si="7">Q9</f>
        <v>用途</v>
      </c>
      <c r="AA9" s="1571">
        <f t="shared" si="3"/>
        <v>1</v>
      </c>
      <c r="AB9" s="1571">
        <f t="shared" si="4"/>
        <v>1</v>
      </c>
      <c r="AC9" s="1571">
        <f t="shared" si="5"/>
        <v>1</v>
      </c>
    </row>
    <row r="10" spans="1:29" s="1337" customFormat="1" ht="27">
      <c r="A10" s="2940"/>
      <c r="B10" s="2945"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27"/>
      <c r="Q10" s="1150" t="str">
        <f t="shared" si="6"/>
        <v>土地使用年限（年）</v>
      </c>
      <c r="R10" s="1568" t="s">
        <v>8</v>
      </c>
      <c r="S10" s="1569">
        <f t="shared" si="0"/>
        <v>100</v>
      </c>
      <c r="T10" s="1568" t="s">
        <v>8</v>
      </c>
      <c r="U10" s="1569">
        <f t="shared" si="1"/>
        <v>100</v>
      </c>
      <c r="V10" s="1568" t="s">
        <v>8</v>
      </c>
      <c r="W10" s="1569">
        <f t="shared" si="2"/>
        <v>100</v>
      </c>
      <c r="X10" s="1570"/>
      <c r="Y10" s="3366"/>
      <c r="Z10" s="1149"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27"/>
      <c r="Q11" s="1150" t="str">
        <f t="shared" si="6"/>
        <v>容积率</v>
      </c>
      <c r="R11" s="1568" t="s">
        <v>8</v>
      </c>
      <c r="S11" s="1569" t="e">
        <f t="shared" si="0"/>
        <v>#N/A</v>
      </c>
      <c r="T11" s="1568" t="s">
        <v>8</v>
      </c>
      <c r="U11" s="1569" t="e">
        <f t="shared" si="1"/>
        <v>#N/A</v>
      </c>
      <c r="V11" s="1568" t="s">
        <v>8</v>
      </c>
      <c r="W11" s="1569" t="e">
        <f t="shared" si="2"/>
        <v>#N/A</v>
      </c>
      <c r="X11" s="1570"/>
      <c r="Y11" s="3366"/>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27"/>
      <c r="Q12" s="1150">
        <f t="shared" si="6"/>
        <v>111</v>
      </c>
      <c r="R12" s="1568" t="s">
        <v>8</v>
      </c>
      <c r="S12" s="1569">
        <f t="shared" si="0"/>
        <v>100</v>
      </c>
      <c r="T12" s="1568" t="s">
        <v>8</v>
      </c>
      <c r="U12" s="1569">
        <f t="shared" si="1"/>
        <v>100</v>
      </c>
      <c r="V12" s="1568" t="s">
        <v>8</v>
      </c>
      <c r="W12" s="1569">
        <f t="shared" si="2"/>
        <v>100</v>
      </c>
      <c r="X12" s="1570"/>
      <c r="Y12" s="3366"/>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27"/>
      <c r="Q13" s="1150">
        <f t="shared" si="6"/>
        <v>111</v>
      </c>
      <c r="R13" s="1568" t="s">
        <v>8</v>
      </c>
      <c r="S13" s="1569">
        <f t="shared" si="0"/>
        <v>100</v>
      </c>
      <c r="T13" s="1568" t="s">
        <v>8</v>
      </c>
      <c r="U13" s="1569">
        <f t="shared" si="1"/>
        <v>100</v>
      </c>
      <c r="V13" s="1568" t="s">
        <v>8</v>
      </c>
      <c r="W13" s="1569">
        <f t="shared" si="2"/>
        <v>100</v>
      </c>
      <c r="X13" s="1570"/>
      <c r="Y13" s="3366"/>
      <c r="Z13" s="1149">
        <f t="shared" si="7"/>
        <v>111</v>
      </c>
      <c r="AA13" s="1571">
        <f t="shared" si="3"/>
        <v>1</v>
      </c>
      <c r="AB13" s="1571">
        <f t="shared" si="4"/>
        <v>1</v>
      </c>
      <c r="AC13" s="1571">
        <f t="shared" si="5"/>
        <v>1</v>
      </c>
    </row>
    <row r="14" spans="1:29" ht="15.75"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27"/>
      <c r="Q14" s="1150">
        <f t="shared" si="6"/>
        <v>111</v>
      </c>
      <c r="R14" s="1568" t="s">
        <v>8</v>
      </c>
      <c r="S14" s="1569">
        <f t="shared" si="0"/>
        <v>100</v>
      </c>
      <c r="T14" s="1568" t="s">
        <v>8</v>
      </c>
      <c r="U14" s="1569">
        <f t="shared" si="1"/>
        <v>100</v>
      </c>
      <c r="V14" s="1568" t="s">
        <v>8</v>
      </c>
      <c r="W14" s="1569">
        <f t="shared" si="2"/>
        <v>100</v>
      </c>
      <c r="X14" s="1570"/>
      <c r="Y14" s="3366"/>
      <c r="Z14" s="1149">
        <f t="shared" si="7"/>
        <v>111</v>
      </c>
      <c r="AA14" s="1571">
        <f t="shared" si="3"/>
        <v>1</v>
      </c>
      <c r="AB14" s="1571">
        <f t="shared" si="4"/>
        <v>1</v>
      </c>
      <c r="AC14" s="1571">
        <f t="shared" si="5"/>
        <v>1</v>
      </c>
    </row>
    <row r="15" spans="1:29" ht="15">
      <c r="A15" s="2935" t="s">
        <v>2754</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63" t="s">
        <v>539</v>
      </c>
      <c r="Q15" s="1572" t="str">
        <f t="shared" si="6"/>
        <v>办公集聚程度</v>
      </c>
      <c r="R15" s="1573" t="s">
        <v>8</v>
      </c>
      <c r="S15" s="1574">
        <f t="shared" si="0"/>
        <v>100</v>
      </c>
      <c r="T15" s="1573" t="s">
        <v>8</v>
      </c>
      <c r="U15" s="1574">
        <f t="shared" si="1"/>
        <v>100</v>
      </c>
      <c r="V15" s="1573" t="s">
        <v>8</v>
      </c>
      <c r="W15" s="1574">
        <f t="shared" si="2"/>
        <v>100</v>
      </c>
      <c r="X15" s="1567"/>
      <c r="Y15" s="3463"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64"/>
      <c r="Q16" s="1572"/>
      <c r="R16" s="1573"/>
      <c r="S16" s="1574"/>
      <c r="T16" s="1573"/>
      <c r="U16" s="1574"/>
      <c r="V16" s="1573"/>
      <c r="W16" s="1574"/>
      <c r="X16" s="1567"/>
      <c r="Y16" s="3464"/>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64"/>
      <c r="Q17" s="1572" t="str">
        <f>B17</f>
        <v>交通便捷度</v>
      </c>
      <c r="R17" s="1573" t="s">
        <v>8</v>
      </c>
      <c r="S17" s="1574">
        <f>F17</f>
        <v>100</v>
      </c>
      <c r="T17" s="1573" t="s">
        <v>8</v>
      </c>
      <c r="U17" s="1574">
        <f>H17</f>
        <v>100</v>
      </c>
      <c r="V17" s="1573" t="s">
        <v>8</v>
      </c>
      <c r="W17" s="1574">
        <f>J17</f>
        <v>100</v>
      </c>
      <c r="X17" s="1567"/>
      <c r="Y17" s="346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64"/>
      <c r="Q18" s="1572"/>
      <c r="R18" s="1573"/>
      <c r="S18" s="1574"/>
      <c r="T18" s="1573"/>
      <c r="U18" s="1574"/>
      <c r="V18" s="1573"/>
      <c r="W18" s="1574"/>
      <c r="X18" s="1567"/>
      <c r="Y18" s="3464"/>
      <c r="Z18" s="1575"/>
      <c r="AA18" s="1576">
        <v>1</v>
      </c>
      <c r="AB18" s="1576">
        <v>1</v>
      </c>
      <c r="AC18" s="1576">
        <v>1</v>
      </c>
    </row>
    <row r="19" spans="1:29" ht="15">
      <c r="A19" s="532"/>
      <c r="B19" s="2628" t="s">
        <v>2546</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64"/>
      <c r="Q19" s="1572" t="str">
        <f>B19</f>
        <v>公共配套设施</v>
      </c>
      <c r="R19" s="1573" t="s">
        <v>8</v>
      </c>
      <c r="S19" s="1574">
        <f>F19</f>
        <v>100</v>
      </c>
      <c r="T19" s="1573" t="s">
        <v>8</v>
      </c>
      <c r="U19" s="1574">
        <f>H19</f>
        <v>100</v>
      </c>
      <c r="V19" s="1573" t="s">
        <v>8</v>
      </c>
      <c r="W19" s="1574">
        <f>J19</f>
        <v>100</v>
      </c>
      <c r="X19" s="1567"/>
      <c r="Y19" s="346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64"/>
      <c r="Q20" s="1572"/>
      <c r="R20" s="1573"/>
      <c r="S20" s="1574"/>
      <c r="T20" s="1573"/>
      <c r="U20" s="1574"/>
      <c r="V20" s="1573"/>
      <c r="W20" s="1574"/>
      <c r="X20" s="1567"/>
      <c r="Y20" s="3464"/>
      <c r="Z20" s="1575"/>
      <c r="AA20" s="1576">
        <v>1</v>
      </c>
      <c r="AB20" s="1576">
        <v>1</v>
      </c>
      <c r="AC20" s="1576">
        <v>1</v>
      </c>
    </row>
    <row r="21" spans="1:29" ht="15">
      <c r="A21" s="532"/>
      <c r="B21" s="2616" t="s">
        <v>2558</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64"/>
      <c r="Q21" s="2604" t="str">
        <f>B21</f>
        <v>基础设施水平</v>
      </c>
      <c r="R21" s="1573" t="s">
        <v>8</v>
      </c>
      <c r="S21" s="1574">
        <f>F21</f>
        <v>100</v>
      </c>
      <c r="T21" s="1573" t="s">
        <v>8</v>
      </c>
      <c r="U21" s="1574">
        <f>H21</f>
        <v>100</v>
      </c>
      <c r="V21" s="1573" t="s">
        <v>8</v>
      </c>
      <c r="W21" s="1574">
        <f>J21</f>
        <v>100</v>
      </c>
      <c r="X21" s="2606"/>
      <c r="Y21" s="346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64"/>
      <c r="Q22" s="2604"/>
      <c r="R22" s="1573"/>
      <c r="S22" s="1574"/>
      <c r="T22" s="1573"/>
      <c r="U22" s="1574"/>
      <c r="V22" s="1573"/>
      <c r="W22" s="1574"/>
      <c r="X22" s="2606"/>
      <c r="Y22" s="3464"/>
      <c r="Z22" s="2605"/>
      <c r="AA22" s="1576">
        <v>1</v>
      </c>
      <c r="AB22" s="1576">
        <v>1</v>
      </c>
      <c r="AC22" s="1576">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64"/>
      <c r="Q23" s="1572" t="str">
        <f>B23</f>
        <v>环境质量</v>
      </c>
      <c r="R23" s="1573" t="s">
        <v>8</v>
      </c>
      <c r="S23" s="1574">
        <f>F23</f>
        <v>100</v>
      </c>
      <c r="T23" s="1573" t="s">
        <v>8</v>
      </c>
      <c r="U23" s="1574">
        <f>H23</f>
        <v>100</v>
      </c>
      <c r="V23" s="1573" t="s">
        <v>8</v>
      </c>
      <c r="W23" s="1574">
        <f>J23</f>
        <v>100</v>
      </c>
      <c r="X23" s="1567"/>
      <c r="Y23" s="346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64"/>
      <c r="Q24" s="1572"/>
      <c r="R24" s="1573"/>
      <c r="S24" s="1574"/>
      <c r="T24" s="1573"/>
      <c r="U24" s="1574"/>
      <c r="V24" s="1573"/>
      <c r="W24" s="1574"/>
      <c r="X24" s="1567"/>
      <c r="Y24" s="3464"/>
      <c r="Z24" s="1575"/>
      <c r="AA24" s="1576">
        <v>1</v>
      </c>
      <c r="AB24" s="1576">
        <v>1</v>
      </c>
      <c r="AC24" s="1576">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64"/>
      <c r="Q25" s="1572" t="str">
        <f>B25</f>
        <v>毗邻道路的类型与等级</v>
      </c>
      <c r="R25" s="1573" t="s">
        <v>8</v>
      </c>
      <c r="S25" s="1574">
        <f>F25</f>
        <v>100</v>
      </c>
      <c r="T25" s="1573" t="s">
        <v>8</v>
      </c>
      <c r="U25" s="1574">
        <f>H25</f>
        <v>100</v>
      </c>
      <c r="V25" s="1573" t="s">
        <v>8</v>
      </c>
      <c r="W25" s="1574">
        <f>J25</f>
        <v>100</v>
      </c>
      <c r="X25" s="1567"/>
      <c r="Y25" s="346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64"/>
      <c r="Q26" s="1572"/>
      <c r="R26" s="1573"/>
      <c r="S26" s="1574"/>
      <c r="T26" s="1573"/>
      <c r="U26" s="1574"/>
      <c r="V26" s="1573"/>
      <c r="W26" s="1574"/>
      <c r="X26" s="1567"/>
      <c r="Y26" s="3464"/>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64"/>
      <c r="Q27" s="1572" t="str">
        <f t="shared" ref="Q27:Q47" si="11">B27</f>
        <v>楼层</v>
      </c>
      <c r="R27" s="1573" t="s">
        <v>8</v>
      </c>
      <c r="S27" s="1574">
        <f>F27</f>
        <v>100</v>
      </c>
      <c r="T27" s="1573" t="s">
        <v>8</v>
      </c>
      <c r="U27" s="1574">
        <f>H27</f>
        <v>100</v>
      </c>
      <c r="V27" s="1573" t="s">
        <v>8</v>
      </c>
      <c r="W27" s="1574">
        <f>J27</f>
        <v>100</v>
      </c>
      <c r="X27" s="1567"/>
      <c r="Y27" s="3464"/>
      <c r="Z27" s="1575" t="str">
        <f>Q27</f>
        <v>楼层</v>
      </c>
      <c r="AA27" s="1576">
        <f t="shared" si="3"/>
        <v>1</v>
      </c>
      <c r="AB27" s="1576">
        <f t="shared" si="4"/>
        <v>1</v>
      </c>
      <c r="AC27" s="1576">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64"/>
      <c r="Q28" s="1150" t="str">
        <f t="shared" si="11"/>
        <v>朝向</v>
      </c>
      <c r="R28" s="1568" t="s">
        <v>8</v>
      </c>
      <c r="S28" s="1569">
        <f>F28</f>
        <v>100</v>
      </c>
      <c r="T28" s="1568" t="s">
        <v>8</v>
      </c>
      <c r="U28" s="1569">
        <f>H28</f>
        <v>100</v>
      </c>
      <c r="V28" s="1568" t="s">
        <v>8</v>
      </c>
      <c r="W28" s="1569">
        <f>J28</f>
        <v>100</v>
      </c>
      <c r="X28" s="1570"/>
      <c r="Y28" s="346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64"/>
      <c r="Q29" s="1572">
        <f t="shared" si="11"/>
        <v>111</v>
      </c>
      <c r="R29" s="1573" t="s">
        <v>8</v>
      </c>
      <c r="S29" s="1574">
        <f t="shared" ref="S29:S47" si="12">F29</f>
        <v>100</v>
      </c>
      <c r="T29" s="1573" t="s">
        <v>8</v>
      </c>
      <c r="U29" s="1574">
        <f t="shared" ref="U29:U47" si="13">H29</f>
        <v>100</v>
      </c>
      <c r="V29" s="1573" t="s">
        <v>8</v>
      </c>
      <c r="W29" s="1574">
        <f t="shared" ref="W29:W47" si="14">J29</f>
        <v>100</v>
      </c>
      <c r="X29" s="1567"/>
      <c r="Y29" s="346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64"/>
      <c r="Q30" s="1572">
        <f t="shared" si="11"/>
        <v>111</v>
      </c>
      <c r="R30" s="1573" t="s">
        <v>8</v>
      </c>
      <c r="S30" s="1574">
        <f t="shared" si="12"/>
        <v>100</v>
      </c>
      <c r="T30" s="1573" t="s">
        <v>8</v>
      </c>
      <c r="U30" s="1574">
        <f t="shared" si="13"/>
        <v>100</v>
      </c>
      <c r="V30" s="1573" t="s">
        <v>8</v>
      </c>
      <c r="W30" s="1574">
        <f t="shared" si="14"/>
        <v>100</v>
      </c>
      <c r="X30" s="1567"/>
      <c r="Y30" s="346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64"/>
      <c r="Q31" s="1572">
        <f t="shared" si="11"/>
        <v>111</v>
      </c>
      <c r="R31" s="1573" t="s">
        <v>8</v>
      </c>
      <c r="S31" s="1574">
        <f t="shared" si="12"/>
        <v>100</v>
      </c>
      <c r="T31" s="1573" t="s">
        <v>8</v>
      </c>
      <c r="U31" s="1574">
        <f t="shared" si="13"/>
        <v>100</v>
      </c>
      <c r="V31" s="1573" t="s">
        <v>8</v>
      </c>
      <c r="W31" s="1574">
        <f t="shared" si="14"/>
        <v>100</v>
      </c>
      <c r="X31" s="1567"/>
      <c r="Y31" s="346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64"/>
      <c r="Q32" s="1572">
        <f t="shared" si="11"/>
        <v>111</v>
      </c>
      <c r="R32" s="1573" t="s">
        <v>8</v>
      </c>
      <c r="S32" s="1574">
        <f t="shared" si="12"/>
        <v>100</v>
      </c>
      <c r="T32" s="1573" t="s">
        <v>8</v>
      </c>
      <c r="U32" s="1574">
        <f t="shared" si="13"/>
        <v>100</v>
      </c>
      <c r="V32" s="1573" t="s">
        <v>8</v>
      </c>
      <c r="W32" s="1574">
        <f t="shared" si="14"/>
        <v>100</v>
      </c>
      <c r="X32" s="1567"/>
      <c r="Y32" s="3464"/>
      <c r="Z32" s="1575">
        <f t="shared" si="15"/>
        <v>111</v>
      </c>
      <c r="AA32" s="1576">
        <f t="shared" si="3"/>
        <v>1</v>
      </c>
      <c r="AB32" s="1576">
        <f t="shared" si="4"/>
        <v>1</v>
      </c>
      <c r="AC32" s="1576">
        <f t="shared" si="5"/>
        <v>1</v>
      </c>
    </row>
    <row r="33" spans="1:29" ht="15">
      <c r="A33" s="2932"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65" t="s">
        <v>549</v>
      </c>
      <c r="Q33" s="1572" t="str">
        <f t="shared" si="11"/>
        <v>建筑类型</v>
      </c>
      <c r="R33" s="1573" t="s">
        <v>8</v>
      </c>
      <c r="S33" s="1574">
        <f t="shared" si="12"/>
        <v>100</v>
      </c>
      <c r="T33" s="1573" t="s">
        <v>8</v>
      </c>
      <c r="U33" s="1574">
        <f t="shared" si="13"/>
        <v>100</v>
      </c>
      <c r="V33" s="1573" t="s">
        <v>8</v>
      </c>
      <c r="W33" s="1574">
        <f t="shared" si="14"/>
        <v>100</v>
      </c>
      <c r="X33" s="1567"/>
      <c r="Y33" s="3466" t="s">
        <v>549</v>
      </c>
      <c r="Z33" s="1575" t="str">
        <f t="shared" si="15"/>
        <v>建筑类型</v>
      </c>
      <c r="AA33" s="1576">
        <f t="shared" si="3"/>
        <v>1</v>
      </c>
      <c r="AB33" s="1576">
        <f t="shared" si="4"/>
        <v>1</v>
      </c>
      <c r="AC33" s="1576">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66"/>
      <c r="Q34" s="1605" t="str">
        <f t="shared" si="11"/>
        <v>项目建筑规模</v>
      </c>
      <c r="R34" s="1577" t="s">
        <v>8</v>
      </c>
      <c r="S34" s="1578" t="e">
        <f t="shared" si="12"/>
        <v>#N/A</v>
      </c>
      <c r="T34" s="1577" t="s">
        <v>8</v>
      </c>
      <c r="U34" s="1578" t="e">
        <f t="shared" si="13"/>
        <v>#N/A</v>
      </c>
      <c r="V34" s="1577" t="s">
        <v>8</v>
      </c>
      <c r="W34" s="1578" t="e">
        <f t="shared" si="14"/>
        <v>#N/A</v>
      </c>
      <c r="X34" s="1579"/>
      <c r="Y34" s="3466"/>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66"/>
      <c r="Q35" s="1572" t="str">
        <f t="shared" si="11"/>
        <v>建筑结构</v>
      </c>
      <c r="R35" s="1573" t="s">
        <v>8</v>
      </c>
      <c r="S35" s="1574">
        <f t="shared" si="12"/>
        <v>100</v>
      </c>
      <c r="T35" s="1573" t="s">
        <v>8</v>
      </c>
      <c r="U35" s="1574">
        <f t="shared" si="13"/>
        <v>100</v>
      </c>
      <c r="V35" s="1573" t="s">
        <v>8</v>
      </c>
      <c r="W35" s="1574">
        <f t="shared" si="14"/>
        <v>100</v>
      </c>
      <c r="X35" s="1567"/>
      <c r="Y35" s="3466"/>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66"/>
      <c r="Q36" s="1572" t="str">
        <f t="shared" si="11"/>
        <v>公共部分装修</v>
      </c>
      <c r="R36" s="1573" t="s">
        <v>8</v>
      </c>
      <c r="S36" s="1574">
        <f t="shared" si="12"/>
        <v>100</v>
      </c>
      <c r="T36" s="1573" t="s">
        <v>8</v>
      </c>
      <c r="U36" s="1574">
        <f t="shared" si="13"/>
        <v>100</v>
      </c>
      <c r="V36" s="1573" t="s">
        <v>8</v>
      </c>
      <c r="W36" s="1574">
        <f t="shared" si="14"/>
        <v>100</v>
      </c>
      <c r="X36" s="1567"/>
      <c r="Y36" s="3466"/>
      <c r="Z36" s="1575" t="str">
        <f t="shared" si="15"/>
        <v>公共部分装修</v>
      </c>
      <c r="AA36" s="1576">
        <f t="shared" si="3"/>
        <v>1</v>
      </c>
      <c r="AB36" s="1576">
        <f t="shared" si="4"/>
        <v>1</v>
      </c>
      <c r="AC36" s="1576">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66"/>
      <c r="Q37" s="1572" t="str">
        <f t="shared" si="11"/>
        <v>成新度</v>
      </c>
      <c r="R37" s="1573" t="s">
        <v>8</v>
      </c>
      <c r="S37" s="1574" t="e">
        <f t="shared" si="12"/>
        <v>#N/A</v>
      </c>
      <c r="T37" s="1573" t="s">
        <v>8</v>
      </c>
      <c r="U37" s="1574" t="e">
        <f t="shared" si="13"/>
        <v>#N/A</v>
      </c>
      <c r="V37" s="1573" t="s">
        <v>8</v>
      </c>
      <c r="W37" s="1574" t="e">
        <f t="shared" si="14"/>
        <v>#N/A</v>
      </c>
      <c r="X37" s="1567"/>
      <c r="Y37" s="3466"/>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66"/>
      <c r="Q38" s="1150" t="str">
        <f t="shared" si="11"/>
        <v>写字楼等级</v>
      </c>
      <c r="R38" s="1568" t="s">
        <v>8</v>
      </c>
      <c r="S38" s="1569">
        <f t="shared" si="12"/>
        <v>100</v>
      </c>
      <c r="T38" s="1568" t="s">
        <v>8</v>
      </c>
      <c r="U38" s="1569">
        <f t="shared" si="13"/>
        <v>100</v>
      </c>
      <c r="V38" s="1568" t="s">
        <v>8</v>
      </c>
      <c r="W38" s="1569">
        <f t="shared" si="14"/>
        <v>100</v>
      </c>
      <c r="X38" s="1570"/>
      <c r="Y38" s="3466"/>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66" t="s">
        <v>549</v>
      </c>
      <c r="Q39" s="1572" t="str">
        <f t="shared" si="11"/>
        <v>物业管理</v>
      </c>
      <c r="R39" s="1573" t="s">
        <v>8</v>
      </c>
      <c r="S39" s="1574">
        <f t="shared" si="12"/>
        <v>100</v>
      </c>
      <c r="T39" s="1573" t="s">
        <v>8</v>
      </c>
      <c r="U39" s="1574">
        <f t="shared" si="13"/>
        <v>100</v>
      </c>
      <c r="V39" s="1573" t="s">
        <v>8</v>
      </c>
      <c r="W39" s="1574">
        <f t="shared" si="14"/>
        <v>100</v>
      </c>
      <c r="X39" s="1567"/>
      <c r="Y39" s="3466" t="s">
        <v>549</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66"/>
      <c r="Q40" s="1572" t="str">
        <f t="shared" si="11"/>
        <v>市政基础设施</v>
      </c>
      <c r="R40" s="1573" t="s">
        <v>8</v>
      </c>
      <c r="S40" s="1574">
        <f t="shared" si="12"/>
        <v>100</v>
      </c>
      <c r="T40" s="1573" t="s">
        <v>8</v>
      </c>
      <c r="U40" s="1574">
        <f t="shared" si="13"/>
        <v>100</v>
      </c>
      <c r="V40" s="1573" t="s">
        <v>8</v>
      </c>
      <c r="W40" s="1574">
        <f t="shared" si="14"/>
        <v>100</v>
      </c>
      <c r="X40" s="1567"/>
      <c r="Y40" s="3466"/>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66"/>
      <c r="Q41" s="1572" t="str">
        <f t="shared" si="11"/>
        <v>层高</v>
      </c>
      <c r="R41" s="1573" t="s">
        <v>8</v>
      </c>
      <c r="S41" s="1574">
        <f t="shared" si="12"/>
        <v>100</v>
      </c>
      <c r="T41" s="1573" t="s">
        <v>8</v>
      </c>
      <c r="U41" s="1574">
        <f t="shared" si="13"/>
        <v>100</v>
      </c>
      <c r="V41" s="1573" t="s">
        <v>8</v>
      </c>
      <c r="W41" s="1574">
        <f t="shared" si="14"/>
        <v>100</v>
      </c>
      <c r="X41" s="1567"/>
      <c r="Y41" s="3466"/>
      <c r="Z41" s="1575" t="str">
        <f t="shared" si="15"/>
        <v>层高</v>
      </c>
      <c r="AA41" s="1576">
        <f t="shared" si="3"/>
        <v>1</v>
      </c>
      <c r="AB41" s="1576">
        <f t="shared" si="4"/>
        <v>1</v>
      </c>
      <c r="AC41" s="1576">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66"/>
      <c r="Q42" s="1605" t="str">
        <f t="shared" si="11"/>
        <v>单套建筑面积</v>
      </c>
      <c r="R42" s="1577" t="s">
        <v>8</v>
      </c>
      <c r="S42" s="1578">
        <f t="shared" si="12"/>
        <v>100</v>
      </c>
      <c r="T42" s="1577" t="s">
        <v>8</v>
      </c>
      <c r="U42" s="1578">
        <f t="shared" si="13"/>
        <v>100</v>
      </c>
      <c r="V42" s="1577" t="s">
        <v>8</v>
      </c>
      <c r="W42" s="1578">
        <f t="shared" si="14"/>
        <v>100</v>
      </c>
      <c r="X42" s="1579"/>
      <c r="Y42" s="3466"/>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66"/>
      <c r="Q43" s="1572" t="str">
        <f t="shared" si="11"/>
        <v>内部装修</v>
      </c>
      <c r="R43" s="1573" t="s">
        <v>8</v>
      </c>
      <c r="S43" s="1574">
        <f t="shared" si="12"/>
        <v>100</v>
      </c>
      <c r="T43" s="1573" t="s">
        <v>8</v>
      </c>
      <c r="U43" s="1574">
        <f t="shared" si="13"/>
        <v>100</v>
      </c>
      <c r="V43" s="1573" t="s">
        <v>8</v>
      </c>
      <c r="W43" s="1574">
        <f t="shared" si="14"/>
        <v>100</v>
      </c>
      <c r="X43" s="1567"/>
      <c r="Y43" s="3466"/>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66"/>
      <c r="Q44" s="1572" t="str">
        <f t="shared" si="11"/>
        <v>内部装修维护情况</v>
      </c>
      <c r="R44" s="1573" t="s">
        <v>8</v>
      </c>
      <c r="S44" s="1574">
        <f t="shared" si="12"/>
        <v>100</v>
      </c>
      <c r="T44" s="1573" t="s">
        <v>8</v>
      </c>
      <c r="U44" s="1574">
        <f t="shared" si="13"/>
        <v>100</v>
      </c>
      <c r="V44" s="1573" t="s">
        <v>8</v>
      </c>
      <c r="W44" s="1574">
        <f t="shared" si="14"/>
        <v>100</v>
      </c>
      <c r="X44" s="1567"/>
      <c r="Y44" s="346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66"/>
      <c r="Q45" s="1150">
        <f t="shared" si="11"/>
        <v>111</v>
      </c>
      <c r="R45" s="1568" t="s">
        <v>8</v>
      </c>
      <c r="S45" s="1569">
        <f t="shared" si="12"/>
        <v>100</v>
      </c>
      <c r="T45" s="1568" t="s">
        <v>8</v>
      </c>
      <c r="U45" s="1569">
        <f t="shared" si="13"/>
        <v>100</v>
      </c>
      <c r="V45" s="1568" t="s">
        <v>8</v>
      </c>
      <c r="W45" s="1569">
        <f t="shared" si="14"/>
        <v>100</v>
      </c>
      <c r="X45" s="1570"/>
      <c r="Y45" s="346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66"/>
      <c r="Q46" s="1572">
        <f t="shared" si="11"/>
        <v>111</v>
      </c>
      <c r="R46" s="1573" t="s">
        <v>8</v>
      </c>
      <c r="S46" s="1574">
        <f t="shared" si="12"/>
        <v>100</v>
      </c>
      <c r="T46" s="1573" t="s">
        <v>8</v>
      </c>
      <c r="U46" s="1574">
        <f t="shared" si="13"/>
        <v>100</v>
      </c>
      <c r="V46" s="1573" t="s">
        <v>8</v>
      </c>
      <c r="W46" s="1574">
        <f t="shared" si="14"/>
        <v>100</v>
      </c>
      <c r="X46" s="1567"/>
      <c r="Y46" s="346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21"/>
      <c r="Q47" s="1572">
        <f t="shared" si="11"/>
        <v>111</v>
      </c>
      <c r="R47" s="1573" t="s">
        <v>8</v>
      </c>
      <c r="S47" s="1574">
        <f t="shared" si="12"/>
        <v>100</v>
      </c>
      <c r="T47" s="1573" t="s">
        <v>8</v>
      </c>
      <c r="U47" s="1574">
        <f t="shared" si="13"/>
        <v>100</v>
      </c>
      <c r="V47" s="1573" t="s">
        <v>8</v>
      </c>
      <c r="W47" s="1574">
        <f t="shared" si="14"/>
        <v>100</v>
      </c>
      <c r="X47" s="1567"/>
      <c r="Y47" s="3521"/>
      <c r="Z47" s="1575">
        <f t="shared" si="15"/>
        <v>111</v>
      </c>
      <c r="AA47" s="1576">
        <f t="shared" si="3"/>
        <v>1</v>
      </c>
      <c r="AB47" s="1576">
        <f t="shared" si="4"/>
        <v>1</v>
      </c>
      <c r="AC47" s="1576">
        <f t="shared" si="5"/>
        <v>1</v>
      </c>
    </row>
    <row r="48" spans="1:29" ht="15">
      <c r="A48" s="607" t="s">
        <v>735</v>
      </c>
      <c r="B48" s="886"/>
      <c r="C48" s="2652" t="s">
        <v>1</v>
      </c>
      <c r="D48" s="2653"/>
      <c r="E48" s="2654"/>
      <c r="F48" s="2655"/>
      <c r="G48" s="2656"/>
      <c r="H48" s="2657"/>
      <c r="I48" s="2654"/>
      <c r="J48" s="2657"/>
      <c r="K48" s="1611"/>
      <c r="L48" s="2145"/>
      <c r="M48" s="2135"/>
      <c r="N48" s="2135"/>
      <c r="O48" s="2135"/>
      <c r="P48" s="3425" t="str">
        <f>A48</f>
        <v>成交单价（元/平方米）</v>
      </c>
      <c r="Q48" s="3427"/>
      <c r="R48" s="3520">
        <f>E48</f>
        <v>0</v>
      </c>
      <c r="S48" s="3520"/>
      <c r="T48" s="3520">
        <f>G48</f>
        <v>0</v>
      </c>
      <c r="U48" s="3520"/>
      <c r="V48" s="3520">
        <f>I48</f>
        <v>0</v>
      </c>
      <c r="W48" s="3520"/>
      <c r="X48" s="1559"/>
      <c r="Y48" s="1581"/>
      <c r="Z48" s="1559"/>
      <c r="AA48" s="1559"/>
      <c r="AB48" s="1559"/>
      <c r="AC48" s="1559"/>
    </row>
    <row r="49" spans="1:29" ht="15.75" thickBot="1">
      <c r="A49" s="615" t="s">
        <v>2760</v>
      </c>
      <c r="B49" s="887"/>
      <c r="C49" s="2658" t="e">
        <f>R50</f>
        <v>#DIV/0!</v>
      </c>
      <c r="D49" s="2659"/>
      <c r="E49" s="2660" t="e">
        <f>R49</f>
        <v>#DIV/0!</v>
      </c>
      <c r="F49" s="2660"/>
      <c r="G49" s="2658" t="e">
        <f>T49</f>
        <v>#DIV/0!</v>
      </c>
      <c r="H49" s="2659"/>
      <c r="I49" s="2660" t="e">
        <f>V49</f>
        <v>#DIV/0!</v>
      </c>
      <c r="J49" s="2659"/>
      <c r="K49" s="1612"/>
      <c r="L49" s="2145"/>
      <c r="M49" s="2135"/>
      <c r="N49" s="2135"/>
      <c r="O49" s="2135"/>
      <c r="P49" s="3425" t="str">
        <f>A49</f>
        <v>比较价格（元/平方米）</v>
      </c>
      <c r="Q49" s="3427"/>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59"/>
      <c r="Y49" s="1559"/>
      <c r="Z49" s="1559"/>
      <c r="AA49" s="1559"/>
      <c r="AB49" s="1559"/>
      <c r="AC49" s="1559"/>
    </row>
    <row r="50" spans="1:29" ht="15.75" thickBot="1">
      <c r="A50" s="621" t="s">
        <v>2922</v>
      </c>
      <c r="B50" s="622"/>
      <c r="C50" s="2661" t="e">
        <f>R50</f>
        <v>#DIV/0!</v>
      </c>
      <c r="D50" s="2661"/>
      <c r="E50" s="2661"/>
      <c r="F50" s="2661"/>
      <c r="G50" s="2661"/>
      <c r="H50" s="2661"/>
      <c r="I50" s="2661"/>
      <c r="J50" s="2661"/>
      <c r="K50" s="1613"/>
      <c r="L50" s="2145"/>
      <c r="M50" s="2135"/>
      <c r="N50" s="2135"/>
      <c r="O50" s="2135"/>
      <c r="P50" s="3545" t="str">
        <f>A50</f>
        <v>估价对象XX用房的比较价格（楼面单价，元/平方米）</v>
      </c>
      <c r="Q50" s="3425"/>
      <c r="R50" s="3519" t="e">
        <f>IF(F1="售价",ROUND(AVERAGE(R49:V49),0),ROUND(AVERAGE(R49:V49),1))</f>
        <v>#DIV/0!</v>
      </c>
      <c r="S50" s="3519"/>
      <c r="T50" s="3519"/>
      <c r="U50" s="3519"/>
      <c r="V50" s="3519"/>
      <c r="W50" s="351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2558</v>
      </c>
      <c r="C83" s="2623" t="s">
        <v>2559</v>
      </c>
      <c r="D83" s="2623" t="s">
        <v>2560</v>
      </c>
      <c r="E83" s="2623" t="s">
        <v>2561</v>
      </c>
      <c r="F83" s="2623" t="s">
        <v>2562</v>
      </c>
      <c r="G83" s="2623" t="s">
        <v>2563</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786</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1905</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93.75">
      <c r="A7" s="2898" t="s">
        <v>2748</v>
      </c>
    </row>
    <row r="8" spans="1:4" ht="18.75">
      <c r="A8" s="1795" t="s">
        <v>1906</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2018年4月27日（评估专业人员勘察现场之日）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2749</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433" t="s">
        <v>521</v>
      </c>
      <c r="D4" s="3434"/>
      <c r="E4" s="3470" t="s">
        <v>522</v>
      </c>
      <c r="F4" s="3471"/>
      <c r="G4" s="3433" t="s">
        <v>523</v>
      </c>
      <c r="H4" s="3434"/>
      <c r="I4" s="3433" t="s">
        <v>524</v>
      </c>
      <c r="J4" s="3434"/>
      <c r="K4" s="514" t="s">
        <v>525</v>
      </c>
      <c r="L4" s="2134"/>
      <c r="M4" s="2135"/>
      <c r="N4" s="2135"/>
      <c r="O4" s="2135"/>
      <c r="P4" s="3435" t="s">
        <v>526</v>
      </c>
      <c r="Q4" s="3436"/>
      <c r="R4" s="3441" t="s">
        <v>522</v>
      </c>
      <c r="S4" s="3442"/>
      <c r="T4" s="3441" t="s">
        <v>523</v>
      </c>
      <c r="U4" s="3442"/>
      <c r="V4" s="3428" t="s">
        <v>524</v>
      </c>
      <c r="W4" s="3428"/>
      <c r="X4" s="1567"/>
      <c r="Y4" s="3441" t="s">
        <v>526</v>
      </c>
      <c r="Z4" s="3442"/>
      <c r="AA4" s="3430" t="s">
        <v>522</v>
      </c>
      <c r="AB4" s="3431" t="s">
        <v>523</v>
      </c>
      <c r="AC4" s="3430" t="s">
        <v>524</v>
      </c>
    </row>
    <row r="5" spans="1:29" ht="15">
      <c r="A5" s="515"/>
      <c r="B5" s="516"/>
      <c r="C5" s="3451" t="s">
        <v>2916</v>
      </c>
      <c r="D5" s="3450"/>
      <c r="E5" s="3472" t="s">
        <v>2917</v>
      </c>
      <c r="F5" s="3473"/>
      <c r="G5" s="3451" t="s">
        <v>2918</v>
      </c>
      <c r="H5" s="3450"/>
      <c r="I5" s="3451" t="s">
        <v>2919</v>
      </c>
      <c r="J5" s="3450"/>
      <c r="K5" s="514"/>
      <c r="L5" s="2134"/>
      <c r="M5" s="2135"/>
      <c r="N5" s="2135"/>
      <c r="O5" s="2135"/>
      <c r="P5" s="3437"/>
      <c r="Q5" s="3438"/>
      <c r="R5" s="3443"/>
      <c r="S5" s="3444"/>
      <c r="T5" s="3443"/>
      <c r="U5" s="3444"/>
      <c r="V5" s="3428"/>
      <c r="W5" s="3428"/>
      <c r="X5" s="1567"/>
      <c r="Y5" s="3443"/>
      <c r="Z5" s="3444"/>
      <c r="AA5" s="3431"/>
      <c r="AB5" s="3431"/>
      <c r="AC5" s="3431"/>
    </row>
    <row r="6" spans="1:29" ht="15.75" thickBot="1">
      <c r="A6" s="517"/>
      <c r="B6" s="518"/>
      <c r="C6" s="3467" t="s">
        <v>2920</v>
      </c>
      <c r="D6" s="3448"/>
      <c r="E6" s="3468" t="s">
        <v>2920</v>
      </c>
      <c r="F6" s="3469"/>
      <c r="G6" s="3467" t="s">
        <v>2920</v>
      </c>
      <c r="H6" s="3448"/>
      <c r="I6" s="3467" t="s">
        <v>2920</v>
      </c>
      <c r="J6" s="3448"/>
      <c r="K6" s="514" t="s">
        <v>527</v>
      </c>
      <c r="L6" s="2134"/>
      <c r="M6" s="2135"/>
      <c r="N6" s="2135"/>
      <c r="O6" s="2135"/>
      <c r="P6" s="3439"/>
      <c r="Q6" s="3440"/>
      <c r="R6" s="3443"/>
      <c r="S6" s="3444"/>
      <c r="T6" s="3445"/>
      <c r="U6" s="3446"/>
      <c r="V6" s="3428"/>
      <c r="W6" s="3428"/>
      <c r="X6" s="1567"/>
      <c r="Y6" s="3445"/>
      <c r="Z6" s="3446"/>
      <c r="AA6" s="3432"/>
      <c r="AB6" s="3432"/>
      <c r="AC6" s="3432"/>
    </row>
    <row r="7" spans="1:29" s="1219" customFormat="1" ht="15.75" thickBot="1">
      <c r="A7" s="2937"/>
      <c r="B7" s="2944" t="s">
        <v>528</v>
      </c>
      <c r="C7" s="519">
        <f>'数据-取费表'!B2</f>
        <v>43217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60" t="s">
        <v>529</v>
      </c>
      <c r="Q7" s="3462"/>
      <c r="R7" s="1568" t="s">
        <v>8</v>
      </c>
      <c r="S7" s="1569">
        <f t="shared" ref="S7:S15" si="0">F7</f>
        <v>0</v>
      </c>
      <c r="T7" s="1568" t="s">
        <v>8</v>
      </c>
      <c r="U7" s="1569">
        <f t="shared" ref="U7:U15" si="1">H7</f>
        <v>0</v>
      </c>
      <c r="V7" s="1568" t="s">
        <v>8</v>
      </c>
      <c r="W7" s="1569">
        <f t="shared" ref="W7:W15" si="2">J7</f>
        <v>0</v>
      </c>
      <c r="X7" s="1570"/>
      <c r="Y7" s="3460" t="s">
        <v>529</v>
      </c>
      <c r="Z7" s="3461"/>
      <c r="AA7" s="1571" t="e">
        <f>D7/F7</f>
        <v>#DIV/0!</v>
      </c>
      <c r="AB7" s="1571" t="e">
        <f>D7/H7</f>
        <v>#DIV/0!</v>
      </c>
      <c r="AC7" s="1571" t="e">
        <f>D7/J7</f>
        <v>#DIV/0!</v>
      </c>
    </row>
    <row r="8" spans="1:29" s="1219"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60" t="s">
        <v>532</v>
      </c>
      <c r="Q8" s="3461"/>
      <c r="R8" s="1568" t="s">
        <v>8</v>
      </c>
      <c r="S8" s="1569">
        <f t="shared" si="0"/>
        <v>0</v>
      </c>
      <c r="T8" s="1568" t="s">
        <v>8</v>
      </c>
      <c r="U8" s="1569">
        <f t="shared" si="1"/>
        <v>0</v>
      </c>
      <c r="V8" s="1568" t="s">
        <v>8</v>
      </c>
      <c r="W8" s="1569">
        <f t="shared" si="2"/>
        <v>0</v>
      </c>
      <c r="X8" s="1570"/>
      <c r="Y8" s="3460" t="s">
        <v>532</v>
      </c>
      <c r="Z8" s="3461"/>
      <c r="AA8" s="1571" t="e">
        <f t="shared" ref="AA8:AA40" si="3">D8/F8</f>
        <v>#DIV/0!</v>
      </c>
      <c r="AB8" s="1571" t="e">
        <f t="shared" ref="AB8:AB40" si="4">D8/H8</f>
        <v>#DIV/0!</v>
      </c>
      <c r="AC8" s="1571" t="e">
        <f t="shared" ref="AC8:AC40" si="5">D8/J8</f>
        <v>#DIV/0!</v>
      </c>
    </row>
    <row r="9" spans="1:29" s="1219" customFormat="1" ht="15">
      <c r="A9" s="2939"/>
      <c r="B9" s="2946"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7" t="s">
        <v>534</v>
      </c>
      <c r="Q9" s="1150" t="str">
        <f t="shared" ref="Q9:Q15" si="6">B9</f>
        <v>用途</v>
      </c>
      <c r="R9" s="1568" t="s">
        <v>8</v>
      </c>
      <c r="S9" s="1569">
        <f t="shared" si="0"/>
        <v>100</v>
      </c>
      <c r="T9" s="1568" t="s">
        <v>8</v>
      </c>
      <c r="U9" s="1569">
        <f t="shared" si="1"/>
        <v>100</v>
      </c>
      <c r="V9" s="1568" t="s">
        <v>8</v>
      </c>
      <c r="W9" s="1569">
        <f t="shared" si="2"/>
        <v>100</v>
      </c>
      <c r="X9" s="1570"/>
      <c r="Y9" s="3366" t="s">
        <v>535</v>
      </c>
      <c r="Z9" s="1149" t="str">
        <f t="shared" ref="Z9:Z15" si="7">Q9</f>
        <v>用途</v>
      </c>
      <c r="AA9" s="1571">
        <f t="shared" si="3"/>
        <v>1</v>
      </c>
      <c r="AB9" s="1571">
        <f t="shared" si="4"/>
        <v>1</v>
      </c>
      <c r="AC9" s="1571">
        <f t="shared" si="5"/>
        <v>1</v>
      </c>
    </row>
    <row r="10" spans="1:29" s="1337" customFormat="1" ht="27">
      <c r="A10" s="2940"/>
      <c r="B10" s="2945"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7"/>
      <c r="Q10" s="1150" t="str">
        <f t="shared" si="6"/>
        <v>土地使用年限（年）</v>
      </c>
      <c r="R10" s="1568" t="s">
        <v>8</v>
      </c>
      <c r="S10" s="1569">
        <f t="shared" si="0"/>
        <v>100</v>
      </c>
      <c r="T10" s="1568" t="s">
        <v>8</v>
      </c>
      <c r="U10" s="1569">
        <f t="shared" si="1"/>
        <v>100</v>
      </c>
      <c r="V10" s="1568" t="s">
        <v>8</v>
      </c>
      <c r="W10" s="1569">
        <f t="shared" si="2"/>
        <v>100</v>
      </c>
      <c r="X10" s="1570"/>
      <c r="Y10" s="3366"/>
      <c r="Z10" s="1149"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7"/>
      <c r="Q11" s="1150" t="str">
        <f t="shared" si="6"/>
        <v>容积率</v>
      </c>
      <c r="R11" s="1568" t="s">
        <v>8</v>
      </c>
      <c r="S11" s="1569" t="e">
        <f t="shared" si="0"/>
        <v>#N/A</v>
      </c>
      <c r="T11" s="1568" t="s">
        <v>8</v>
      </c>
      <c r="U11" s="1569" t="e">
        <f t="shared" si="1"/>
        <v>#N/A</v>
      </c>
      <c r="V11" s="1568" t="s">
        <v>8</v>
      </c>
      <c r="W11" s="1569" t="e">
        <f t="shared" si="2"/>
        <v>#N/A</v>
      </c>
      <c r="X11" s="1570"/>
      <c r="Y11" s="3366"/>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27"/>
      <c r="Q12" s="1150">
        <f t="shared" si="6"/>
        <v>111</v>
      </c>
      <c r="R12" s="1568" t="s">
        <v>8</v>
      </c>
      <c r="S12" s="1569">
        <f t="shared" si="0"/>
        <v>100</v>
      </c>
      <c r="T12" s="1568" t="s">
        <v>8</v>
      </c>
      <c r="U12" s="1569">
        <f t="shared" si="1"/>
        <v>100</v>
      </c>
      <c r="V12" s="1568" t="s">
        <v>8</v>
      </c>
      <c r="W12" s="1569">
        <f t="shared" si="2"/>
        <v>100</v>
      </c>
      <c r="X12" s="1570"/>
      <c r="Y12" s="3366"/>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27"/>
      <c r="Q13" s="1150">
        <f t="shared" si="6"/>
        <v>111</v>
      </c>
      <c r="R13" s="1568" t="s">
        <v>8</v>
      </c>
      <c r="S13" s="1569">
        <f t="shared" si="0"/>
        <v>100</v>
      </c>
      <c r="T13" s="1568" t="s">
        <v>8</v>
      </c>
      <c r="U13" s="1569">
        <f t="shared" si="1"/>
        <v>100</v>
      </c>
      <c r="V13" s="1568" t="s">
        <v>8</v>
      </c>
      <c r="W13" s="1569">
        <f t="shared" si="2"/>
        <v>100</v>
      </c>
      <c r="X13" s="1570"/>
      <c r="Y13" s="3366"/>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27"/>
      <c r="Q14" s="1150">
        <f t="shared" si="6"/>
        <v>111</v>
      </c>
      <c r="R14" s="1568" t="s">
        <v>8</v>
      </c>
      <c r="S14" s="1569">
        <f t="shared" si="0"/>
        <v>100</v>
      </c>
      <c r="T14" s="1568" t="s">
        <v>8</v>
      </c>
      <c r="U14" s="1569">
        <f t="shared" si="1"/>
        <v>100</v>
      </c>
      <c r="V14" s="1568" t="s">
        <v>8</v>
      </c>
      <c r="W14" s="1569">
        <f t="shared" si="2"/>
        <v>100</v>
      </c>
      <c r="X14" s="1570"/>
      <c r="Y14" s="3366"/>
      <c r="Z14" s="1149">
        <f t="shared" si="7"/>
        <v>111</v>
      </c>
      <c r="AA14" s="1571">
        <f t="shared" si="3"/>
        <v>1</v>
      </c>
      <c r="AB14" s="1571">
        <f t="shared" si="4"/>
        <v>1</v>
      </c>
      <c r="AC14" s="1571">
        <f t="shared" si="5"/>
        <v>1</v>
      </c>
    </row>
    <row r="15" spans="1:29" ht="15">
      <c r="A15" s="2935" t="s">
        <v>2754</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63" t="s">
        <v>539</v>
      </c>
      <c r="Q15" s="1572" t="str">
        <f t="shared" si="6"/>
        <v>产业集聚程度</v>
      </c>
      <c r="R15" s="1573" t="s">
        <v>8</v>
      </c>
      <c r="S15" s="1574">
        <f t="shared" si="0"/>
        <v>100</v>
      </c>
      <c r="T15" s="1573" t="s">
        <v>8</v>
      </c>
      <c r="U15" s="1574">
        <f t="shared" si="1"/>
        <v>100</v>
      </c>
      <c r="V15" s="1573" t="s">
        <v>8</v>
      </c>
      <c r="W15" s="1574">
        <f t="shared" si="2"/>
        <v>100</v>
      </c>
      <c r="X15" s="1567"/>
      <c r="Y15" s="3463"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64"/>
      <c r="Q16" s="1572"/>
      <c r="R16" s="1573"/>
      <c r="S16" s="1574"/>
      <c r="T16" s="1573"/>
      <c r="U16" s="1574"/>
      <c r="V16" s="1573"/>
      <c r="W16" s="1574"/>
      <c r="X16" s="1567"/>
      <c r="Y16" s="3464"/>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64"/>
      <c r="Q17" s="1572" t="str">
        <f>B17</f>
        <v>交通便捷度</v>
      </c>
      <c r="R17" s="1573" t="s">
        <v>8</v>
      </c>
      <c r="S17" s="1574">
        <f>F17</f>
        <v>100</v>
      </c>
      <c r="T17" s="1573" t="s">
        <v>8</v>
      </c>
      <c r="U17" s="1574">
        <f>H17</f>
        <v>100</v>
      </c>
      <c r="V17" s="1573" t="s">
        <v>8</v>
      </c>
      <c r="W17" s="1574">
        <f>J17</f>
        <v>100</v>
      </c>
      <c r="X17" s="1567"/>
      <c r="Y17" s="346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64"/>
      <c r="Q18" s="1572"/>
      <c r="R18" s="1573"/>
      <c r="S18" s="1574"/>
      <c r="T18" s="1573"/>
      <c r="U18" s="1574"/>
      <c r="V18" s="1573"/>
      <c r="W18" s="1574"/>
      <c r="X18" s="1567"/>
      <c r="Y18" s="3464"/>
      <c r="Z18" s="1575"/>
      <c r="AA18" s="1576">
        <v>1</v>
      </c>
      <c r="AB18" s="1576">
        <v>1</v>
      </c>
      <c r="AC18" s="1576">
        <v>1</v>
      </c>
    </row>
    <row r="19" spans="1:29" ht="15">
      <c r="A19" s="532"/>
      <c r="B19" s="2628" t="s">
        <v>2546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64"/>
      <c r="Q19" s="1572" t="str">
        <f>B19</f>
        <v>公共配套设施</v>
      </c>
      <c r="R19" s="1573" t="s">
        <v>8</v>
      </c>
      <c r="S19" s="1574">
        <f>F19</f>
        <v>100</v>
      </c>
      <c r="T19" s="1573" t="s">
        <v>8</v>
      </c>
      <c r="U19" s="1574">
        <f>H19</f>
        <v>100</v>
      </c>
      <c r="V19" s="1573" t="s">
        <v>8</v>
      </c>
      <c r="W19" s="1574">
        <f>J19</f>
        <v>100</v>
      </c>
      <c r="X19" s="1567"/>
      <c r="Y19" s="346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64"/>
      <c r="Q20" s="1572"/>
      <c r="R20" s="1573"/>
      <c r="S20" s="1574"/>
      <c r="T20" s="1573"/>
      <c r="U20" s="1574"/>
      <c r="V20" s="1573"/>
      <c r="W20" s="1574"/>
      <c r="X20" s="1567"/>
      <c r="Y20" s="3464"/>
      <c r="Z20" s="1575"/>
      <c r="AA20" s="1576">
        <v>1</v>
      </c>
      <c r="AB20" s="1576">
        <v>1</v>
      </c>
      <c r="AC20" s="1576">
        <v>1</v>
      </c>
    </row>
    <row r="21" spans="1:29" ht="15">
      <c r="A21" s="532"/>
      <c r="B21" s="2616" t="s">
        <v>2558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64"/>
      <c r="Q21" s="2604" t="str">
        <f>B21</f>
        <v>基础设施水平</v>
      </c>
      <c r="R21" s="1573" t="s">
        <v>8</v>
      </c>
      <c r="S21" s="1574">
        <f>F21</f>
        <v>100</v>
      </c>
      <c r="T21" s="1573" t="s">
        <v>8</v>
      </c>
      <c r="U21" s="1574">
        <f>H21</f>
        <v>100</v>
      </c>
      <c r="V21" s="1573" t="s">
        <v>8</v>
      </c>
      <c r="W21" s="1574">
        <f>J21</f>
        <v>100</v>
      </c>
      <c r="X21" s="2606"/>
      <c r="Y21" s="346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64"/>
      <c r="Q22" s="2604"/>
      <c r="R22" s="1573"/>
      <c r="S22" s="1574"/>
      <c r="T22" s="1573"/>
      <c r="U22" s="1574"/>
      <c r="V22" s="1573"/>
      <c r="W22" s="1574"/>
      <c r="X22" s="2606"/>
      <c r="Y22" s="3464"/>
      <c r="Z22" s="2605"/>
      <c r="AA22" s="1576">
        <v>1</v>
      </c>
      <c r="AB22" s="1576">
        <v>1</v>
      </c>
      <c r="AC22" s="1576">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64"/>
      <c r="Q23" s="1572" t="str">
        <f>B23</f>
        <v>环境质量</v>
      </c>
      <c r="R23" s="1573" t="s">
        <v>8</v>
      </c>
      <c r="S23" s="1574">
        <f>F23</f>
        <v>100</v>
      </c>
      <c r="T23" s="1573" t="s">
        <v>8</v>
      </c>
      <c r="U23" s="1574">
        <f>H23</f>
        <v>100</v>
      </c>
      <c r="V23" s="1573" t="s">
        <v>8</v>
      </c>
      <c r="W23" s="1574">
        <f>J23</f>
        <v>100</v>
      </c>
      <c r="X23" s="1567"/>
      <c r="Y23" s="346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64"/>
      <c r="Q24" s="1572"/>
      <c r="R24" s="1573"/>
      <c r="S24" s="1574"/>
      <c r="T24" s="1573"/>
      <c r="U24" s="1574"/>
      <c r="V24" s="1573"/>
      <c r="W24" s="1574"/>
      <c r="X24" s="1567"/>
      <c r="Y24" s="346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64"/>
      <c r="Q25" s="1572">
        <f>B25</f>
        <v>111</v>
      </c>
      <c r="R25" s="1573" t="s">
        <v>8</v>
      </c>
      <c r="S25" s="1574">
        <f>F25</f>
        <v>100</v>
      </c>
      <c r="T25" s="1573" t="s">
        <v>8</v>
      </c>
      <c r="U25" s="1574">
        <f>H25</f>
        <v>100</v>
      </c>
      <c r="V25" s="1573" t="s">
        <v>8</v>
      </c>
      <c r="W25" s="1574">
        <f>J25</f>
        <v>100</v>
      </c>
      <c r="X25" s="1567"/>
      <c r="Y25" s="346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64"/>
      <c r="Q26" s="1572">
        <f t="shared" ref="Q26:Q40" si="11">B26</f>
        <v>111</v>
      </c>
      <c r="R26" s="1573" t="s">
        <v>8</v>
      </c>
      <c r="S26" s="1574">
        <f>F26</f>
        <v>100</v>
      </c>
      <c r="T26" s="1573" t="s">
        <v>8</v>
      </c>
      <c r="U26" s="1574">
        <f>H26</f>
        <v>100</v>
      </c>
      <c r="V26" s="1573" t="s">
        <v>8</v>
      </c>
      <c r="W26" s="1574">
        <f>J26</f>
        <v>100</v>
      </c>
      <c r="X26" s="1567"/>
      <c r="Y26" s="346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64"/>
      <c r="Q27" s="1150">
        <f t="shared" si="11"/>
        <v>111</v>
      </c>
      <c r="R27" s="1568" t="s">
        <v>8</v>
      </c>
      <c r="S27" s="1569">
        <f>F27</f>
        <v>100</v>
      </c>
      <c r="T27" s="1568" t="s">
        <v>8</v>
      </c>
      <c r="U27" s="1569">
        <f>H27</f>
        <v>100</v>
      </c>
      <c r="V27" s="1568" t="s">
        <v>8</v>
      </c>
      <c r="W27" s="1569">
        <f>J27</f>
        <v>100</v>
      </c>
      <c r="X27" s="1570"/>
      <c r="Y27" s="346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64"/>
      <c r="Q28" s="1572">
        <f t="shared" si="11"/>
        <v>111</v>
      </c>
      <c r="R28" s="1573" t="s">
        <v>8</v>
      </c>
      <c r="S28" s="1574">
        <f t="shared" ref="S28:S40" si="12">F28</f>
        <v>100</v>
      </c>
      <c r="T28" s="1573" t="s">
        <v>8</v>
      </c>
      <c r="U28" s="1574">
        <f t="shared" ref="U28:U40" si="13">H28</f>
        <v>100</v>
      </c>
      <c r="V28" s="1573" t="s">
        <v>8</v>
      </c>
      <c r="W28" s="1574">
        <f t="shared" ref="W28:W40" si="14">J28</f>
        <v>100</v>
      </c>
      <c r="X28" s="1567"/>
      <c r="Y28" s="3464"/>
      <c r="Z28" s="1575">
        <f t="shared" ref="Z28:Z40" si="15">Q28</f>
        <v>111</v>
      </c>
      <c r="AA28" s="1576">
        <f t="shared" si="3"/>
        <v>1</v>
      </c>
      <c r="AB28" s="1576">
        <f t="shared" si="4"/>
        <v>1</v>
      </c>
      <c r="AC28" s="1576">
        <f t="shared" si="5"/>
        <v>1</v>
      </c>
    </row>
    <row r="29" spans="1:29" ht="15">
      <c r="A29" s="2932"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65" t="s">
        <v>549</v>
      </c>
      <c r="Q29" s="1572" t="str">
        <f t="shared" si="11"/>
        <v>建筑类型</v>
      </c>
      <c r="R29" s="1573" t="s">
        <v>8</v>
      </c>
      <c r="S29" s="1574">
        <f t="shared" si="12"/>
        <v>100</v>
      </c>
      <c r="T29" s="1573" t="s">
        <v>8</v>
      </c>
      <c r="U29" s="1574">
        <f t="shared" si="13"/>
        <v>100</v>
      </c>
      <c r="V29" s="1573" t="s">
        <v>8</v>
      </c>
      <c r="W29" s="1574">
        <f t="shared" si="14"/>
        <v>100</v>
      </c>
      <c r="X29" s="1567"/>
      <c r="Y29" s="3466" t="s">
        <v>549</v>
      </c>
      <c r="Z29" s="1575" t="str">
        <f t="shared" si="15"/>
        <v>建筑类型</v>
      </c>
      <c r="AA29" s="1576">
        <f t="shared" si="3"/>
        <v>1</v>
      </c>
      <c r="AB29" s="1576">
        <f t="shared" si="4"/>
        <v>1</v>
      </c>
      <c r="AC29" s="1576">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66"/>
      <c r="Q30" s="1605" t="str">
        <f t="shared" si="11"/>
        <v>项目建筑规模</v>
      </c>
      <c r="R30" s="1577" t="s">
        <v>8</v>
      </c>
      <c r="S30" s="1578" t="e">
        <f t="shared" si="12"/>
        <v>#N/A</v>
      </c>
      <c r="T30" s="1577" t="s">
        <v>8</v>
      </c>
      <c r="U30" s="1578" t="e">
        <f t="shared" si="13"/>
        <v>#N/A</v>
      </c>
      <c r="V30" s="1577" t="s">
        <v>8</v>
      </c>
      <c r="W30" s="1578" t="e">
        <f t="shared" si="14"/>
        <v>#N/A</v>
      </c>
      <c r="X30" s="1579"/>
      <c r="Y30" s="3466"/>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66"/>
      <c r="Q31" s="1572" t="str">
        <f t="shared" si="11"/>
        <v>建筑结构</v>
      </c>
      <c r="R31" s="1573" t="s">
        <v>8</v>
      </c>
      <c r="S31" s="1574">
        <f t="shared" si="12"/>
        <v>100</v>
      </c>
      <c r="T31" s="1573" t="s">
        <v>8</v>
      </c>
      <c r="U31" s="1574">
        <f t="shared" si="13"/>
        <v>100</v>
      </c>
      <c r="V31" s="1573" t="s">
        <v>8</v>
      </c>
      <c r="W31" s="1574">
        <f t="shared" si="14"/>
        <v>100</v>
      </c>
      <c r="X31" s="1567"/>
      <c r="Y31" s="3466"/>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66"/>
      <c r="Q32" s="1572" t="str">
        <f t="shared" si="11"/>
        <v>公共部分装修</v>
      </c>
      <c r="R32" s="1573" t="s">
        <v>8</v>
      </c>
      <c r="S32" s="1574">
        <f t="shared" si="12"/>
        <v>100</v>
      </c>
      <c r="T32" s="1573" t="s">
        <v>8</v>
      </c>
      <c r="U32" s="1574">
        <f t="shared" si="13"/>
        <v>100</v>
      </c>
      <c r="V32" s="1573" t="s">
        <v>8</v>
      </c>
      <c r="W32" s="1574">
        <f t="shared" si="14"/>
        <v>100</v>
      </c>
      <c r="X32" s="1567"/>
      <c r="Y32" s="3466"/>
      <c r="Z32" s="1575" t="str">
        <f t="shared" si="15"/>
        <v>公共部分装修</v>
      </c>
      <c r="AA32" s="1576">
        <f t="shared" si="3"/>
        <v>1</v>
      </c>
      <c r="AB32" s="1576">
        <f t="shared" si="4"/>
        <v>1</v>
      </c>
      <c r="AC32" s="1576">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66"/>
      <c r="Q33" s="1572" t="str">
        <f t="shared" si="11"/>
        <v>成新度</v>
      </c>
      <c r="R33" s="1573" t="s">
        <v>8</v>
      </c>
      <c r="S33" s="1574" t="e">
        <f t="shared" si="12"/>
        <v>#N/A</v>
      </c>
      <c r="T33" s="1573" t="s">
        <v>8</v>
      </c>
      <c r="U33" s="1574" t="e">
        <f t="shared" si="13"/>
        <v>#N/A</v>
      </c>
      <c r="V33" s="1573" t="s">
        <v>8</v>
      </c>
      <c r="W33" s="1574" t="e">
        <f t="shared" si="14"/>
        <v>#N/A</v>
      </c>
      <c r="X33" s="1567"/>
      <c r="Y33" s="3466"/>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66"/>
      <c r="Q34" s="1150" t="str">
        <f t="shared" si="11"/>
        <v>物业管理</v>
      </c>
      <c r="R34" s="1568" t="s">
        <v>8</v>
      </c>
      <c r="S34" s="1569">
        <f t="shared" si="12"/>
        <v>100</v>
      </c>
      <c r="T34" s="1568" t="s">
        <v>8</v>
      </c>
      <c r="U34" s="1569">
        <f t="shared" si="13"/>
        <v>100</v>
      </c>
      <c r="V34" s="1568" t="s">
        <v>8</v>
      </c>
      <c r="W34" s="1569">
        <f t="shared" si="14"/>
        <v>100</v>
      </c>
      <c r="X34" s="1570"/>
      <c r="Y34" s="3466"/>
      <c r="Z34" s="1149"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66" t="s">
        <v>549</v>
      </c>
      <c r="Q35" s="1572" t="str">
        <f t="shared" si="11"/>
        <v>市政基础设施</v>
      </c>
      <c r="R35" s="1573" t="s">
        <v>8</v>
      </c>
      <c r="S35" s="1574">
        <f t="shared" si="12"/>
        <v>100</v>
      </c>
      <c r="T35" s="1573" t="s">
        <v>8</v>
      </c>
      <c r="U35" s="1574">
        <f t="shared" si="13"/>
        <v>100</v>
      </c>
      <c r="V35" s="1573" t="s">
        <v>8</v>
      </c>
      <c r="W35" s="1574">
        <f t="shared" si="14"/>
        <v>100</v>
      </c>
      <c r="X35" s="1567"/>
      <c r="Y35" s="3466"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66"/>
      <c r="Q36" s="1572" t="str">
        <f t="shared" si="11"/>
        <v>内部装修</v>
      </c>
      <c r="R36" s="1573" t="s">
        <v>8</v>
      </c>
      <c r="S36" s="1574">
        <f t="shared" si="12"/>
        <v>100</v>
      </c>
      <c r="T36" s="1573" t="s">
        <v>8</v>
      </c>
      <c r="U36" s="1574">
        <f t="shared" si="13"/>
        <v>100</v>
      </c>
      <c r="V36" s="1573" t="s">
        <v>8</v>
      </c>
      <c r="W36" s="1574">
        <f t="shared" si="14"/>
        <v>100</v>
      </c>
      <c r="X36" s="1567"/>
      <c r="Y36" s="3466"/>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66"/>
      <c r="Q37" s="1572" t="str">
        <f t="shared" si="11"/>
        <v>内部装修状况</v>
      </c>
      <c r="R37" s="1573" t="s">
        <v>8</v>
      </c>
      <c r="S37" s="1574">
        <f t="shared" si="12"/>
        <v>100</v>
      </c>
      <c r="T37" s="1573" t="s">
        <v>8</v>
      </c>
      <c r="U37" s="1574">
        <f t="shared" si="13"/>
        <v>100</v>
      </c>
      <c r="V37" s="1573" t="s">
        <v>8</v>
      </c>
      <c r="W37" s="1574">
        <f t="shared" si="14"/>
        <v>100</v>
      </c>
      <c r="X37" s="1567"/>
      <c r="Y37" s="346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66"/>
      <c r="Q38" s="1605">
        <f t="shared" si="11"/>
        <v>111</v>
      </c>
      <c r="R38" s="1577" t="s">
        <v>8</v>
      </c>
      <c r="S38" s="1578">
        <f t="shared" si="12"/>
        <v>100</v>
      </c>
      <c r="T38" s="1577" t="s">
        <v>8</v>
      </c>
      <c r="U38" s="1578">
        <f t="shared" si="13"/>
        <v>100</v>
      </c>
      <c r="V38" s="1577" t="s">
        <v>8</v>
      </c>
      <c r="W38" s="1578">
        <f t="shared" si="14"/>
        <v>100</v>
      </c>
      <c r="X38" s="1579"/>
      <c r="Y38" s="346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66"/>
      <c r="Q39" s="1572">
        <f t="shared" si="11"/>
        <v>111</v>
      </c>
      <c r="R39" s="1573" t="s">
        <v>8</v>
      </c>
      <c r="S39" s="1574">
        <f t="shared" si="12"/>
        <v>100</v>
      </c>
      <c r="T39" s="1573" t="s">
        <v>8</v>
      </c>
      <c r="U39" s="1574">
        <f t="shared" si="13"/>
        <v>100</v>
      </c>
      <c r="V39" s="1573" t="s">
        <v>8</v>
      </c>
      <c r="W39" s="1574">
        <f t="shared" si="14"/>
        <v>100</v>
      </c>
      <c r="X39" s="1567"/>
      <c r="Y39" s="346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21"/>
      <c r="Q40" s="1572">
        <f t="shared" si="11"/>
        <v>111</v>
      </c>
      <c r="R40" s="1573" t="s">
        <v>8</v>
      </c>
      <c r="S40" s="1574">
        <f t="shared" si="12"/>
        <v>100</v>
      </c>
      <c r="T40" s="1573" t="s">
        <v>8</v>
      </c>
      <c r="U40" s="1574">
        <f t="shared" si="13"/>
        <v>100</v>
      </c>
      <c r="V40" s="1573" t="s">
        <v>8</v>
      </c>
      <c r="W40" s="1574">
        <f t="shared" si="14"/>
        <v>100</v>
      </c>
      <c r="X40" s="1567"/>
      <c r="Y40" s="3521"/>
      <c r="Z40" s="1575">
        <f t="shared" si="15"/>
        <v>111</v>
      </c>
      <c r="AA40" s="1576">
        <f t="shared" si="3"/>
        <v>1</v>
      </c>
      <c r="AB40" s="1576">
        <f t="shared" si="4"/>
        <v>1</v>
      </c>
      <c r="AC40" s="1576">
        <f t="shared" si="5"/>
        <v>1</v>
      </c>
    </row>
    <row r="41" spans="1:29" ht="15">
      <c r="A41" s="607" t="s">
        <v>735</v>
      </c>
      <c r="B41" s="886"/>
      <c r="C41" s="2652" t="s">
        <v>1</v>
      </c>
      <c r="D41" s="2653"/>
      <c r="E41" s="2654"/>
      <c r="F41" s="2655"/>
      <c r="G41" s="2656"/>
      <c r="H41" s="2657"/>
      <c r="I41" s="2654"/>
      <c r="J41" s="2657"/>
      <c r="K41" s="1611"/>
      <c r="L41" s="2145"/>
      <c r="M41" s="2146"/>
      <c r="N41" s="2135"/>
      <c r="O41" s="2146"/>
      <c r="P41" s="3427" t="str">
        <f>A41</f>
        <v>成交单价（元/平方米）</v>
      </c>
      <c r="Q41" s="3427"/>
      <c r="R41" s="3520">
        <f>E41</f>
        <v>0</v>
      </c>
      <c r="S41" s="3520"/>
      <c r="T41" s="3520">
        <f>G41</f>
        <v>0</v>
      </c>
      <c r="U41" s="3520"/>
      <c r="V41" s="3520">
        <f>I41</f>
        <v>0</v>
      </c>
      <c r="W41" s="3520"/>
      <c r="X41" s="1559"/>
      <c r="Y41" s="1581"/>
      <c r="Z41" s="1559"/>
      <c r="AA41" s="1559"/>
      <c r="AB41" s="1559"/>
      <c r="AC41" s="1559"/>
    </row>
    <row r="42" spans="1:29" ht="15.75" thickBot="1">
      <c r="A42" s="615" t="s">
        <v>2760</v>
      </c>
      <c r="B42" s="887"/>
      <c r="C42" s="2658" t="e">
        <f>R43</f>
        <v>#DIV/0!</v>
      </c>
      <c r="D42" s="2659"/>
      <c r="E42" s="2660" t="e">
        <f>R42</f>
        <v>#DIV/0!</v>
      </c>
      <c r="F42" s="2660"/>
      <c r="G42" s="2658" t="e">
        <f>T42</f>
        <v>#DIV/0!</v>
      </c>
      <c r="H42" s="2659"/>
      <c r="I42" s="2660" t="e">
        <f>V42</f>
        <v>#DIV/0!</v>
      </c>
      <c r="J42" s="2659"/>
      <c r="K42" s="1612"/>
      <c r="L42" s="2145"/>
      <c r="M42" s="2146"/>
      <c r="N42" s="2135"/>
      <c r="O42" s="2146"/>
      <c r="P42" s="3427" t="str">
        <f>A42</f>
        <v>比较价格（元/平方米）</v>
      </c>
      <c r="Q42" s="3427"/>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59"/>
      <c r="Y42" s="1559"/>
      <c r="Z42" s="1559"/>
      <c r="AA42" s="1559"/>
      <c r="AB42" s="1559"/>
      <c r="AC42" s="1559"/>
    </row>
    <row r="43" spans="1:29" ht="15.75" thickBot="1">
      <c r="A43" s="621" t="s">
        <v>2922</v>
      </c>
      <c r="B43" s="622"/>
      <c r="C43" s="2661" t="e">
        <f>R43</f>
        <v>#DIV/0!</v>
      </c>
      <c r="D43" s="2661"/>
      <c r="E43" s="2661"/>
      <c r="F43" s="2661"/>
      <c r="G43" s="2661"/>
      <c r="H43" s="2661"/>
      <c r="I43" s="2661"/>
      <c r="J43" s="2661"/>
      <c r="K43" s="1613"/>
      <c r="L43" s="2145"/>
      <c r="M43" s="2146"/>
      <c r="N43" s="2146"/>
      <c r="O43" s="2146"/>
      <c r="P43" s="3424" t="str">
        <f>A43</f>
        <v>估价对象XX用房的比较价格（楼面单价，元/平方米）</v>
      </c>
      <c r="Q43" s="3425"/>
      <c r="R43" s="3519" t="e">
        <f>IF(F1="售价",ROUND(AVERAGE(R42:V42),0),ROUND(AVERAGE(R42:V42),1))</f>
        <v>#DIV/0!</v>
      </c>
      <c r="S43" s="3519"/>
      <c r="T43" s="3519"/>
      <c r="U43" s="3519"/>
      <c r="V43" s="3519"/>
      <c r="W43" s="351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2558</v>
      </c>
      <c r="C76" s="2623" t="s">
        <v>2559</v>
      </c>
      <c r="D76" s="2623" t="s">
        <v>2560</v>
      </c>
      <c r="E76" s="2623" t="s">
        <v>2561</v>
      </c>
      <c r="F76" s="2623" t="s">
        <v>2562</v>
      </c>
      <c r="G76" s="2623" t="s">
        <v>2563</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8" sqref="M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t="s">
        <v>3045</v>
      </c>
      <c r="C1" s="504" t="s">
        <v>791</v>
      </c>
      <c r="D1" s="849" t="s">
        <v>35</v>
      </c>
      <c r="E1" s="506"/>
      <c r="F1" s="2832" t="s">
        <v>3099</v>
      </c>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f>IF(B37="元/平方米",ROUND(B3*D3/10000,0),ROUND(F3*C39/10000,0))</f>
        <v>15635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f>IF(B37="元/平方米",C39,ROUND(B2*10000/D3,0))</f>
        <v>3029</v>
      </c>
      <c r="C3" s="852" t="s">
        <v>795</v>
      </c>
      <c r="D3" s="851">
        <f>SUMIF('数据-汇总表'!$C19:$C33,D1,'数据-汇总表'!$E19:$E33)</f>
        <v>51622.080000000002</v>
      </c>
      <c r="E3" s="1849" t="s">
        <v>2077</v>
      </c>
      <c r="F3" s="851">
        <f>SUMIF('数据-取费表'!A5:A15,D1,'数据-取费表'!AH5:AH15)</f>
        <v>1475</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33" t="s">
        <v>797</v>
      </c>
      <c r="D4" s="3434"/>
      <c r="E4" s="3433" t="s">
        <v>798</v>
      </c>
      <c r="F4" s="3434"/>
      <c r="G4" s="3433" t="s">
        <v>799</v>
      </c>
      <c r="H4" s="3434"/>
      <c r="I4" s="3433" t="s">
        <v>800</v>
      </c>
      <c r="J4" s="3434"/>
      <c r="K4" s="514" t="s">
        <v>801</v>
      </c>
      <c r="L4" s="2134"/>
      <c r="M4" s="2135"/>
      <c r="N4" s="2135"/>
      <c r="O4" s="2135"/>
      <c r="P4" s="3435" t="s">
        <v>802</v>
      </c>
      <c r="Q4" s="3436"/>
      <c r="R4" s="3441" t="s">
        <v>798</v>
      </c>
      <c r="S4" s="3442"/>
      <c r="T4" s="3441" t="s">
        <v>799</v>
      </c>
      <c r="U4" s="3442"/>
      <c r="V4" s="3428" t="s">
        <v>800</v>
      </c>
      <c r="W4" s="3428"/>
      <c r="X4" s="1567"/>
      <c r="Y4" s="3441" t="s">
        <v>802</v>
      </c>
      <c r="Z4" s="3442"/>
      <c r="AA4" s="3430" t="s">
        <v>798</v>
      </c>
      <c r="AB4" s="3431" t="s">
        <v>799</v>
      </c>
      <c r="AC4" s="3430" t="s">
        <v>800</v>
      </c>
    </row>
    <row r="5" spans="1:29" ht="15">
      <c r="A5" s="515"/>
      <c r="B5" s="516"/>
      <c r="C5" s="3451" t="s">
        <v>2916</v>
      </c>
      <c r="D5" s="3450"/>
      <c r="E5" s="3449" t="s">
        <v>3110</v>
      </c>
      <c r="F5" s="3450"/>
      <c r="G5" s="3449" t="s">
        <v>3112</v>
      </c>
      <c r="H5" s="3450"/>
      <c r="I5" s="3449" t="s">
        <v>3114</v>
      </c>
      <c r="J5" s="3450"/>
      <c r="K5" s="514"/>
      <c r="L5" s="2134"/>
      <c r="M5" s="2135"/>
      <c r="N5" s="2135"/>
      <c r="O5" s="2135"/>
      <c r="P5" s="3437"/>
      <c r="Q5" s="3438"/>
      <c r="R5" s="3443"/>
      <c r="S5" s="3444"/>
      <c r="T5" s="3443"/>
      <c r="U5" s="3444"/>
      <c r="V5" s="3428"/>
      <c r="W5" s="3428"/>
      <c r="X5" s="1567"/>
      <c r="Y5" s="3443"/>
      <c r="Z5" s="3444"/>
      <c r="AA5" s="3431"/>
      <c r="AB5" s="3431"/>
      <c r="AC5" s="3431"/>
    </row>
    <row r="6" spans="1:29" ht="15.75" thickBot="1">
      <c r="A6" s="517"/>
      <c r="B6" s="518"/>
      <c r="C6" s="3467" t="s">
        <v>2920</v>
      </c>
      <c r="D6" s="3448"/>
      <c r="E6" s="3452" t="s">
        <v>2920</v>
      </c>
      <c r="F6" s="3453"/>
      <c r="G6" s="3467" t="s">
        <v>2920</v>
      </c>
      <c r="H6" s="3448"/>
      <c r="I6" s="3467" t="s">
        <v>2920</v>
      </c>
      <c r="J6" s="3448"/>
      <c r="K6" s="514" t="s">
        <v>527</v>
      </c>
      <c r="L6" s="2134"/>
      <c r="M6" s="2135"/>
      <c r="N6" s="2135"/>
      <c r="O6" s="2135"/>
      <c r="P6" s="3439"/>
      <c r="Q6" s="3440"/>
      <c r="R6" s="3443"/>
      <c r="S6" s="3444"/>
      <c r="T6" s="3445"/>
      <c r="U6" s="3446"/>
      <c r="V6" s="3428"/>
      <c r="W6" s="3428"/>
      <c r="X6" s="1567"/>
      <c r="Y6" s="3445"/>
      <c r="Z6" s="3446"/>
      <c r="AA6" s="3432"/>
      <c r="AB6" s="3432"/>
      <c r="AC6" s="3432"/>
    </row>
    <row r="7" spans="1:29" s="1219" customFormat="1" ht="15.75" thickBot="1">
      <c r="A7" s="2937"/>
      <c r="B7" s="2944" t="s">
        <v>528</v>
      </c>
      <c r="C7" s="519">
        <f>'数据-取费表'!B2</f>
        <v>43217</v>
      </c>
      <c r="D7" s="520">
        <v>100</v>
      </c>
      <c r="E7" s="521">
        <v>43217</v>
      </c>
      <c r="F7" s="522">
        <f>SUMIF(48:48,YEAR(E7)&amp;"-"&amp;MONTH(E7),49:49)</f>
        <v>100</v>
      </c>
      <c r="G7" s="523">
        <v>43217</v>
      </c>
      <c r="H7" s="520">
        <f>SUMIF(48:48,YEAR(G7)&amp;"-"&amp;MONTH(G7),49:49)</f>
        <v>100</v>
      </c>
      <c r="I7" s="523">
        <v>43217</v>
      </c>
      <c r="J7" s="520">
        <f>SUMIF(48:48,YEAR(I7)&amp;"-"&amp;MONTH(I7),49:49)</f>
        <v>100</v>
      </c>
      <c r="K7" s="524"/>
      <c r="L7" s="2136"/>
      <c r="M7" s="2137"/>
      <c r="N7" s="2137"/>
      <c r="O7" s="2137"/>
      <c r="P7" s="3460" t="s">
        <v>529</v>
      </c>
      <c r="Q7" s="3462"/>
      <c r="R7" s="1568" t="s">
        <v>8</v>
      </c>
      <c r="S7" s="1569">
        <f t="shared" ref="S7:S14" si="0">F7</f>
        <v>100</v>
      </c>
      <c r="T7" s="1568" t="s">
        <v>8</v>
      </c>
      <c r="U7" s="1569">
        <f t="shared" ref="U7:U14" si="1">H7</f>
        <v>100</v>
      </c>
      <c r="V7" s="1568" t="s">
        <v>8</v>
      </c>
      <c r="W7" s="1569">
        <f t="shared" ref="W7:W14" si="2">J7</f>
        <v>100</v>
      </c>
      <c r="X7" s="1570"/>
      <c r="Y7" s="3460" t="s">
        <v>529</v>
      </c>
      <c r="Z7" s="3461"/>
      <c r="AA7" s="1571">
        <f>D7/F7</f>
        <v>1</v>
      </c>
      <c r="AB7" s="1571">
        <f>D7/H7</f>
        <v>1</v>
      </c>
      <c r="AC7" s="1571">
        <f>D7/J7</f>
        <v>1</v>
      </c>
    </row>
    <row r="8" spans="1:29" s="1219" customFormat="1" ht="15.75" thickBot="1">
      <c r="A8" s="2938"/>
      <c r="B8" s="2945" t="s">
        <v>530</v>
      </c>
      <c r="C8" s="525" t="s">
        <v>575</v>
      </c>
      <c r="D8" s="520">
        <v>100</v>
      </c>
      <c r="E8" s="525" t="s">
        <v>3018</v>
      </c>
      <c r="F8" s="522">
        <f>SUMIF(51:51,E8,52:52)-SUMIF(51:51,C8,52:52)+100</f>
        <v>100</v>
      </c>
      <c r="G8" s="525" t="s">
        <v>3018</v>
      </c>
      <c r="H8" s="520">
        <f>SUMIF(51:51,G8,52:52)-SUMIF(51:51,C8,52:52)+100</f>
        <v>100</v>
      </c>
      <c r="I8" s="525" t="s">
        <v>3018</v>
      </c>
      <c r="J8" s="520">
        <f>SUMIF(51:51,I8,52:52)-SUMIF(51:51,C8,52:52)+100</f>
        <v>100</v>
      </c>
      <c r="K8" s="524"/>
      <c r="L8" s="2136"/>
      <c r="M8" s="2137"/>
      <c r="N8" s="2137"/>
      <c r="O8" s="2137"/>
      <c r="P8" s="3460" t="s">
        <v>532</v>
      </c>
      <c r="Q8" s="3461"/>
      <c r="R8" s="1568" t="s">
        <v>8</v>
      </c>
      <c r="S8" s="1569">
        <f t="shared" si="0"/>
        <v>100</v>
      </c>
      <c r="T8" s="1568" t="s">
        <v>8</v>
      </c>
      <c r="U8" s="1569">
        <f t="shared" si="1"/>
        <v>100</v>
      </c>
      <c r="V8" s="1568" t="s">
        <v>8</v>
      </c>
      <c r="W8" s="1569">
        <f t="shared" si="2"/>
        <v>100</v>
      </c>
      <c r="X8" s="1570"/>
      <c r="Y8" s="3460" t="s">
        <v>532</v>
      </c>
      <c r="Z8" s="3461"/>
      <c r="AA8" s="1571">
        <f t="shared" ref="AA8:AA36" si="3">D8/F8</f>
        <v>1</v>
      </c>
      <c r="AB8" s="1571">
        <f t="shared" ref="AB8:AB36" si="4">D8/H8</f>
        <v>1</v>
      </c>
      <c r="AC8" s="1571">
        <f t="shared" ref="AC8:AC36" si="5">D8/J8</f>
        <v>1</v>
      </c>
    </row>
    <row r="9" spans="1:29" s="1219" customFormat="1" ht="15">
      <c r="A9" s="2939"/>
      <c r="B9" s="2946" t="s">
        <v>2756</v>
      </c>
      <c r="C9" s="3205" t="s">
        <v>3124</v>
      </c>
      <c r="D9" s="254">
        <v>100</v>
      </c>
      <c r="E9" s="860" t="s">
        <v>35</v>
      </c>
      <c r="F9" s="254">
        <f>SUMIF(53:53,E9,54:54)-SUMIF(53:53,C9,54:54)+100</f>
        <v>100</v>
      </c>
      <c r="G9" s="858" t="s">
        <v>35</v>
      </c>
      <c r="H9" s="254">
        <f>SUMIF(53:53,G9,54:54)-SUMIF(53:53,C9,54:54)+100</f>
        <v>100</v>
      </c>
      <c r="I9" s="858" t="s">
        <v>35</v>
      </c>
      <c r="J9" s="254">
        <f>SUMIF(53:53,I9,54:54)-SUMIF(53:53,C9,54:54)+100</f>
        <v>100</v>
      </c>
      <c r="K9" s="524"/>
      <c r="L9" s="2136"/>
      <c r="M9" s="2137"/>
      <c r="N9" s="2137"/>
      <c r="O9" s="2138"/>
      <c r="P9" s="3427" t="s">
        <v>534</v>
      </c>
      <c r="Q9" s="1150" t="str">
        <f t="shared" ref="Q9:Q14" si="6">B9</f>
        <v>用途</v>
      </c>
      <c r="R9" s="1568" t="s">
        <v>8</v>
      </c>
      <c r="S9" s="1569">
        <f t="shared" si="0"/>
        <v>100</v>
      </c>
      <c r="T9" s="1568" t="s">
        <v>8</v>
      </c>
      <c r="U9" s="1569">
        <f t="shared" si="1"/>
        <v>100</v>
      </c>
      <c r="V9" s="1568" t="s">
        <v>8</v>
      </c>
      <c r="W9" s="1569">
        <f t="shared" si="2"/>
        <v>100</v>
      </c>
      <c r="X9" s="1570"/>
      <c r="Y9" s="3366" t="s">
        <v>535</v>
      </c>
      <c r="Z9" s="1149" t="str">
        <f t="shared" ref="Z9:Z14" si="7">Q9</f>
        <v>用途</v>
      </c>
      <c r="AA9" s="1571">
        <f t="shared" si="3"/>
        <v>1</v>
      </c>
      <c r="AB9" s="1571">
        <f t="shared" si="4"/>
        <v>1</v>
      </c>
      <c r="AC9" s="1571">
        <f t="shared" si="5"/>
        <v>1</v>
      </c>
    </row>
    <row r="10" spans="1:29" s="1337" customFormat="1" ht="27.75" thickBot="1">
      <c r="A10" s="2940"/>
      <c r="B10" s="2945" t="s">
        <v>2757</v>
      </c>
      <c r="C10" s="861" t="s">
        <v>3122</v>
      </c>
      <c r="D10" s="255">
        <v>100</v>
      </c>
      <c r="E10" s="861" t="s">
        <v>3122</v>
      </c>
      <c r="F10" s="255">
        <f>SUMIF(55:55,E10,56:56)-SUMIF(55:55,C10,56:56)+100</f>
        <v>100</v>
      </c>
      <c r="G10" s="862" t="s">
        <v>3122</v>
      </c>
      <c r="H10" s="255">
        <f>SUMIF(55:55,G10,56:56)-SUMIF(55:55,C10,56:56)+100</f>
        <v>100</v>
      </c>
      <c r="I10" s="861" t="s">
        <v>3122</v>
      </c>
      <c r="J10" s="255">
        <f>SUMIF(55:55,I10,56:56)-SUMIF(55:55,C10,56:56)+100</f>
        <v>100</v>
      </c>
      <c r="K10" s="584">
        <v>1</v>
      </c>
      <c r="L10" s="2139"/>
      <c r="M10" s="2179"/>
      <c r="N10" s="2179"/>
      <c r="O10" s="2140"/>
      <c r="P10" s="3427"/>
      <c r="Q10" s="1150" t="str">
        <f t="shared" si="6"/>
        <v>土地使用年限（年）</v>
      </c>
      <c r="R10" s="1568" t="s">
        <v>8</v>
      </c>
      <c r="S10" s="1569">
        <f t="shared" si="0"/>
        <v>100</v>
      </c>
      <c r="T10" s="1568" t="s">
        <v>8</v>
      </c>
      <c r="U10" s="1569">
        <f t="shared" si="1"/>
        <v>100</v>
      </c>
      <c r="V10" s="1568" t="s">
        <v>8</v>
      </c>
      <c r="W10" s="1569">
        <f t="shared" si="2"/>
        <v>100</v>
      </c>
      <c r="X10" s="1570"/>
      <c r="Y10" s="3366"/>
      <c r="Z10" s="1149" t="str">
        <f t="shared" si="7"/>
        <v>土地使用年限（年）</v>
      </c>
      <c r="AA10" s="1571">
        <f t="shared" si="3"/>
        <v>1</v>
      </c>
      <c r="AB10" s="1571">
        <f t="shared" si="4"/>
        <v>1</v>
      </c>
      <c r="AC10" s="1571">
        <f t="shared" si="5"/>
        <v>1</v>
      </c>
    </row>
    <row r="11" spans="1:29" ht="15" hidden="1">
      <c r="A11" s="2942"/>
      <c r="B11" s="2948"/>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7"/>
      <c r="Q11" s="1150">
        <f t="shared" si="6"/>
        <v>0</v>
      </c>
      <c r="R11" s="1568" t="s">
        <v>8</v>
      </c>
      <c r="S11" s="1569">
        <f t="shared" si="0"/>
        <v>100</v>
      </c>
      <c r="T11" s="1568" t="s">
        <v>8</v>
      </c>
      <c r="U11" s="1569">
        <f t="shared" si="1"/>
        <v>100</v>
      </c>
      <c r="V11" s="1568" t="s">
        <v>8</v>
      </c>
      <c r="W11" s="1569">
        <f t="shared" si="2"/>
        <v>100</v>
      </c>
      <c r="X11" s="1570"/>
      <c r="Y11" s="3366"/>
      <c r="Z11" s="1149">
        <f t="shared" si="7"/>
        <v>0</v>
      </c>
      <c r="AA11" s="1571">
        <f t="shared" si="3"/>
        <v>1</v>
      </c>
      <c r="AB11" s="1571">
        <f t="shared" si="4"/>
        <v>1</v>
      </c>
      <c r="AC11" s="1571">
        <f t="shared" si="5"/>
        <v>1</v>
      </c>
    </row>
    <row r="12" spans="1:29" s="1219" customFormat="1" ht="15" hidden="1">
      <c r="A12" s="2942"/>
      <c r="B12" s="2948"/>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7"/>
      <c r="Q12" s="1150">
        <f t="shared" si="6"/>
        <v>0</v>
      </c>
      <c r="R12" s="1568" t="s">
        <v>8</v>
      </c>
      <c r="S12" s="1569">
        <f t="shared" si="0"/>
        <v>100</v>
      </c>
      <c r="T12" s="1568" t="s">
        <v>8</v>
      </c>
      <c r="U12" s="1569">
        <f t="shared" si="1"/>
        <v>100</v>
      </c>
      <c r="V12" s="1568" t="s">
        <v>8</v>
      </c>
      <c r="W12" s="1569">
        <f t="shared" si="2"/>
        <v>100</v>
      </c>
      <c r="X12" s="1570"/>
      <c r="Y12" s="3366"/>
      <c r="Z12" s="1149">
        <f t="shared" si="7"/>
        <v>0</v>
      </c>
      <c r="AA12" s="1571">
        <f>D12/F12</f>
        <v>1</v>
      </c>
      <c r="AB12" s="1571">
        <f>D12/H12</f>
        <v>1</v>
      </c>
      <c r="AC12" s="1571">
        <f>D12/J12</f>
        <v>1</v>
      </c>
    </row>
    <row r="13" spans="1:29" ht="15.75" hidden="1" thickBot="1">
      <c r="A13" s="2943"/>
      <c r="B13" s="2949"/>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7"/>
      <c r="Q13" s="1150">
        <f t="shared" si="6"/>
        <v>0</v>
      </c>
      <c r="R13" s="1568" t="s">
        <v>8</v>
      </c>
      <c r="S13" s="1569">
        <f t="shared" si="0"/>
        <v>100</v>
      </c>
      <c r="T13" s="1568" t="s">
        <v>8</v>
      </c>
      <c r="U13" s="1569">
        <f t="shared" si="1"/>
        <v>100</v>
      </c>
      <c r="V13" s="1568" t="s">
        <v>8</v>
      </c>
      <c r="W13" s="1569">
        <f t="shared" si="2"/>
        <v>100</v>
      </c>
      <c r="X13" s="1570"/>
      <c r="Y13" s="3366"/>
      <c r="Z13" s="1149">
        <f t="shared" si="7"/>
        <v>0</v>
      </c>
      <c r="AA13" s="1571">
        <f t="shared" si="3"/>
        <v>1</v>
      </c>
      <c r="AB13" s="1571">
        <f t="shared" si="4"/>
        <v>1</v>
      </c>
      <c r="AC13" s="1571">
        <f t="shared" si="5"/>
        <v>1</v>
      </c>
    </row>
    <row r="14" spans="1:29" ht="15">
      <c r="A14" s="2935" t="s">
        <v>2754</v>
      </c>
      <c r="B14" s="547" t="s">
        <v>542</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63" t="s">
        <v>539</v>
      </c>
      <c r="Q14" s="1572" t="str">
        <f t="shared" si="6"/>
        <v>交通便捷度</v>
      </c>
      <c r="R14" s="1573" t="s">
        <v>8</v>
      </c>
      <c r="S14" s="1574">
        <f t="shared" si="0"/>
        <v>100</v>
      </c>
      <c r="T14" s="1573" t="s">
        <v>8</v>
      </c>
      <c r="U14" s="1574">
        <f t="shared" si="1"/>
        <v>100</v>
      </c>
      <c r="V14" s="1573" t="s">
        <v>8</v>
      </c>
      <c r="W14" s="1574">
        <f t="shared" si="2"/>
        <v>100</v>
      </c>
      <c r="X14" s="1567"/>
      <c r="Y14" s="3463" t="s">
        <v>539</v>
      </c>
      <c r="Z14" s="1575" t="str">
        <f t="shared" si="7"/>
        <v>交通便捷度</v>
      </c>
      <c r="AA14" s="1576">
        <f t="shared" si="3"/>
        <v>1</v>
      </c>
      <c r="AB14" s="1576">
        <f t="shared" si="4"/>
        <v>1</v>
      </c>
      <c r="AC14" s="1576">
        <f t="shared" si="5"/>
        <v>1</v>
      </c>
    </row>
    <row r="15" spans="1:29" ht="15">
      <c r="A15" s="515"/>
      <c r="B15" s="923"/>
      <c r="C15" s="576" t="s">
        <v>3019</v>
      </c>
      <c r="D15" s="555"/>
      <c r="E15" s="576" t="s">
        <v>3019</v>
      </c>
      <c r="F15" s="557"/>
      <c r="G15" s="576" t="s">
        <v>3019</v>
      </c>
      <c r="H15" s="559"/>
      <c r="I15" s="576" t="s">
        <v>3019</v>
      </c>
      <c r="J15" s="555"/>
      <c r="K15" s="898"/>
      <c r="L15" s="2143"/>
      <c r="M15" s="2135"/>
      <c r="N15" s="2135"/>
      <c r="O15" s="2142"/>
      <c r="P15" s="3464"/>
      <c r="Q15" s="1572"/>
      <c r="R15" s="1573"/>
      <c r="S15" s="1574"/>
      <c r="T15" s="1573"/>
      <c r="U15" s="1574"/>
      <c r="V15" s="1573"/>
      <c r="W15" s="1574"/>
      <c r="X15" s="1567"/>
      <c r="Y15" s="3464"/>
      <c r="Z15" s="1575"/>
      <c r="AA15" s="1576">
        <v>1</v>
      </c>
      <c r="AB15" s="1576">
        <v>1</v>
      </c>
      <c r="AC15" s="1576">
        <v>1</v>
      </c>
    </row>
    <row r="16" spans="1:29" ht="15">
      <c r="A16" s="515"/>
      <c r="B16" s="2628" t="s">
        <v>2546</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v>3</v>
      </c>
      <c r="L16" s="2143"/>
      <c r="M16" s="2135"/>
      <c r="N16" s="2135"/>
      <c r="O16" s="2142"/>
      <c r="P16" s="3464"/>
      <c r="Q16" s="1572" t="str">
        <f>B16</f>
        <v>公共配套设施</v>
      </c>
      <c r="R16" s="1573" t="s">
        <v>8</v>
      </c>
      <c r="S16" s="1574">
        <f>F16</f>
        <v>100</v>
      </c>
      <c r="T16" s="1573" t="s">
        <v>8</v>
      </c>
      <c r="U16" s="1574">
        <f>H16</f>
        <v>100</v>
      </c>
      <c r="V16" s="1573" t="s">
        <v>8</v>
      </c>
      <c r="W16" s="1574">
        <f>J16</f>
        <v>100</v>
      </c>
      <c r="X16" s="1567"/>
      <c r="Y16" s="3464"/>
      <c r="Z16" s="1575" t="str">
        <f>Q16</f>
        <v>公共配套设施</v>
      </c>
      <c r="AA16" s="1576">
        <f t="shared" si="3"/>
        <v>1</v>
      </c>
      <c r="AB16" s="1576">
        <f t="shared" si="4"/>
        <v>1</v>
      </c>
      <c r="AC16" s="1576">
        <f t="shared" si="5"/>
        <v>1</v>
      </c>
    </row>
    <row r="17" spans="1:29" ht="15">
      <c r="A17" s="515"/>
      <c r="B17" s="566"/>
      <c r="C17" s="873" t="s">
        <v>3019</v>
      </c>
      <c r="D17" s="555"/>
      <c r="E17" s="576" t="s">
        <v>3019</v>
      </c>
      <c r="F17" s="557"/>
      <c r="G17" s="576" t="s">
        <v>3019</v>
      </c>
      <c r="H17" s="555"/>
      <c r="I17" s="576" t="s">
        <v>3019</v>
      </c>
      <c r="J17" s="555"/>
      <c r="K17" s="898"/>
      <c r="L17" s="2143"/>
      <c r="M17" s="2135"/>
      <c r="N17" s="2135"/>
      <c r="O17" s="2142"/>
      <c r="P17" s="3464"/>
      <c r="Q17" s="1572"/>
      <c r="R17" s="1573"/>
      <c r="S17" s="1574"/>
      <c r="T17" s="1573"/>
      <c r="U17" s="1574"/>
      <c r="V17" s="1573"/>
      <c r="W17" s="1574"/>
      <c r="X17" s="1567"/>
      <c r="Y17" s="3464"/>
      <c r="Z17" s="1575"/>
      <c r="AA17" s="1576">
        <v>1</v>
      </c>
      <c r="AB17" s="1576">
        <v>1</v>
      </c>
      <c r="AC17" s="1576">
        <v>1</v>
      </c>
    </row>
    <row r="18" spans="1:29" ht="15">
      <c r="A18" s="515"/>
      <c r="B18" s="2616" t="s">
        <v>2558</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v>1</v>
      </c>
      <c r="L18" s="2143"/>
      <c r="M18" s="2135"/>
      <c r="N18" s="2135"/>
      <c r="O18" s="2142"/>
      <c r="P18" s="3464"/>
      <c r="Q18" s="2604" t="str">
        <f>B18</f>
        <v>基础设施水平</v>
      </c>
      <c r="R18" s="1573" t="s">
        <v>8</v>
      </c>
      <c r="S18" s="1574">
        <f>F18</f>
        <v>100</v>
      </c>
      <c r="T18" s="1573" t="s">
        <v>8</v>
      </c>
      <c r="U18" s="1574">
        <f>H18</f>
        <v>100</v>
      </c>
      <c r="V18" s="1573" t="s">
        <v>8</v>
      </c>
      <c r="W18" s="1574">
        <f>J18</f>
        <v>100</v>
      </c>
      <c r="X18" s="2606"/>
      <c r="Y18" s="3464"/>
      <c r="Z18" s="2605" t="str">
        <f>Q18</f>
        <v>基础设施水平</v>
      </c>
      <c r="AA18" s="1576">
        <f t="shared" ref="AA18" si="8">D18/F18</f>
        <v>1</v>
      </c>
      <c r="AB18" s="1576">
        <f t="shared" ref="AB18" si="9">D18/H18</f>
        <v>1</v>
      </c>
      <c r="AC18" s="1576">
        <f t="shared" ref="AC18" si="10">D18/J18</f>
        <v>1</v>
      </c>
    </row>
    <row r="19" spans="1:29" ht="15">
      <c r="A19" s="515"/>
      <c r="B19" s="578"/>
      <c r="C19" s="873" t="s">
        <v>3020</v>
      </c>
      <c r="D19" s="559"/>
      <c r="E19" s="576" t="s">
        <v>3020</v>
      </c>
      <c r="F19" s="557"/>
      <c r="G19" s="576" t="s">
        <v>3020</v>
      </c>
      <c r="H19" s="555"/>
      <c r="I19" s="576" t="s">
        <v>3020</v>
      </c>
      <c r="J19" s="555"/>
      <c r="K19" s="2627"/>
      <c r="L19" s="2143"/>
      <c r="M19" s="2135"/>
      <c r="N19" s="2135"/>
      <c r="O19" s="2142"/>
      <c r="P19" s="3464"/>
      <c r="Q19" s="2604"/>
      <c r="R19" s="1573"/>
      <c r="S19" s="1574"/>
      <c r="T19" s="1573"/>
      <c r="U19" s="1574"/>
      <c r="V19" s="1573"/>
      <c r="W19" s="1574"/>
      <c r="X19" s="2606"/>
      <c r="Y19" s="3464"/>
      <c r="Z19" s="2605"/>
      <c r="AA19" s="1576">
        <v>1</v>
      </c>
      <c r="AB19" s="1576">
        <v>1</v>
      </c>
      <c r="AC19" s="1576">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v>5</v>
      </c>
      <c r="L20" s="2143"/>
      <c r="M20" s="2135"/>
      <c r="N20" s="2135"/>
      <c r="O20" s="2142"/>
      <c r="P20" s="3464"/>
      <c r="Q20" s="1572" t="str">
        <f>B20</f>
        <v>自然及人文环境</v>
      </c>
      <c r="R20" s="1573" t="s">
        <v>8</v>
      </c>
      <c r="S20" s="1574">
        <f>F20</f>
        <v>100</v>
      </c>
      <c r="T20" s="1573" t="s">
        <v>8</v>
      </c>
      <c r="U20" s="1574">
        <f>H20</f>
        <v>100</v>
      </c>
      <c r="V20" s="1573" t="s">
        <v>8</v>
      </c>
      <c r="W20" s="1574">
        <f>J20</f>
        <v>100</v>
      </c>
      <c r="X20" s="1567"/>
      <c r="Y20" s="3464"/>
      <c r="Z20" s="1575" t="str">
        <f>Q20</f>
        <v>自然及人文环境</v>
      </c>
      <c r="AA20" s="1576">
        <f t="shared" si="3"/>
        <v>1</v>
      </c>
      <c r="AB20" s="1576">
        <f t="shared" si="4"/>
        <v>1</v>
      </c>
      <c r="AC20" s="1576">
        <f t="shared" si="5"/>
        <v>1</v>
      </c>
    </row>
    <row r="21" spans="1:29" ht="15.75" thickBot="1">
      <c r="A21" s="515"/>
      <c r="B21" s="566"/>
      <c r="C21" s="576" t="s">
        <v>3019</v>
      </c>
      <c r="D21" s="555"/>
      <c r="E21" s="576" t="s">
        <v>3019</v>
      </c>
      <c r="F21" s="557"/>
      <c r="G21" s="576" t="s">
        <v>3019</v>
      </c>
      <c r="H21" s="555"/>
      <c r="I21" s="576" t="s">
        <v>3019</v>
      </c>
      <c r="J21" s="555"/>
      <c r="K21" s="898"/>
      <c r="L21" s="2143"/>
      <c r="M21" s="2135"/>
      <c r="N21" s="2135"/>
      <c r="O21" s="2142"/>
      <c r="P21" s="3464"/>
      <c r="Q21" s="1572"/>
      <c r="R21" s="1573"/>
      <c r="S21" s="1574"/>
      <c r="T21" s="1573"/>
      <c r="U21" s="1574"/>
      <c r="V21" s="1573"/>
      <c r="W21" s="1574"/>
      <c r="X21" s="1567"/>
      <c r="Y21" s="3464"/>
      <c r="Z21" s="1575"/>
      <c r="AA21" s="1576">
        <v>1</v>
      </c>
      <c r="AB21" s="1576">
        <v>1</v>
      </c>
      <c r="AC21" s="1576">
        <v>1</v>
      </c>
    </row>
    <row r="22" spans="1:29" ht="15.75" hidden="1" thickBot="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64"/>
      <c r="Q22" s="1572" t="str">
        <f>B22</f>
        <v>楼层</v>
      </c>
      <c r="R22" s="1573" t="s">
        <v>8</v>
      </c>
      <c r="S22" s="1574">
        <f>F22</f>
        <v>100</v>
      </c>
      <c r="T22" s="1573" t="s">
        <v>8</v>
      </c>
      <c r="U22" s="1574">
        <f>H22</f>
        <v>100</v>
      </c>
      <c r="V22" s="1573" t="s">
        <v>8</v>
      </c>
      <c r="W22" s="1574">
        <f>J22</f>
        <v>100</v>
      </c>
      <c r="X22" s="1567"/>
      <c r="Y22" s="3464"/>
      <c r="Z22" s="1575" t="str">
        <f>Q22</f>
        <v>楼层</v>
      </c>
      <c r="AA22" s="1576">
        <f t="shared" si="3"/>
        <v>1</v>
      </c>
      <c r="AB22" s="1576">
        <f t="shared" si="4"/>
        <v>1</v>
      </c>
      <c r="AC22" s="1576">
        <f t="shared" si="5"/>
        <v>1</v>
      </c>
    </row>
    <row r="23" spans="1:29" ht="15" hidden="1">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64"/>
      <c r="Q23" s="1572">
        <f>B23</f>
        <v>0</v>
      </c>
      <c r="R23" s="1573" t="s">
        <v>8</v>
      </c>
      <c r="S23" s="1574">
        <f>F23</f>
        <v>100</v>
      </c>
      <c r="T23" s="1573" t="s">
        <v>8</v>
      </c>
      <c r="U23" s="1574">
        <f>H23</f>
        <v>100</v>
      </c>
      <c r="V23" s="1573" t="s">
        <v>8</v>
      </c>
      <c r="W23" s="1574">
        <f>J23</f>
        <v>100</v>
      </c>
      <c r="X23" s="1567"/>
      <c r="Y23" s="3464"/>
      <c r="Z23" s="1575">
        <f>Q23</f>
        <v>0</v>
      </c>
      <c r="AA23" s="1576">
        <f t="shared" si="3"/>
        <v>1</v>
      </c>
      <c r="AB23" s="1576">
        <f t="shared" si="4"/>
        <v>1</v>
      </c>
      <c r="AC23" s="1576">
        <f t="shared" si="5"/>
        <v>1</v>
      </c>
    </row>
    <row r="24" spans="1:29" ht="15" hidden="1">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64"/>
      <c r="Q24" s="1572">
        <f t="shared" ref="Q24:Q36" si="11">B24</f>
        <v>0</v>
      </c>
      <c r="R24" s="1573" t="s">
        <v>8</v>
      </c>
      <c r="S24" s="1574">
        <f>F24</f>
        <v>100</v>
      </c>
      <c r="T24" s="1573" t="s">
        <v>8</v>
      </c>
      <c r="U24" s="1574">
        <f>H24</f>
        <v>100</v>
      </c>
      <c r="V24" s="1573" t="s">
        <v>8</v>
      </c>
      <c r="W24" s="1574">
        <f>J24</f>
        <v>100</v>
      </c>
      <c r="X24" s="1567"/>
      <c r="Y24" s="3464"/>
      <c r="Z24" s="1575">
        <f>Q24</f>
        <v>0</v>
      </c>
      <c r="AA24" s="1576">
        <f t="shared" si="3"/>
        <v>1</v>
      </c>
      <c r="AB24" s="1576">
        <f t="shared" si="4"/>
        <v>1</v>
      </c>
      <c r="AC24" s="1576">
        <f t="shared" si="5"/>
        <v>1</v>
      </c>
    </row>
    <row r="25" spans="1:29" s="1219" customFormat="1" ht="15.75" hidden="1"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64"/>
      <c r="Q25" s="1150">
        <f t="shared" si="11"/>
        <v>0</v>
      </c>
      <c r="R25" s="1568" t="s">
        <v>8</v>
      </c>
      <c r="S25" s="1569">
        <f>F25</f>
        <v>100</v>
      </c>
      <c r="T25" s="1568" t="s">
        <v>8</v>
      </c>
      <c r="U25" s="1569">
        <f>H25</f>
        <v>100</v>
      </c>
      <c r="V25" s="1568" t="s">
        <v>8</v>
      </c>
      <c r="W25" s="1569">
        <f>J25</f>
        <v>100</v>
      </c>
      <c r="X25" s="1570"/>
      <c r="Y25" s="3464"/>
      <c r="Z25" s="1149">
        <f>Q25</f>
        <v>0</v>
      </c>
      <c r="AA25" s="1576">
        <f>D25/F25</f>
        <v>1</v>
      </c>
      <c r="AB25" s="1576">
        <f>D25/H25</f>
        <v>1</v>
      </c>
      <c r="AC25" s="1576">
        <f>D25/J25</f>
        <v>1</v>
      </c>
    </row>
    <row r="26" spans="1:29" ht="15">
      <c r="A26" s="2932" t="s">
        <v>2755</v>
      </c>
      <c r="B26" s="170" t="s">
        <v>805</v>
      </c>
      <c r="C26" s="927" t="str">
        <f>B1</f>
        <v>车库</v>
      </c>
      <c r="D26" s="555">
        <v>100</v>
      </c>
      <c r="E26" s="576" t="s">
        <v>3045</v>
      </c>
      <c r="F26" s="557">
        <f>SUMIF(79:79,E26,80:80)-SUMIF(79:79,C26,80:80)+100</f>
        <v>100</v>
      </c>
      <c r="G26" s="576" t="s">
        <v>3045</v>
      </c>
      <c r="H26" s="555">
        <f>SUMIF(79:79,G26,80:80)-SUMIF(79:79,C26,80:80)+100</f>
        <v>100</v>
      </c>
      <c r="I26" s="576" t="s">
        <v>3045</v>
      </c>
      <c r="J26" s="555">
        <f>SUMIF(79:79,I26,80:80)-SUMIF(79:79,C26,80:80)+100</f>
        <v>100</v>
      </c>
      <c r="K26" s="584">
        <v>3</v>
      </c>
      <c r="L26" s="2143"/>
      <c r="M26" s="2135"/>
      <c r="N26" s="2135"/>
      <c r="O26" s="2142"/>
      <c r="P26" s="3465"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66" t="s">
        <v>549</v>
      </c>
      <c r="Z26" s="1575" t="str">
        <f t="shared" ref="Z26:Z36" si="15">Q26</f>
        <v>配套类型</v>
      </c>
      <c r="AA26" s="1576">
        <f t="shared" si="3"/>
        <v>1</v>
      </c>
      <c r="AB26" s="1576">
        <f t="shared" si="4"/>
        <v>1</v>
      </c>
      <c r="AC26" s="1576">
        <f t="shared" si="5"/>
        <v>1</v>
      </c>
    </row>
    <row r="27" spans="1:29" s="1338"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66"/>
      <c r="Q27" s="1605" t="str">
        <f t="shared" si="11"/>
        <v>项目停车位配比</v>
      </c>
      <c r="R27" s="1577" t="s">
        <v>8</v>
      </c>
      <c r="S27" s="1578">
        <f t="shared" si="12"/>
        <v>100</v>
      </c>
      <c r="T27" s="1577" t="s">
        <v>8</v>
      </c>
      <c r="U27" s="1578">
        <f t="shared" si="13"/>
        <v>100</v>
      </c>
      <c r="V27" s="1577" t="s">
        <v>8</v>
      </c>
      <c r="W27" s="1578">
        <f t="shared" si="14"/>
        <v>100</v>
      </c>
      <c r="X27" s="1579"/>
      <c r="Y27" s="3466"/>
      <c r="Z27" s="1580" t="str">
        <f t="shared" si="15"/>
        <v>项目停车位配比</v>
      </c>
      <c r="AA27" s="1576">
        <f t="shared" si="3"/>
        <v>1</v>
      </c>
      <c r="AB27" s="1576">
        <f t="shared" si="4"/>
        <v>1</v>
      </c>
      <c r="AC27" s="1576">
        <f t="shared" si="5"/>
        <v>1</v>
      </c>
    </row>
    <row r="28" spans="1:29" ht="15">
      <c r="A28" s="930"/>
      <c r="B28" s="582" t="s">
        <v>807</v>
      </c>
      <c r="C28" s="574" t="s">
        <v>3116</v>
      </c>
      <c r="D28" s="540">
        <v>100</v>
      </c>
      <c r="E28" s="574" t="s">
        <v>3116</v>
      </c>
      <c r="F28" s="575">
        <f>SUMIF(83:83,E28,84:84)-SUMIF(83:83,C28,84:84)+100</f>
        <v>100</v>
      </c>
      <c r="G28" s="574" t="s">
        <v>3116</v>
      </c>
      <c r="H28" s="540">
        <f>SUMIF(83:83,G28,84:84)-SUMIF(83:83,C28,84:84)+100</f>
        <v>100</v>
      </c>
      <c r="I28" s="574" t="s">
        <v>3116</v>
      </c>
      <c r="J28" s="540">
        <f>SUMIF(83:83,I28,84:84)-SUMIF(83:83,C28,84:84)+100</f>
        <v>100</v>
      </c>
      <c r="K28" s="584">
        <v>2</v>
      </c>
      <c r="L28" s="2143"/>
      <c r="M28" s="2135"/>
      <c r="N28" s="2135"/>
      <c r="O28" s="2142"/>
      <c r="P28" s="3466"/>
      <c r="Q28" s="1572" t="str">
        <f t="shared" si="11"/>
        <v>公共部分装修</v>
      </c>
      <c r="R28" s="1573" t="s">
        <v>8</v>
      </c>
      <c r="S28" s="1574">
        <f t="shared" si="12"/>
        <v>100</v>
      </c>
      <c r="T28" s="1573" t="s">
        <v>8</v>
      </c>
      <c r="U28" s="1574">
        <f t="shared" si="13"/>
        <v>100</v>
      </c>
      <c r="V28" s="1573" t="s">
        <v>8</v>
      </c>
      <c r="W28" s="1574">
        <f t="shared" si="14"/>
        <v>100</v>
      </c>
      <c r="X28" s="1567"/>
      <c r="Y28" s="3466"/>
      <c r="Z28" s="1575" t="str">
        <f t="shared" si="15"/>
        <v>公共部分装修</v>
      </c>
      <c r="AA28" s="1576">
        <f t="shared" si="3"/>
        <v>1</v>
      </c>
      <c r="AB28" s="1576">
        <f t="shared" si="4"/>
        <v>1</v>
      </c>
      <c r="AC28" s="1576">
        <f t="shared" si="5"/>
        <v>1</v>
      </c>
    </row>
    <row r="29" spans="1:29" ht="15">
      <c r="A29" s="930"/>
      <c r="B29" s="582" t="s">
        <v>808</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v>2</v>
      </c>
      <c r="L29" s="2143"/>
      <c r="M29" s="2135"/>
      <c r="N29" s="2135"/>
      <c r="O29" s="2142"/>
      <c r="P29" s="3466"/>
      <c r="Q29" s="1572" t="str">
        <f t="shared" si="11"/>
        <v>成新率</v>
      </c>
      <c r="R29" s="1573" t="s">
        <v>8</v>
      </c>
      <c r="S29" s="1574">
        <f t="shared" si="12"/>
        <v>100</v>
      </c>
      <c r="T29" s="1573" t="s">
        <v>8</v>
      </c>
      <c r="U29" s="1574">
        <f t="shared" si="13"/>
        <v>100</v>
      </c>
      <c r="V29" s="1573" t="s">
        <v>8</v>
      </c>
      <c r="W29" s="1574">
        <f t="shared" si="14"/>
        <v>100</v>
      </c>
      <c r="X29" s="1567"/>
      <c r="Y29" s="3466"/>
      <c r="Z29" s="1575" t="str">
        <f t="shared" si="15"/>
        <v>成新率</v>
      </c>
      <c r="AA29" s="1576">
        <f t="shared" si="3"/>
        <v>1</v>
      </c>
      <c r="AB29" s="1576">
        <f t="shared" si="4"/>
        <v>1</v>
      </c>
      <c r="AC29" s="1576">
        <f t="shared" si="5"/>
        <v>1</v>
      </c>
    </row>
    <row r="30" spans="1:29" ht="15">
      <c r="A30" s="930"/>
      <c r="B30" s="582" t="s">
        <v>809</v>
      </c>
      <c r="C30" s="931" t="s">
        <v>3089</v>
      </c>
      <c r="D30" s="540">
        <v>100</v>
      </c>
      <c r="E30" s="931" t="s">
        <v>3089</v>
      </c>
      <c r="F30" s="575">
        <f>SUMIF(88:88,E30,89:89)-SUMIF(88:88,C30,89:89)+100</f>
        <v>100</v>
      </c>
      <c r="G30" s="931" t="s">
        <v>3089</v>
      </c>
      <c r="H30" s="540">
        <f>SUMIF(88:88,E30,89:89)-SUMIF(88:88,C30,89:89)+100</f>
        <v>100</v>
      </c>
      <c r="I30" s="931" t="s">
        <v>3089</v>
      </c>
      <c r="J30" s="540">
        <f>SUMIF(88:88,E30,89:89)-SUMIF(88:88,C30,89:89)+100</f>
        <v>100</v>
      </c>
      <c r="K30" s="584">
        <v>3</v>
      </c>
      <c r="L30" s="2143"/>
      <c r="M30" s="2135"/>
      <c r="N30" s="2135"/>
      <c r="O30" s="2142"/>
      <c r="P30" s="3466"/>
      <c r="Q30" s="1572" t="str">
        <f t="shared" si="11"/>
        <v>物业等级</v>
      </c>
      <c r="R30" s="1573" t="s">
        <v>8</v>
      </c>
      <c r="S30" s="1574">
        <f t="shared" si="12"/>
        <v>100</v>
      </c>
      <c r="T30" s="1573" t="s">
        <v>8</v>
      </c>
      <c r="U30" s="1574">
        <f t="shared" si="13"/>
        <v>100</v>
      </c>
      <c r="V30" s="1573" t="s">
        <v>8</v>
      </c>
      <c r="W30" s="1574">
        <f t="shared" si="14"/>
        <v>100</v>
      </c>
      <c r="X30" s="1567"/>
      <c r="Y30" s="3466"/>
      <c r="Z30" s="1575" t="str">
        <f t="shared" si="15"/>
        <v>物业等级</v>
      </c>
      <c r="AA30" s="1576">
        <f t="shared" si="3"/>
        <v>1</v>
      </c>
      <c r="AB30" s="1576">
        <f t="shared" si="4"/>
        <v>1</v>
      </c>
      <c r="AC30" s="1576">
        <f t="shared" si="5"/>
        <v>1</v>
      </c>
    </row>
    <row r="31" spans="1:29" s="1219" customFormat="1" ht="15">
      <c r="A31" s="932"/>
      <c r="B31" s="582" t="s">
        <v>810</v>
      </c>
      <c r="C31" s="879">
        <v>35</v>
      </c>
      <c r="D31" s="255">
        <v>100</v>
      </c>
      <c r="E31" s="879">
        <v>35</v>
      </c>
      <c r="F31" s="575">
        <f>LOOKUP(E31,91:91,92:92)-LOOKUP(C31,91:91,92:92)+100</f>
        <v>100</v>
      </c>
      <c r="G31" s="879">
        <v>35</v>
      </c>
      <c r="H31" s="540">
        <f>LOOKUP(G31,91:91,92:92)-LOOKUP(C31,91:91,92:92)+100</f>
        <v>100</v>
      </c>
      <c r="I31" s="879">
        <v>35</v>
      </c>
      <c r="J31" s="540">
        <f>LOOKUP(I31,91:91,92:92)-LOOKUP(C31,91:91,92:92)+100</f>
        <v>100</v>
      </c>
      <c r="K31" s="584">
        <v>2</v>
      </c>
      <c r="L31" s="2136"/>
      <c r="M31" s="2137"/>
      <c r="N31" s="2137"/>
      <c r="O31" s="2138"/>
      <c r="P31" s="3466"/>
      <c r="Q31" s="1150" t="str">
        <f t="shared" si="11"/>
        <v>停车位面积</v>
      </c>
      <c r="R31" s="1568" t="s">
        <v>8</v>
      </c>
      <c r="S31" s="1569">
        <f t="shared" si="12"/>
        <v>100</v>
      </c>
      <c r="T31" s="1568" t="s">
        <v>8</v>
      </c>
      <c r="U31" s="1569">
        <f t="shared" si="13"/>
        <v>100</v>
      </c>
      <c r="V31" s="1568" t="s">
        <v>8</v>
      </c>
      <c r="W31" s="1569">
        <f t="shared" si="14"/>
        <v>100</v>
      </c>
      <c r="X31" s="1570"/>
      <c r="Y31" s="3466"/>
      <c r="Z31" s="1149" t="str">
        <f t="shared" si="15"/>
        <v>停车位面积</v>
      </c>
      <c r="AA31" s="1571">
        <f t="shared" si="3"/>
        <v>1</v>
      </c>
      <c r="AB31" s="1571">
        <f t="shared" si="4"/>
        <v>1</v>
      </c>
      <c r="AC31" s="1571">
        <f t="shared" si="5"/>
        <v>1</v>
      </c>
    </row>
    <row r="32" spans="1:29" ht="15">
      <c r="A32" s="930"/>
      <c r="B32" s="582" t="s">
        <v>811</v>
      </c>
      <c r="C32" s="574" t="s">
        <v>3119</v>
      </c>
      <c r="D32" s="540">
        <v>100</v>
      </c>
      <c r="E32" s="574" t="s">
        <v>3119</v>
      </c>
      <c r="F32" s="575">
        <f>SUMIF(93:93,E32,94:94)-SUMIF(93:93,C32,94:94)+100</f>
        <v>100</v>
      </c>
      <c r="G32" s="574" t="s">
        <v>3119</v>
      </c>
      <c r="H32" s="540">
        <f>SUMIF(93:93,G32,94:94)-SUMIF(93:93,C32,94:94)+100</f>
        <v>100</v>
      </c>
      <c r="I32" s="574" t="s">
        <v>3119</v>
      </c>
      <c r="J32" s="540">
        <f>SUMIF(93:93,I32,94:94)-SUMIF(93:93,C32,94:94)+100</f>
        <v>100</v>
      </c>
      <c r="K32" s="584">
        <v>2</v>
      </c>
      <c r="L32" s="2143"/>
      <c r="M32" s="2135"/>
      <c r="N32" s="2135"/>
      <c r="O32" s="2142"/>
      <c r="P32" s="3466" t="s">
        <v>549</v>
      </c>
      <c r="Q32" s="1572" t="str">
        <f t="shared" si="11"/>
        <v>车位类型</v>
      </c>
      <c r="R32" s="1573" t="s">
        <v>8</v>
      </c>
      <c r="S32" s="1574">
        <f t="shared" si="12"/>
        <v>100</v>
      </c>
      <c r="T32" s="1573" t="s">
        <v>8</v>
      </c>
      <c r="U32" s="1574">
        <f t="shared" si="13"/>
        <v>100</v>
      </c>
      <c r="V32" s="1573" t="s">
        <v>8</v>
      </c>
      <c r="W32" s="1574">
        <f t="shared" si="14"/>
        <v>100</v>
      </c>
      <c r="X32" s="1567"/>
      <c r="Y32" s="3466" t="s">
        <v>549</v>
      </c>
      <c r="Z32" s="1575" t="str">
        <f t="shared" si="15"/>
        <v>车位类型</v>
      </c>
      <c r="AA32" s="1576">
        <f t="shared" si="3"/>
        <v>1</v>
      </c>
      <c r="AB32" s="1576">
        <f t="shared" si="4"/>
        <v>1</v>
      </c>
      <c r="AC32" s="1576">
        <f t="shared" si="5"/>
        <v>1</v>
      </c>
    </row>
    <row r="33" spans="1:29" ht="15.75" thickBot="1">
      <c r="A33" s="930"/>
      <c r="B33" s="582" t="s">
        <v>812</v>
      </c>
      <c r="C33" s="574" t="s">
        <v>2988</v>
      </c>
      <c r="D33" s="540">
        <v>100</v>
      </c>
      <c r="E33" s="574" t="s">
        <v>2988</v>
      </c>
      <c r="F33" s="575">
        <f>SUMIF(95:95,E33,96:96)-SUMIF(95:95,C33,96:96)+100</f>
        <v>100</v>
      </c>
      <c r="G33" s="574" t="s">
        <v>2988</v>
      </c>
      <c r="H33" s="540">
        <f>SUMIF(95:95,G33,96:96)-SUMIF(95:95,C33,96:96)+100</f>
        <v>100</v>
      </c>
      <c r="I33" s="574" t="s">
        <v>2988</v>
      </c>
      <c r="J33" s="540">
        <f>SUMIF(95:95,I33,96:96)-SUMIF(95:95,C33,96:96)+100</f>
        <v>100</v>
      </c>
      <c r="K33" s="584"/>
      <c r="L33" s="2143"/>
      <c r="M33" s="2135"/>
      <c r="N33" s="2135"/>
      <c r="O33" s="2142"/>
      <c r="P33" s="3466"/>
      <c r="Q33" s="1572" t="str">
        <f t="shared" si="11"/>
        <v>是否直接入户</v>
      </c>
      <c r="R33" s="1573" t="s">
        <v>8</v>
      </c>
      <c r="S33" s="1574">
        <f t="shared" si="12"/>
        <v>100</v>
      </c>
      <c r="T33" s="1573" t="s">
        <v>8</v>
      </c>
      <c r="U33" s="1574">
        <f t="shared" si="13"/>
        <v>100</v>
      </c>
      <c r="V33" s="1573" t="s">
        <v>8</v>
      </c>
      <c r="W33" s="1574">
        <f t="shared" si="14"/>
        <v>100</v>
      </c>
      <c r="X33" s="1567"/>
      <c r="Y33" s="3466"/>
      <c r="Z33" s="1575" t="str">
        <f t="shared" si="15"/>
        <v>是否直接入户</v>
      </c>
      <c r="AA33" s="1576">
        <f t="shared" si="3"/>
        <v>1</v>
      </c>
      <c r="AB33" s="1576">
        <f t="shared" si="4"/>
        <v>1</v>
      </c>
      <c r="AC33" s="1576">
        <f t="shared" si="5"/>
        <v>1</v>
      </c>
    </row>
    <row r="34" spans="1:29" ht="15" hidden="1">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66"/>
      <c r="Q34" s="1572">
        <f t="shared" si="11"/>
        <v>0</v>
      </c>
      <c r="R34" s="1573" t="s">
        <v>8</v>
      </c>
      <c r="S34" s="1574">
        <f t="shared" si="12"/>
        <v>100</v>
      </c>
      <c r="T34" s="1573" t="s">
        <v>8</v>
      </c>
      <c r="U34" s="1574">
        <f t="shared" si="13"/>
        <v>100</v>
      </c>
      <c r="V34" s="1573" t="s">
        <v>8</v>
      </c>
      <c r="W34" s="1574">
        <f t="shared" si="14"/>
        <v>100</v>
      </c>
      <c r="X34" s="1567"/>
      <c r="Y34" s="3466"/>
      <c r="Z34" s="1575">
        <f t="shared" si="15"/>
        <v>0</v>
      </c>
      <c r="AA34" s="1576">
        <f t="shared" si="3"/>
        <v>1</v>
      </c>
      <c r="AB34" s="1576">
        <f t="shared" si="4"/>
        <v>1</v>
      </c>
      <c r="AC34" s="1576">
        <f t="shared" si="5"/>
        <v>1</v>
      </c>
    </row>
    <row r="35" spans="1:29" s="1338" customFormat="1" ht="15" hidden="1">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66"/>
      <c r="Q35" s="1605">
        <f t="shared" si="11"/>
        <v>0</v>
      </c>
      <c r="R35" s="1577" t="s">
        <v>8</v>
      </c>
      <c r="S35" s="1578">
        <f t="shared" si="12"/>
        <v>100</v>
      </c>
      <c r="T35" s="1577" t="s">
        <v>8</v>
      </c>
      <c r="U35" s="1578">
        <f t="shared" si="13"/>
        <v>100</v>
      </c>
      <c r="V35" s="1577" t="s">
        <v>8</v>
      </c>
      <c r="W35" s="1578">
        <f t="shared" si="14"/>
        <v>100</v>
      </c>
      <c r="X35" s="1579"/>
      <c r="Y35" s="3466"/>
      <c r="Z35" s="1580">
        <f t="shared" si="15"/>
        <v>0</v>
      </c>
      <c r="AA35" s="1576">
        <f t="shared" si="3"/>
        <v>1</v>
      </c>
      <c r="AB35" s="1576">
        <f t="shared" si="4"/>
        <v>1</v>
      </c>
      <c r="AC35" s="1576">
        <f t="shared" si="5"/>
        <v>1</v>
      </c>
    </row>
    <row r="36" spans="1:29" ht="15.75" hidden="1"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66"/>
      <c r="Q36" s="1572">
        <f t="shared" si="11"/>
        <v>0</v>
      </c>
      <c r="R36" s="1573" t="s">
        <v>8</v>
      </c>
      <c r="S36" s="1574">
        <f t="shared" si="12"/>
        <v>100</v>
      </c>
      <c r="T36" s="1573" t="s">
        <v>8</v>
      </c>
      <c r="U36" s="1574">
        <f t="shared" si="13"/>
        <v>100</v>
      </c>
      <c r="V36" s="1573" t="s">
        <v>8</v>
      </c>
      <c r="W36" s="1574">
        <f t="shared" si="14"/>
        <v>100</v>
      </c>
      <c r="X36" s="1567"/>
      <c r="Y36" s="3466"/>
      <c r="Z36" s="1575">
        <f t="shared" si="15"/>
        <v>0</v>
      </c>
      <c r="AA36" s="1576">
        <f t="shared" si="3"/>
        <v>1</v>
      </c>
      <c r="AB36" s="1576">
        <f t="shared" si="4"/>
        <v>1</v>
      </c>
      <c r="AC36" s="1576">
        <f t="shared" si="5"/>
        <v>1</v>
      </c>
    </row>
    <row r="37" spans="1:29" ht="15">
      <c r="A37" s="1847" t="s">
        <v>2078</v>
      </c>
      <c r="B37" s="1848" t="s">
        <v>3123</v>
      </c>
      <c r="C37" s="2652" t="s">
        <v>1</v>
      </c>
      <c r="D37" s="2653"/>
      <c r="E37" s="2654">
        <v>100000</v>
      </c>
      <c r="F37" s="2655"/>
      <c r="G37" s="2656">
        <v>100000</v>
      </c>
      <c r="H37" s="2657"/>
      <c r="I37" s="2654">
        <v>118000</v>
      </c>
      <c r="J37" s="2657"/>
      <c r="K37" s="1611"/>
      <c r="L37" s="2145"/>
      <c r="M37" s="2146"/>
      <c r="N37" s="2135"/>
      <c r="O37" s="2146"/>
      <c r="P37" s="3427" t="str">
        <f>A37</f>
        <v>成交单价</v>
      </c>
      <c r="Q37" s="3427"/>
      <c r="R37" s="3520">
        <f>E37</f>
        <v>100000</v>
      </c>
      <c r="S37" s="3520"/>
      <c r="T37" s="3520">
        <f>G37</f>
        <v>100000</v>
      </c>
      <c r="U37" s="3520"/>
      <c r="V37" s="3520">
        <f>I37</f>
        <v>118000</v>
      </c>
      <c r="W37" s="3520"/>
      <c r="X37" s="1559"/>
      <c r="Y37" s="1581"/>
      <c r="Z37" s="1559"/>
      <c r="AA37" s="1559"/>
      <c r="AB37" s="1559"/>
      <c r="AC37" s="1559"/>
    </row>
    <row r="38" spans="1:29" ht="15.75" thickBot="1">
      <c r="A38" s="615" t="s">
        <v>2760</v>
      </c>
      <c r="B38" s="887"/>
      <c r="C38" s="2658">
        <f>R39</f>
        <v>106000</v>
      </c>
      <c r="D38" s="2659"/>
      <c r="E38" s="2660">
        <f>R38</f>
        <v>100000</v>
      </c>
      <c r="F38" s="2660"/>
      <c r="G38" s="2658">
        <f>T38</f>
        <v>100000</v>
      </c>
      <c r="H38" s="2659"/>
      <c r="I38" s="2660">
        <f>V38</f>
        <v>118000</v>
      </c>
      <c r="J38" s="2659"/>
      <c r="K38" s="1612"/>
      <c r="L38" s="2145"/>
      <c r="M38" s="2146"/>
      <c r="N38" s="2146"/>
      <c r="O38" s="2146"/>
      <c r="P38" s="3427" t="str">
        <f>A38</f>
        <v>比较价格（元/平方米）</v>
      </c>
      <c r="Q38" s="3427"/>
      <c r="R38" s="3520">
        <f>IF(F1="售价",ROUND(PRODUCT(R37,AA7:AA36),0),ROUND(PRODUCT(R37,AA7:AA36),1))</f>
        <v>100000</v>
      </c>
      <c r="S38" s="3520"/>
      <c r="T38" s="3520">
        <f>IF(F1="售价",ROUND(PRODUCT(T37,AB7:AB36),0),ROUND(PRODUCT(T37,AB7:AB36),1))</f>
        <v>100000</v>
      </c>
      <c r="U38" s="3520"/>
      <c r="V38" s="3520">
        <f>IF(F1="售价",ROUND(PRODUCT(V37,AC7:AC36),0),ROUND(PRODUCT(V37,AC7:AC36),1))</f>
        <v>118000</v>
      </c>
      <c r="W38" s="3520"/>
      <c r="X38" s="1559"/>
      <c r="Y38" s="1559"/>
      <c r="Z38" s="1559"/>
      <c r="AA38" s="1559"/>
      <c r="AB38" s="1559"/>
      <c r="AC38" s="1559"/>
    </row>
    <row r="39" spans="1:29" ht="15.75" thickBot="1">
      <c r="A39" s="621" t="s">
        <v>2922</v>
      </c>
      <c r="B39" s="622"/>
      <c r="C39" s="2661">
        <f>R39</f>
        <v>106000</v>
      </c>
      <c r="D39" s="2661"/>
      <c r="E39" s="2661"/>
      <c r="F39" s="2661"/>
      <c r="G39" s="2661"/>
      <c r="H39" s="2661"/>
      <c r="I39" s="2661"/>
      <c r="J39" s="2661"/>
      <c r="K39" s="1613"/>
      <c r="L39" s="2145"/>
      <c r="M39" s="2146"/>
      <c r="N39" s="2146"/>
      <c r="O39" s="2146"/>
      <c r="P39" s="3424" t="str">
        <f>A39</f>
        <v>估价对象XX用房的比较价格（楼面单价，元/平方米）</v>
      </c>
      <c r="Q39" s="3425"/>
      <c r="R39" s="3519">
        <f>IF(F1="售价",ROUND(AVERAGE(R38:V38),0),ROUND(AVERAGE(R38:V38),1))</f>
        <v>106000</v>
      </c>
      <c r="S39" s="3519"/>
      <c r="T39" s="3519"/>
      <c r="U39" s="3519"/>
      <c r="V39" s="3519"/>
      <c r="W39" s="351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f>IF(E38&lt;G38,G38/E38-1,E38/G38-1)</f>
        <v>0</v>
      </c>
      <c r="F43" s="627" t="str">
        <f>IF(OR(E43&gt;=0.2,E43&lt;=-0.2),"超过20%","")</f>
        <v/>
      </c>
      <c r="G43" s="626">
        <f>IF(G38&lt;I38,I38/G38-1,G38/I38-1)</f>
        <v>0.17999999999999994</v>
      </c>
      <c r="H43" s="627" t="str">
        <f>IF(OR(G43&gt;=0.2,G43&lt;=-0.2),"超过20%","")</f>
        <v/>
      </c>
      <c r="I43" s="626">
        <f>IF(I38&lt;E38,E38/I38-1,I38/E38-1)</f>
        <v>0.17999999999999994</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f>IF(E37&lt;G37,G37/E37-1,E37/G37-1)</f>
        <v>0</v>
      </c>
      <c r="F44" s="627" t="str">
        <f>IF(OR(E44&gt;=0.3,E44&lt;=-0.3),"超过30%","")</f>
        <v/>
      </c>
      <c r="G44" s="626">
        <f>IF(G37&lt;I37,I37/G37-1,G37/I37-1)</f>
        <v>0.17999999999999994</v>
      </c>
      <c r="H44" s="627" t="str">
        <f>IF(OR(G44&gt;=0.3,G44&lt;=-0.3),"超过30%","")</f>
        <v/>
      </c>
      <c r="I44" s="626">
        <f>IF(I37&lt;E37,E37/I37-1,I37/E37-1)</f>
        <v>0.17999999999999994</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t="str">
        <f>C9</f>
        <v>地下车库</v>
      </c>
      <c r="D53" s="3188" t="s">
        <v>3115</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0</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0</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0</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97</v>
      </c>
      <c r="E66" s="679">
        <f>D66-$K16</f>
        <v>94</v>
      </c>
      <c r="F66" s="679">
        <f>E66-$K16</f>
        <v>91</v>
      </c>
      <c r="G66" s="679">
        <f>F66-$K16</f>
        <v>88</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2558</v>
      </c>
      <c r="C67" s="2623" t="s">
        <v>2559</v>
      </c>
      <c r="D67" s="2623" t="s">
        <v>2560</v>
      </c>
      <c r="E67" s="2623" t="s">
        <v>2561</v>
      </c>
      <c r="F67" s="2623" t="s">
        <v>2562</v>
      </c>
      <c r="G67" s="2623" t="s">
        <v>2563</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99</v>
      </c>
      <c r="E68" s="679">
        <f>D68-$K18</f>
        <v>98</v>
      </c>
      <c r="F68" s="679">
        <f>E68-$K18</f>
        <v>97</v>
      </c>
      <c r="G68" s="679">
        <f>F68-$K18</f>
        <v>96</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95</v>
      </c>
      <c r="E70" s="679">
        <f>D70-$K20</f>
        <v>90</v>
      </c>
      <c r="F70" s="679">
        <f>E70-$K20</f>
        <v>85</v>
      </c>
      <c r="G70" s="679">
        <f>F70-$K20</f>
        <v>80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0</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0</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0</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t="str">
        <f>C26</f>
        <v>车库</v>
      </c>
      <c r="D79" s="318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3190" t="s">
        <v>3117</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3188" t="s">
        <v>3118</v>
      </c>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0(含)-20</v>
      </c>
      <c r="D90" s="708" t="str">
        <f t="shared" ref="D90:L90" si="21">D91&amp;"(含)"&amp;"-"&amp;E91</f>
        <v>20(含)-35</v>
      </c>
      <c r="E90" s="708" t="str">
        <f t="shared" si="21"/>
        <v>35(含)-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v>0</v>
      </c>
      <c r="D91" s="730">
        <v>20</v>
      </c>
      <c r="E91" s="730">
        <v>35</v>
      </c>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v>100</v>
      </c>
      <c r="D92" s="671">
        <v>101</v>
      </c>
      <c r="E92" s="671">
        <v>102</v>
      </c>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3190" t="s">
        <v>3120</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3188" t="s">
        <v>3121</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0</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0</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0</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33" t="s">
        <v>797</v>
      </c>
      <c r="D4" s="3434"/>
      <c r="E4" s="3470" t="s">
        <v>798</v>
      </c>
      <c r="F4" s="3471"/>
      <c r="G4" s="3433" t="s">
        <v>799</v>
      </c>
      <c r="H4" s="3434"/>
      <c r="I4" s="3433" t="s">
        <v>800</v>
      </c>
      <c r="J4" s="3434"/>
      <c r="K4" s="514" t="s">
        <v>801</v>
      </c>
      <c r="L4" s="2134"/>
      <c r="M4" s="2135"/>
      <c r="N4" s="2135"/>
      <c r="O4" s="2135"/>
      <c r="P4" s="3435" t="s">
        <v>802</v>
      </c>
      <c r="Q4" s="3436"/>
      <c r="R4" s="3441" t="s">
        <v>798</v>
      </c>
      <c r="S4" s="3442"/>
      <c r="T4" s="3441" t="s">
        <v>799</v>
      </c>
      <c r="U4" s="3442"/>
      <c r="V4" s="3428" t="s">
        <v>800</v>
      </c>
      <c r="W4" s="3428"/>
      <c r="X4" s="1567"/>
      <c r="Y4" s="3441" t="s">
        <v>802</v>
      </c>
      <c r="Z4" s="3442"/>
      <c r="AA4" s="3430" t="s">
        <v>798</v>
      </c>
      <c r="AB4" s="3431" t="s">
        <v>799</v>
      </c>
      <c r="AC4" s="3430" t="s">
        <v>800</v>
      </c>
    </row>
    <row r="5" spans="1:29" ht="15">
      <c r="A5" s="515"/>
      <c r="B5" s="516"/>
      <c r="C5" s="3451" t="s">
        <v>2916</v>
      </c>
      <c r="D5" s="3450"/>
      <c r="E5" s="3472" t="s">
        <v>2917</v>
      </c>
      <c r="F5" s="3473"/>
      <c r="G5" s="3451" t="s">
        <v>2918</v>
      </c>
      <c r="H5" s="3450"/>
      <c r="I5" s="3451" t="s">
        <v>2919</v>
      </c>
      <c r="J5" s="3450"/>
      <c r="K5" s="514"/>
      <c r="L5" s="2134"/>
      <c r="M5" s="2135"/>
      <c r="N5" s="2135"/>
      <c r="O5" s="2135"/>
      <c r="P5" s="3437"/>
      <c r="Q5" s="3438"/>
      <c r="R5" s="3443"/>
      <c r="S5" s="3444"/>
      <c r="T5" s="3443"/>
      <c r="U5" s="3444"/>
      <c r="V5" s="3428"/>
      <c r="W5" s="3428"/>
      <c r="X5" s="1567"/>
      <c r="Y5" s="3443"/>
      <c r="Z5" s="3444"/>
      <c r="AA5" s="3431"/>
      <c r="AB5" s="3431"/>
      <c r="AC5" s="3431"/>
    </row>
    <row r="6" spans="1:29" ht="15.75" thickBot="1">
      <c r="A6" s="517"/>
      <c r="B6" s="518"/>
      <c r="C6" s="3467" t="s">
        <v>2920</v>
      </c>
      <c r="D6" s="3448"/>
      <c r="E6" s="3468" t="s">
        <v>2920</v>
      </c>
      <c r="F6" s="3469"/>
      <c r="G6" s="3467" t="s">
        <v>2920</v>
      </c>
      <c r="H6" s="3448"/>
      <c r="I6" s="3467" t="s">
        <v>2920</v>
      </c>
      <c r="J6" s="3448"/>
      <c r="K6" s="514" t="s">
        <v>527</v>
      </c>
      <c r="L6" s="2134"/>
      <c r="M6" s="2135"/>
      <c r="N6" s="2135"/>
      <c r="O6" s="2135"/>
      <c r="P6" s="3439"/>
      <c r="Q6" s="3440"/>
      <c r="R6" s="3443"/>
      <c r="S6" s="3444"/>
      <c r="T6" s="3445"/>
      <c r="U6" s="3446"/>
      <c r="V6" s="3428"/>
      <c r="W6" s="3428"/>
      <c r="X6" s="1567"/>
      <c r="Y6" s="3445"/>
      <c r="Z6" s="3446"/>
      <c r="AA6" s="3432"/>
      <c r="AB6" s="3432"/>
      <c r="AC6" s="3432"/>
    </row>
    <row r="7" spans="1:29" s="1219" customFormat="1" ht="15.75" thickBot="1">
      <c r="A7" s="2937"/>
      <c r="B7" s="2944" t="s">
        <v>528</v>
      </c>
      <c r="C7" s="519">
        <f>'数据-取费表'!B2</f>
        <v>43217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60" t="s">
        <v>529</v>
      </c>
      <c r="Q7" s="3462"/>
      <c r="R7" s="1568" t="s">
        <v>8</v>
      </c>
      <c r="S7" s="1569">
        <f t="shared" ref="S7:S14" si="0">F7</f>
        <v>0</v>
      </c>
      <c r="T7" s="1568" t="s">
        <v>8</v>
      </c>
      <c r="U7" s="1569">
        <f t="shared" ref="U7:U14" si="1">H7</f>
        <v>0</v>
      </c>
      <c r="V7" s="1568" t="s">
        <v>8</v>
      </c>
      <c r="W7" s="1569">
        <f t="shared" ref="W7:W14" si="2">J7</f>
        <v>0</v>
      </c>
      <c r="X7" s="1570"/>
      <c r="Y7" s="3460" t="s">
        <v>529</v>
      </c>
      <c r="Z7" s="3461"/>
      <c r="AA7" s="1571" t="e">
        <f>D7/F7</f>
        <v>#DIV/0!</v>
      </c>
      <c r="AB7" s="1571" t="e">
        <f>D7/H7</f>
        <v>#DIV/0!</v>
      </c>
      <c r="AC7" s="1571" t="e">
        <f>D7/J7</f>
        <v>#DIV/0!</v>
      </c>
    </row>
    <row r="8" spans="1:29" s="1219"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60" t="s">
        <v>532</v>
      </c>
      <c r="Q8" s="3461"/>
      <c r="R8" s="1568" t="s">
        <v>8</v>
      </c>
      <c r="S8" s="1569">
        <f t="shared" si="0"/>
        <v>0</v>
      </c>
      <c r="T8" s="1568" t="s">
        <v>8</v>
      </c>
      <c r="U8" s="1569">
        <f t="shared" si="1"/>
        <v>0</v>
      </c>
      <c r="V8" s="1568" t="s">
        <v>8</v>
      </c>
      <c r="W8" s="1569">
        <f t="shared" si="2"/>
        <v>0</v>
      </c>
      <c r="X8" s="1570"/>
      <c r="Y8" s="3460" t="s">
        <v>532</v>
      </c>
      <c r="Z8" s="3461"/>
      <c r="AA8" s="1571" t="e">
        <f t="shared" ref="AA8:AA34" si="3">D8/F8</f>
        <v>#DIV/0!</v>
      </c>
      <c r="AB8" s="1571" t="e">
        <f t="shared" ref="AB8:AB34" si="4">D8/H8</f>
        <v>#DIV/0!</v>
      </c>
      <c r="AC8" s="1571" t="e">
        <f t="shared" ref="AC8:AC34" si="5">D8/J8</f>
        <v>#DIV/0!</v>
      </c>
    </row>
    <row r="9" spans="1:29" s="1219" customFormat="1" ht="15">
      <c r="A9" s="2939"/>
      <c r="B9" s="2946"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7" t="s">
        <v>534</v>
      </c>
      <c r="Q9" s="1150" t="str">
        <f t="shared" ref="Q9:Q14" si="6">B9</f>
        <v>用途</v>
      </c>
      <c r="R9" s="1568" t="s">
        <v>8</v>
      </c>
      <c r="S9" s="1569">
        <f t="shared" si="0"/>
        <v>100</v>
      </c>
      <c r="T9" s="1568" t="s">
        <v>8</v>
      </c>
      <c r="U9" s="1569">
        <f t="shared" si="1"/>
        <v>100</v>
      </c>
      <c r="V9" s="1568" t="s">
        <v>8</v>
      </c>
      <c r="W9" s="1569">
        <f t="shared" si="2"/>
        <v>100</v>
      </c>
      <c r="X9" s="1570"/>
      <c r="Y9" s="3366" t="s">
        <v>535</v>
      </c>
      <c r="Z9" s="1149" t="str">
        <f t="shared" ref="Z9:Z14" si="7">Q9</f>
        <v>用途</v>
      </c>
      <c r="AA9" s="1571">
        <f t="shared" si="3"/>
        <v>1</v>
      </c>
      <c r="AB9" s="1571">
        <f t="shared" si="4"/>
        <v>1</v>
      </c>
      <c r="AC9" s="1571">
        <f t="shared" si="5"/>
        <v>1</v>
      </c>
    </row>
    <row r="10" spans="1:29" s="1337" customFormat="1" ht="27">
      <c r="A10" s="2940"/>
      <c r="B10" s="2945"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7"/>
      <c r="Q10" s="1150" t="str">
        <f t="shared" si="6"/>
        <v>土地使用年限（年）</v>
      </c>
      <c r="R10" s="1568" t="s">
        <v>8</v>
      </c>
      <c r="S10" s="1569">
        <f t="shared" si="0"/>
        <v>100</v>
      </c>
      <c r="T10" s="1568" t="s">
        <v>8</v>
      </c>
      <c r="U10" s="1569">
        <f t="shared" si="1"/>
        <v>100</v>
      </c>
      <c r="V10" s="1568" t="s">
        <v>8</v>
      </c>
      <c r="W10" s="1569">
        <f t="shared" si="2"/>
        <v>100</v>
      </c>
      <c r="X10" s="1570"/>
      <c r="Y10" s="3366"/>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27"/>
      <c r="Q11" s="1150">
        <f t="shared" si="6"/>
        <v>111</v>
      </c>
      <c r="R11" s="1568" t="s">
        <v>8</v>
      </c>
      <c r="S11" s="1569">
        <f t="shared" si="0"/>
        <v>100</v>
      </c>
      <c r="T11" s="1568" t="s">
        <v>8</v>
      </c>
      <c r="U11" s="1569">
        <f t="shared" si="1"/>
        <v>100</v>
      </c>
      <c r="V11" s="1568" t="s">
        <v>8</v>
      </c>
      <c r="W11" s="1569">
        <f t="shared" si="2"/>
        <v>100</v>
      </c>
      <c r="X11" s="1570"/>
      <c r="Y11" s="3366"/>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27"/>
      <c r="Q12" s="1150">
        <f t="shared" si="6"/>
        <v>111</v>
      </c>
      <c r="R12" s="1568" t="s">
        <v>8</v>
      </c>
      <c r="S12" s="1569">
        <f t="shared" si="0"/>
        <v>100</v>
      </c>
      <c r="T12" s="1568" t="s">
        <v>8</v>
      </c>
      <c r="U12" s="1569">
        <f t="shared" si="1"/>
        <v>100</v>
      </c>
      <c r="V12" s="1568" t="s">
        <v>8</v>
      </c>
      <c r="W12" s="1569">
        <f t="shared" si="2"/>
        <v>100</v>
      </c>
      <c r="X12" s="1570"/>
      <c r="Y12" s="3366"/>
      <c r="Z12" s="1149">
        <f t="shared" si="7"/>
        <v>111</v>
      </c>
      <c r="AA12" s="1571">
        <f>D12/F12</f>
        <v>1</v>
      </c>
      <c r="AB12" s="1571">
        <f>D12/H12</f>
        <v>1</v>
      </c>
      <c r="AC12" s="1571">
        <f>D12/J12</f>
        <v>1</v>
      </c>
    </row>
    <row r="13" spans="1:29" ht="15.75"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27"/>
      <c r="Q13" s="1150">
        <f t="shared" si="6"/>
        <v>111</v>
      </c>
      <c r="R13" s="1568" t="s">
        <v>8</v>
      </c>
      <c r="S13" s="1569">
        <f t="shared" si="0"/>
        <v>100</v>
      </c>
      <c r="T13" s="1568" t="s">
        <v>8</v>
      </c>
      <c r="U13" s="1569">
        <f t="shared" si="1"/>
        <v>100</v>
      </c>
      <c r="V13" s="1568" t="s">
        <v>8</v>
      </c>
      <c r="W13" s="1569">
        <f t="shared" si="2"/>
        <v>100</v>
      </c>
      <c r="X13" s="1570"/>
      <c r="Y13" s="3366"/>
      <c r="Z13" s="1149">
        <f t="shared" si="7"/>
        <v>111</v>
      </c>
      <c r="AA13" s="1571">
        <f t="shared" si="3"/>
        <v>1</v>
      </c>
      <c r="AB13" s="1571">
        <f t="shared" si="4"/>
        <v>1</v>
      </c>
      <c r="AC13" s="1571">
        <f t="shared" si="5"/>
        <v>1</v>
      </c>
    </row>
    <row r="14" spans="1:29" ht="15">
      <c r="A14" s="2935" t="s">
        <v>2754</v>
      </c>
      <c r="B14" s="166" t="s">
        <v>542</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63" t="s">
        <v>539</v>
      </c>
      <c r="Q14" s="1572" t="str">
        <f t="shared" si="6"/>
        <v>交通便捷度</v>
      </c>
      <c r="R14" s="1573" t="s">
        <v>8</v>
      </c>
      <c r="S14" s="1574">
        <f t="shared" si="0"/>
        <v>100</v>
      </c>
      <c r="T14" s="1573" t="s">
        <v>8</v>
      </c>
      <c r="U14" s="1574">
        <f t="shared" si="1"/>
        <v>100</v>
      </c>
      <c r="V14" s="1573" t="s">
        <v>8</v>
      </c>
      <c r="W14" s="1574">
        <f t="shared" si="2"/>
        <v>100</v>
      </c>
      <c r="X14" s="1567"/>
      <c r="Y14" s="3463"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64"/>
      <c r="Q15" s="1572"/>
      <c r="R15" s="1573"/>
      <c r="S15" s="1574"/>
      <c r="T15" s="1573"/>
      <c r="U15" s="1574"/>
      <c r="V15" s="1573"/>
      <c r="W15" s="1574"/>
      <c r="X15" s="1567"/>
      <c r="Y15" s="3464"/>
      <c r="Z15" s="1575"/>
      <c r="AA15" s="1576">
        <v>1</v>
      </c>
      <c r="AB15" s="1576">
        <v>1</v>
      </c>
      <c r="AC15" s="1576">
        <v>1</v>
      </c>
    </row>
    <row r="16" spans="1:29" ht="15">
      <c r="A16" s="532"/>
      <c r="B16" s="2628" t="s">
        <v>2546</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64"/>
      <c r="Q16" s="1572" t="str">
        <f>B16</f>
        <v>公共配套设施</v>
      </c>
      <c r="R16" s="1573" t="s">
        <v>8</v>
      </c>
      <c r="S16" s="1574">
        <f>F16</f>
        <v>100</v>
      </c>
      <c r="T16" s="1573" t="s">
        <v>8</v>
      </c>
      <c r="U16" s="1574">
        <f>H16</f>
        <v>100</v>
      </c>
      <c r="V16" s="1573" t="s">
        <v>8</v>
      </c>
      <c r="W16" s="1574">
        <f>J16</f>
        <v>100</v>
      </c>
      <c r="X16" s="1567"/>
      <c r="Y16" s="346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64"/>
      <c r="Q17" s="1572"/>
      <c r="R17" s="1573"/>
      <c r="S17" s="1574"/>
      <c r="T17" s="1573"/>
      <c r="U17" s="1574"/>
      <c r="V17" s="1573"/>
      <c r="W17" s="1574"/>
      <c r="X17" s="1567"/>
      <c r="Y17" s="3464"/>
      <c r="Z17" s="1575"/>
      <c r="AA17" s="1576">
        <v>1</v>
      </c>
      <c r="AB17" s="1576">
        <v>1</v>
      </c>
      <c r="AC17" s="1576">
        <v>1</v>
      </c>
    </row>
    <row r="18" spans="1:29" ht="15">
      <c r="A18" s="532"/>
      <c r="B18" s="2616" t="s">
        <v>2558</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64"/>
      <c r="Q18" s="2604" t="str">
        <f>B18</f>
        <v>基础设施水平</v>
      </c>
      <c r="R18" s="1573" t="s">
        <v>8</v>
      </c>
      <c r="S18" s="1574">
        <f>F18</f>
        <v>100</v>
      </c>
      <c r="T18" s="1573" t="s">
        <v>8</v>
      </c>
      <c r="U18" s="1574">
        <f>H18</f>
        <v>100</v>
      </c>
      <c r="V18" s="1573" t="s">
        <v>8</v>
      </c>
      <c r="W18" s="1574">
        <f>J18</f>
        <v>100</v>
      </c>
      <c r="X18" s="2606"/>
      <c r="Y18" s="346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64"/>
      <c r="Q19" s="2604"/>
      <c r="R19" s="1573"/>
      <c r="S19" s="1574"/>
      <c r="T19" s="1573"/>
      <c r="U19" s="1574"/>
      <c r="V19" s="1573"/>
      <c r="W19" s="1574"/>
      <c r="X19" s="2606"/>
      <c r="Y19" s="3464"/>
      <c r="Z19" s="2605"/>
      <c r="AA19" s="1576">
        <v>1</v>
      </c>
      <c r="AB19" s="1576">
        <v>1</v>
      </c>
      <c r="AC19" s="1576">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64"/>
      <c r="Q20" s="1572" t="str">
        <f>B20</f>
        <v>自然及人文环境</v>
      </c>
      <c r="R20" s="1573" t="s">
        <v>8</v>
      </c>
      <c r="S20" s="1574">
        <f>F20</f>
        <v>100</v>
      </c>
      <c r="T20" s="1573" t="s">
        <v>8</v>
      </c>
      <c r="U20" s="1574">
        <f>H20</f>
        <v>100</v>
      </c>
      <c r="V20" s="1573" t="s">
        <v>8</v>
      </c>
      <c r="W20" s="1574">
        <f>J20</f>
        <v>100</v>
      </c>
      <c r="X20" s="1567"/>
      <c r="Y20" s="346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64"/>
      <c r="Q21" s="1572"/>
      <c r="R21" s="1573"/>
      <c r="S21" s="1574"/>
      <c r="T21" s="1573"/>
      <c r="U21" s="1574"/>
      <c r="V21" s="1573"/>
      <c r="W21" s="1574"/>
      <c r="X21" s="1567"/>
      <c r="Y21" s="3464"/>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64"/>
      <c r="Q22" s="1572" t="str">
        <f>B22</f>
        <v>楼层</v>
      </c>
      <c r="R22" s="1573" t="s">
        <v>8</v>
      </c>
      <c r="S22" s="1574">
        <f>F22</f>
        <v>100</v>
      </c>
      <c r="T22" s="1573" t="s">
        <v>8</v>
      </c>
      <c r="U22" s="1574">
        <f>H22</f>
        <v>100</v>
      </c>
      <c r="V22" s="1573" t="s">
        <v>8</v>
      </c>
      <c r="W22" s="1574">
        <f>J22</f>
        <v>100</v>
      </c>
      <c r="X22" s="1567"/>
      <c r="Y22" s="346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64"/>
      <c r="Q23" s="1572">
        <f>B23</f>
        <v>111</v>
      </c>
      <c r="R23" s="1573" t="s">
        <v>8</v>
      </c>
      <c r="S23" s="1574">
        <f>F23</f>
        <v>100</v>
      </c>
      <c r="T23" s="1573" t="s">
        <v>8</v>
      </c>
      <c r="U23" s="1574">
        <f>H23</f>
        <v>100</v>
      </c>
      <c r="V23" s="1573" t="s">
        <v>8</v>
      </c>
      <c r="W23" s="1574">
        <f>J23</f>
        <v>100</v>
      </c>
      <c r="X23" s="1567"/>
      <c r="Y23" s="346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64"/>
      <c r="Q24" s="1572">
        <f t="shared" ref="Q24:Q34" si="11">B24</f>
        <v>111</v>
      </c>
      <c r="R24" s="1573" t="s">
        <v>8</v>
      </c>
      <c r="S24" s="1574">
        <f>F24</f>
        <v>100</v>
      </c>
      <c r="T24" s="1573" t="s">
        <v>8</v>
      </c>
      <c r="U24" s="1574">
        <f>H24</f>
        <v>100</v>
      </c>
      <c r="V24" s="1573" t="s">
        <v>8</v>
      </c>
      <c r="W24" s="1574">
        <f>J24</f>
        <v>100</v>
      </c>
      <c r="X24" s="1567"/>
      <c r="Y24" s="346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64"/>
      <c r="Q25" s="1150">
        <f t="shared" si="11"/>
        <v>111</v>
      </c>
      <c r="R25" s="1568" t="s">
        <v>8</v>
      </c>
      <c r="S25" s="1569">
        <f>F25</f>
        <v>100</v>
      </c>
      <c r="T25" s="1568" t="s">
        <v>8</v>
      </c>
      <c r="U25" s="1569">
        <f>H25</f>
        <v>100</v>
      </c>
      <c r="V25" s="1568" t="s">
        <v>8</v>
      </c>
      <c r="W25" s="1569">
        <f>J25</f>
        <v>100</v>
      </c>
      <c r="X25" s="1570"/>
      <c r="Y25" s="3464"/>
      <c r="Z25" s="1149">
        <f>Q25</f>
        <v>111</v>
      </c>
      <c r="AA25" s="1576">
        <f>D25/F25</f>
        <v>1</v>
      </c>
      <c r="AB25" s="1576">
        <f>D25/H25</f>
        <v>1</v>
      </c>
      <c r="AC25" s="1576">
        <f>D25/J25</f>
        <v>1</v>
      </c>
    </row>
    <row r="26" spans="1:29" ht="15">
      <c r="A26" s="2932"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65"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66" t="s">
        <v>820</v>
      </c>
      <c r="Z26" s="1575" t="str">
        <f t="shared" ref="Z26:Z34" si="15">Q26</f>
        <v>公共部分装修</v>
      </c>
      <c r="AA26" s="1576">
        <f t="shared" si="3"/>
        <v>1</v>
      </c>
      <c r="AB26" s="1576">
        <f t="shared" si="4"/>
        <v>1</v>
      </c>
      <c r="AC26" s="1576">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66"/>
      <c r="Q27" s="1605" t="str">
        <f t="shared" si="11"/>
        <v>成新率</v>
      </c>
      <c r="R27" s="1577" t="s">
        <v>8</v>
      </c>
      <c r="S27" s="1578" t="e">
        <f t="shared" si="12"/>
        <v>#N/A</v>
      </c>
      <c r="T27" s="1577" t="s">
        <v>8</v>
      </c>
      <c r="U27" s="1578" t="e">
        <f t="shared" si="13"/>
        <v>#N/A</v>
      </c>
      <c r="V27" s="1577" t="s">
        <v>8</v>
      </c>
      <c r="W27" s="1578" t="e">
        <f t="shared" si="14"/>
        <v>#N/A</v>
      </c>
      <c r="X27" s="1579"/>
      <c r="Y27" s="3466"/>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66"/>
      <c r="Q28" s="1572" t="str">
        <f t="shared" si="11"/>
        <v>物业等级</v>
      </c>
      <c r="R28" s="1573" t="s">
        <v>8</v>
      </c>
      <c r="S28" s="1574">
        <f t="shared" si="12"/>
        <v>100</v>
      </c>
      <c r="T28" s="1573" t="s">
        <v>8</v>
      </c>
      <c r="U28" s="1574">
        <f t="shared" si="13"/>
        <v>100</v>
      </c>
      <c r="V28" s="1573" t="s">
        <v>8</v>
      </c>
      <c r="W28" s="1574">
        <f t="shared" si="14"/>
        <v>100</v>
      </c>
      <c r="X28" s="1567"/>
      <c r="Y28" s="3466"/>
      <c r="Z28" s="1575" t="str">
        <f t="shared" si="15"/>
        <v>物业等级</v>
      </c>
      <c r="AA28" s="1576">
        <f t="shared" si="3"/>
        <v>1</v>
      </c>
      <c r="AB28" s="1576">
        <f t="shared" si="4"/>
        <v>1</v>
      </c>
      <c r="AC28" s="1576">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66"/>
      <c r="Q29" s="1572" t="str">
        <f t="shared" si="11"/>
        <v>有无电梯</v>
      </c>
      <c r="R29" s="1573" t="s">
        <v>8</v>
      </c>
      <c r="S29" s="1574">
        <f t="shared" si="12"/>
        <v>100</v>
      </c>
      <c r="T29" s="1573" t="s">
        <v>8</v>
      </c>
      <c r="U29" s="1574">
        <f t="shared" si="13"/>
        <v>100</v>
      </c>
      <c r="V29" s="1573" t="s">
        <v>8</v>
      </c>
      <c r="W29" s="1574">
        <f t="shared" si="14"/>
        <v>100</v>
      </c>
      <c r="X29" s="1567"/>
      <c r="Y29" s="3466"/>
      <c r="Z29" s="1575" t="str">
        <f t="shared" si="15"/>
        <v>有无电梯</v>
      </c>
      <c r="AA29" s="1576">
        <f t="shared" si="3"/>
        <v>1</v>
      </c>
      <c r="AB29" s="1576">
        <f t="shared" si="4"/>
        <v>1</v>
      </c>
      <c r="AC29" s="1576">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66"/>
      <c r="Q30" s="1572" t="str">
        <f t="shared" si="11"/>
        <v>建筑面积</v>
      </c>
      <c r="R30" s="1573" t="s">
        <v>8</v>
      </c>
      <c r="S30" s="1574" t="e">
        <f t="shared" si="12"/>
        <v>#N/A</v>
      </c>
      <c r="T30" s="1573" t="s">
        <v>8</v>
      </c>
      <c r="U30" s="1574" t="e">
        <f t="shared" si="13"/>
        <v>#N/A</v>
      </c>
      <c r="V30" s="1573" t="s">
        <v>8</v>
      </c>
      <c r="W30" s="1574" t="e">
        <f t="shared" si="14"/>
        <v>#N/A</v>
      </c>
      <c r="X30" s="1567"/>
      <c r="Y30" s="3466"/>
      <c r="Z30" s="1575" t="str">
        <f t="shared" si="15"/>
        <v>建筑面积</v>
      </c>
      <c r="AA30" s="1576" t="e">
        <f t="shared" si="3"/>
        <v>#N/A</v>
      </c>
      <c r="AB30" s="1576" t="e">
        <f t="shared" si="4"/>
        <v>#N/A</v>
      </c>
      <c r="AC30" s="1576"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66"/>
      <c r="Q31" s="1150" t="str">
        <f t="shared" si="11"/>
        <v>是否封闭</v>
      </c>
      <c r="R31" s="1568" t="s">
        <v>8</v>
      </c>
      <c r="S31" s="1569">
        <f t="shared" si="12"/>
        <v>100</v>
      </c>
      <c r="T31" s="1568" t="s">
        <v>8</v>
      </c>
      <c r="U31" s="1569">
        <f t="shared" si="13"/>
        <v>100</v>
      </c>
      <c r="V31" s="1568" t="s">
        <v>8</v>
      </c>
      <c r="W31" s="1569">
        <f t="shared" si="14"/>
        <v>100</v>
      </c>
      <c r="X31" s="1570"/>
      <c r="Y31" s="346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66" t="s">
        <v>549</v>
      </c>
      <c r="Q32" s="1572">
        <f t="shared" si="11"/>
        <v>111</v>
      </c>
      <c r="R32" s="1573" t="s">
        <v>8</v>
      </c>
      <c r="S32" s="1574">
        <f t="shared" si="12"/>
        <v>100</v>
      </c>
      <c r="T32" s="1573" t="s">
        <v>8</v>
      </c>
      <c r="U32" s="1574">
        <f t="shared" si="13"/>
        <v>100</v>
      </c>
      <c r="V32" s="1573" t="s">
        <v>8</v>
      </c>
      <c r="W32" s="1574">
        <f t="shared" si="14"/>
        <v>100</v>
      </c>
      <c r="X32" s="1567"/>
      <c r="Y32" s="3466" t="s">
        <v>549</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66"/>
      <c r="Q33" s="1572">
        <f t="shared" si="11"/>
        <v>111</v>
      </c>
      <c r="R33" s="1573" t="s">
        <v>8</v>
      </c>
      <c r="S33" s="1574">
        <f t="shared" si="12"/>
        <v>100</v>
      </c>
      <c r="T33" s="1573" t="s">
        <v>8</v>
      </c>
      <c r="U33" s="1574">
        <f t="shared" si="13"/>
        <v>100</v>
      </c>
      <c r="V33" s="1573" t="s">
        <v>8</v>
      </c>
      <c r="W33" s="1574">
        <f t="shared" si="14"/>
        <v>100</v>
      </c>
      <c r="X33" s="1567"/>
      <c r="Y33" s="346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66"/>
      <c r="Q34" s="1572">
        <f t="shared" si="11"/>
        <v>111</v>
      </c>
      <c r="R34" s="1573" t="s">
        <v>8</v>
      </c>
      <c r="S34" s="1574">
        <f t="shared" si="12"/>
        <v>100</v>
      </c>
      <c r="T34" s="1573" t="s">
        <v>8</v>
      </c>
      <c r="U34" s="1574">
        <f t="shared" si="13"/>
        <v>100</v>
      </c>
      <c r="V34" s="1573" t="s">
        <v>8</v>
      </c>
      <c r="W34" s="1574">
        <f t="shared" si="14"/>
        <v>100</v>
      </c>
      <c r="X34" s="1567"/>
      <c r="Y34" s="3466"/>
      <c r="Z34" s="1575">
        <f t="shared" si="15"/>
        <v>111</v>
      </c>
      <c r="AA34" s="1576">
        <f t="shared" si="3"/>
        <v>1</v>
      </c>
      <c r="AB34" s="1576">
        <f t="shared" si="4"/>
        <v>1</v>
      </c>
      <c r="AC34" s="1576">
        <f t="shared" si="5"/>
        <v>1</v>
      </c>
    </row>
    <row r="35" spans="1:29" ht="15">
      <c r="A35" s="607" t="s">
        <v>735</v>
      </c>
      <c r="B35" s="886"/>
      <c r="C35" s="2652" t="s">
        <v>1</v>
      </c>
      <c r="D35" s="2653"/>
      <c r="E35" s="2654"/>
      <c r="F35" s="2655"/>
      <c r="G35" s="2656"/>
      <c r="H35" s="2657"/>
      <c r="I35" s="2654"/>
      <c r="J35" s="2657"/>
      <c r="K35" s="1611"/>
      <c r="L35" s="2145"/>
      <c r="M35" s="2146"/>
      <c r="N35" s="2135"/>
      <c r="O35" s="2146"/>
      <c r="P35" s="3427" t="str">
        <f>A35</f>
        <v>成交单价（元/平方米）</v>
      </c>
      <c r="Q35" s="3427"/>
      <c r="R35" s="3520">
        <f>E35</f>
        <v>0</v>
      </c>
      <c r="S35" s="3520"/>
      <c r="T35" s="3520">
        <f>G35</f>
        <v>0</v>
      </c>
      <c r="U35" s="3520"/>
      <c r="V35" s="3520">
        <f>I35</f>
        <v>0</v>
      </c>
      <c r="W35" s="3520"/>
      <c r="X35" s="1559"/>
      <c r="Y35" s="1581"/>
      <c r="Z35" s="1559"/>
      <c r="AA35" s="1559"/>
      <c r="AB35" s="1559"/>
      <c r="AC35" s="1559"/>
    </row>
    <row r="36" spans="1:29" ht="15.75" thickBot="1">
      <c r="A36" s="615" t="s">
        <v>2760</v>
      </c>
      <c r="B36" s="887"/>
      <c r="C36" s="2658" t="e">
        <f>R37</f>
        <v>#DIV/0!</v>
      </c>
      <c r="D36" s="2659"/>
      <c r="E36" s="2660" t="e">
        <f>R36</f>
        <v>#DIV/0!</v>
      </c>
      <c r="F36" s="2660"/>
      <c r="G36" s="2658" t="e">
        <f>T36</f>
        <v>#DIV/0!</v>
      </c>
      <c r="H36" s="2659"/>
      <c r="I36" s="2660" t="e">
        <f>V36</f>
        <v>#DIV/0!</v>
      </c>
      <c r="J36" s="2659"/>
      <c r="K36" s="1612"/>
      <c r="L36" s="2145"/>
      <c r="M36" s="2146"/>
      <c r="N36" s="2135"/>
      <c r="O36" s="2146"/>
      <c r="P36" s="3427" t="str">
        <f>A36</f>
        <v>比较价格（元/平方米）</v>
      </c>
      <c r="Q36" s="3427"/>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59"/>
      <c r="Y36" s="1559"/>
      <c r="Z36" s="1559"/>
      <c r="AA36" s="1559"/>
      <c r="AB36" s="1559"/>
      <c r="AC36" s="1559"/>
    </row>
    <row r="37" spans="1:29" ht="15.75" thickBot="1">
      <c r="A37" s="621" t="s">
        <v>2922</v>
      </c>
      <c r="B37" s="622"/>
      <c r="C37" s="2661" t="e">
        <f>R37</f>
        <v>#DIV/0!</v>
      </c>
      <c r="D37" s="2661"/>
      <c r="E37" s="2661"/>
      <c r="F37" s="2661"/>
      <c r="G37" s="2661"/>
      <c r="H37" s="2661"/>
      <c r="I37" s="2661"/>
      <c r="J37" s="2661"/>
      <c r="K37" s="1613"/>
      <c r="L37" s="2145"/>
      <c r="M37" s="2146"/>
      <c r="N37" s="2146"/>
      <c r="O37" s="2146"/>
      <c r="P37" s="3424" t="str">
        <f>A37</f>
        <v>估价对象XX用房的比较价格（楼面单价，元/平方米）</v>
      </c>
      <c r="Q37" s="3425"/>
      <c r="R37" s="3519" t="e">
        <f>IF(F1="售价",ROUND(AVERAGE(R36:V36),0),ROUND(AVERAGE(R36:V36),1))</f>
        <v>#DIV/0!</v>
      </c>
      <c r="S37" s="3519"/>
      <c r="T37" s="3519"/>
      <c r="U37" s="3519"/>
      <c r="V37" s="3519"/>
      <c r="W37" s="351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2558</v>
      </c>
      <c r="C65" s="2623" t="s">
        <v>2559</v>
      </c>
      <c r="D65" s="2623" t="s">
        <v>2560</v>
      </c>
      <c r="E65" s="2623" t="s">
        <v>2561</v>
      </c>
      <c r="F65" s="2623" t="s">
        <v>2562</v>
      </c>
      <c r="G65" s="2623" t="s">
        <v>2563</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2304</v>
      </c>
      <c r="C1" s="3552" t="s">
        <v>2305</v>
      </c>
      <c r="D1" s="3553"/>
      <c r="E1" s="3553"/>
      <c r="F1" s="3553"/>
      <c r="G1" s="3553"/>
      <c r="H1" s="3553"/>
      <c r="I1" s="3553"/>
      <c r="J1" s="3553"/>
      <c r="K1" s="3553"/>
      <c r="L1" s="3553"/>
      <c r="M1" s="3553"/>
      <c r="N1" s="3553"/>
      <c r="O1" s="3553"/>
      <c r="P1" s="3553"/>
      <c r="Q1" s="3553"/>
      <c r="R1" s="3553"/>
      <c r="S1" s="3554"/>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2915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2914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2913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2928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2912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2911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49" t="s">
        <v>20</v>
      </c>
      <c r="D22" s="3550"/>
      <c r="E22" s="3550"/>
      <c r="F22" s="3550"/>
      <c r="G22" s="3550"/>
      <c r="H22" s="3550"/>
      <c r="I22" s="3550"/>
      <c r="J22" s="3550"/>
      <c r="K22" s="3550"/>
      <c r="L22" s="3550"/>
      <c r="M22" s="3550"/>
      <c r="N22" s="3550"/>
      <c r="O22" s="3550"/>
      <c r="P22" s="3550"/>
      <c r="Q22" s="3551"/>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2788</v>
      </c>
      <c r="C1" s="3029">
        <f>项目基本情况!D3</f>
        <v>43217</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2819</v>
      </c>
      <c r="C2" s="3030">
        <f>'数据-取费表'!B22</f>
        <v>2.5</v>
      </c>
      <c r="D2" s="3025" t="s">
        <v>2789</v>
      </c>
      <c r="E2" s="3028">
        <f ca="1">INDIRECT("I"&amp;$I$1)/100</f>
        <v>4.7500000000000001E-2</v>
      </c>
      <c r="G2" s="2965"/>
      <c r="H2" s="2965"/>
      <c r="I2" s="2965" t="s">
        <v>2790</v>
      </c>
      <c r="K2" s="2965"/>
      <c r="L2" s="2965"/>
      <c r="M2" s="2965"/>
      <c r="N2" s="2965" t="s">
        <v>2791</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2821</v>
      </c>
      <c r="C3" s="3027">
        <f>'数据-取费表'!B19</f>
        <v>0</v>
      </c>
      <c r="D3" s="3025" t="s">
        <v>2789</v>
      </c>
      <c r="E3" s="3028">
        <f ca="1">INDIRECT("J"&amp;$J$1)/100</f>
        <v>0</v>
      </c>
      <c r="G3" s="2967" t="s">
        <v>2792</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2820</v>
      </c>
      <c r="C4" s="3028">
        <f ca="1">N4/100</f>
        <v>1.4999999999999999E-2</v>
      </c>
      <c r="G4" s="2973" t="s">
        <v>2793</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2794</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2795</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2796</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2797</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2798</v>
      </c>
      <c r="C10" s="2992"/>
      <c r="D10" s="2992"/>
      <c r="E10" s="2992"/>
      <c r="F10" s="2992"/>
      <c r="G10" s="2992"/>
      <c r="H10" s="2992"/>
      <c r="I10" s="2966"/>
      <c r="J10" s="2966"/>
      <c r="K10" s="2992"/>
      <c r="L10" s="2993" t="s">
        <v>2799</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2800</v>
      </c>
      <c r="C11" s="2997" t="s">
        <v>2801</v>
      </c>
      <c r="D11" s="2998" t="s">
        <v>2802</v>
      </c>
      <c r="E11" s="2999"/>
      <c r="F11" s="2998" t="s">
        <v>2803</v>
      </c>
      <c r="G11" s="3000"/>
      <c r="H11" s="2999"/>
      <c r="I11" s="2998" t="s">
        <v>2804</v>
      </c>
      <c r="J11" s="2999"/>
      <c r="K11" s="2995"/>
      <c r="L11" s="2996" t="s">
        <v>2800</v>
      </c>
      <c r="M11" s="2997" t="s">
        <v>2801</v>
      </c>
      <c r="N11" s="2996" t="s">
        <v>2805</v>
      </c>
      <c r="O11" s="2998" t="s">
        <v>2806</v>
      </c>
      <c r="P11" s="3000"/>
      <c r="Q11" s="3000"/>
      <c r="R11" s="3000"/>
      <c r="S11" s="3000"/>
      <c r="T11" s="2999"/>
      <c r="U11" s="2998" t="s">
        <v>2807</v>
      </c>
      <c r="V11" s="3000"/>
      <c r="W11" s="2999"/>
      <c r="X11" s="2996" t="s">
        <v>2808</v>
      </c>
      <c r="Y11" s="2996" t="s">
        <v>2809</v>
      </c>
      <c r="Z11" s="2996" t="s">
        <v>2810</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2811</v>
      </c>
      <c r="E12" s="3005" t="s">
        <v>2812</v>
      </c>
      <c r="F12" s="3005" t="s">
        <v>2813</v>
      </c>
      <c r="G12" s="3005" t="s">
        <v>2814</v>
      </c>
      <c r="H12" s="3005" t="s">
        <v>2796</v>
      </c>
      <c r="I12" s="3006" t="s">
        <v>2815</v>
      </c>
      <c r="J12" s="3006" t="s">
        <v>2815</v>
      </c>
      <c r="K12" s="3002"/>
      <c r="L12" s="3003"/>
      <c r="M12" s="3004"/>
      <c r="N12" s="3003"/>
      <c r="O12" s="3006" t="s">
        <v>2816</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2817</v>
      </c>
      <c r="C13" s="3010">
        <v>42301</v>
      </c>
      <c r="D13" s="3011">
        <v>4.3499999999999996</v>
      </c>
      <c r="E13" s="3011">
        <v>4.3499999999999996</v>
      </c>
      <c r="F13" s="3011">
        <v>4.75</v>
      </c>
      <c r="G13" s="3011">
        <v>4.75</v>
      </c>
      <c r="H13" s="3011">
        <v>4.9000000000000004</v>
      </c>
      <c r="I13" s="3011">
        <v>2.75</v>
      </c>
      <c r="J13" s="3011">
        <v>3.25</v>
      </c>
      <c r="K13" s="3008"/>
      <c r="L13" s="3009" t="s">
        <v>2817</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2818</v>
      </c>
      <c r="Y42" s="3015" t="s">
        <v>2818</v>
      </c>
      <c r="Z42" s="3015" t="s">
        <v>2818</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2818</v>
      </c>
      <c r="Y43" s="3015" t="s">
        <v>2818</v>
      </c>
      <c r="Z43" s="3015" t="s">
        <v>2818</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2818</v>
      </c>
      <c r="Y44" s="3015" t="s">
        <v>2818</v>
      </c>
      <c r="Z44" s="3015" t="s">
        <v>2818</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2818</v>
      </c>
      <c r="Y45" s="3015" t="s">
        <v>2818</v>
      </c>
      <c r="Z45" s="3015" t="s">
        <v>2818</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2818</v>
      </c>
      <c r="Y46" s="3015" t="s">
        <v>2818</v>
      </c>
      <c r="Z46" s="3015" t="s">
        <v>2818</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2818</v>
      </c>
      <c r="Y47" s="3015" t="s">
        <v>2818</v>
      </c>
      <c r="Z47" s="3015" t="s">
        <v>2818</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2818</v>
      </c>
      <c r="Y48" s="3015" t="s">
        <v>2818</v>
      </c>
      <c r="Z48" s="3015" t="s">
        <v>2818</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2818</v>
      </c>
      <c r="Y49" s="3015" t="s">
        <v>2818</v>
      </c>
      <c r="Z49" s="3015" t="s">
        <v>2818</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2818</v>
      </c>
      <c r="Y50" s="3015" t="s">
        <v>2818</v>
      </c>
      <c r="Z50" s="3015" t="s">
        <v>2818</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2818</v>
      </c>
      <c r="V51" s="3015" t="s">
        <v>2818</v>
      </c>
      <c r="W51" s="3015" t="s">
        <v>2818</v>
      </c>
      <c r="X51" s="3015" t="s">
        <v>2818</v>
      </c>
      <c r="Y51" s="3015" t="s">
        <v>2818</v>
      </c>
      <c r="Z51" s="3015" t="s">
        <v>2818</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2818</v>
      </c>
      <c r="J55" s="3015" t="s">
        <v>2818</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1" sqref="E1"/>
    </sheetView>
  </sheetViews>
  <sheetFormatPr defaultRowHeight="13.5"/>
  <sheetData>
    <row r="1" spans="1:4">
      <c r="A1" s="3193" t="s">
        <v>3052</v>
      </c>
    </row>
    <row r="2" spans="1:4" ht="14.25" thickBot="1">
      <c r="A2" s="3194" t="s">
        <v>3053</v>
      </c>
      <c r="B2" s="3195" t="s">
        <v>3054</v>
      </c>
      <c r="C2" s="3195" t="s">
        <v>3055</v>
      </c>
      <c r="D2" s="3195" t="s">
        <v>3056</v>
      </c>
    </row>
    <row r="3" spans="1:4">
      <c r="A3" s="3196">
        <v>2017.1</v>
      </c>
      <c r="B3" s="3198">
        <v>7080</v>
      </c>
      <c r="C3" s="3198">
        <v>0.73</v>
      </c>
      <c r="D3" s="3197"/>
    </row>
    <row r="4" spans="1:4">
      <c r="A4" s="3199">
        <v>2017.2</v>
      </c>
      <c r="B4" s="3201">
        <v>7218</v>
      </c>
      <c r="C4" s="3201">
        <v>1.95</v>
      </c>
      <c r="D4" s="3200"/>
    </row>
    <row r="5" spans="1:4">
      <c r="A5" s="3196">
        <v>2017.3</v>
      </c>
      <c r="B5" s="3198">
        <v>7370</v>
      </c>
      <c r="C5" s="3198">
        <v>2.11</v>
      </c>
      <c r="D5" s="3197"/>
    </row>
    <row r="6" spans="1:4">
      <c r="A6" s="3199">
        <v>2017.4</v>
      </c>
      <c r="B6" s="3201">
        <v>7514</v>
      </c>
      <c r="C6" s="3201">
        <v>1.95</v>
      </c>
      <c r="D6" s="3200"/>
    </row>
    <row r="7" spans="1:4" ht="14.25">
      <c r="A7" s="3202">
        <v>2018.1</v>
      </c>
      <c r="B7" s="3203">
        <v>7626</v>
      </c>
      <c r="C7" s="3203">
        <v>1.49</v>
      </c>
    </row>
    <row r="8" spans="1:4">
      <c r="C8">
        <f>AVERAGE(C3:C7)</f>
        <v>1.6459999999999997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2039</v>
      </c>
      <c r="B1" s="3253"/>
      <c r="C1" s="3253"/>
      <c r="D1" s="3253"/>
      <c r="E1" s="3253"/>
      <c r="F1" s="3253"/>
      <c r="G1" s="3253"/>
      <c r="H1" s="3253"/>
      <c r="I1" s="3253"/>
      <c r="J1" s="3253"/>
      <c r="K1" s="3253"/>
      <c r="L1" s="3253"/>
      <c r="M1" s="3253"/>
      <c r="N1" s="3253"/>
      <c r="O1" s="3253"/>
      <c r="P1" s="3253"/>
      <c r="Q1" s="3253"/>
      <c r="R1" s="3253"/>
    </row>
    <row r="2" spans="1:18">
      <c r="A2" s="1808" t="s">
        <v>2041</v>
      </c>
      <c r="B2" s="1808"/>
      <c r="C2" s="1808"/>
      <c r="D2" s="1808"/>
      <c r="E2" s="1808"/>
      <c r="F2" s="1808"/>
      <c r="G2" s="1808"/>
      <c r="H2" s="1808"/>
      <c r="I2" s="1809"/>
      <c r="J2" s="1809"/>
      <c r="K2" s="1810" t="str">
        <f>"估价期日："&amp;TEXT(项目基本情况!D3,"yyyy年m月d日;;")</f>
        <v>估价期日：2018年4月27日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54" t="s">
        <v>2030</v>
      </c>
      <c r="B3" s="3254" t="s">
        <v>2731</v>
      </c>
      <c r="C3" s="3255" t="s">
        <v>2031</v>
      </c>
      <c r="D3" s="3254" t="s">
        <v>2735</v>
      </c>
      <c r="E3" s="3257" t="s">
        <v>2032</v>
      </c>
      <c r="F3" s="3257"/>
      <c r="G3" s="3257"/>
      <c r="H3" s="3257" t="s">
        <v>2033</v>
      </c>
      <c r="I3" s="3257"/>
      <c r="J3" s="3257"/>
      <c r="K3" s="3255" t="s">
        <v>2034</v>
      </c>
      <c r="L3" s="3255" t="s">
        <v>2035</v>
      </c>
      <c r="M3" s="3254" t="s">
        <v>2732</v>
      </c>
      <c r="N3" s="3256" t="str">
        <f>"（分摊）"&amp;项目基本情况!B16&amp;"国有建设用地使用权面积/㎡"</f>
        <v>（分摊）出让国有建设用地使用权面积/㎡</v>
      </c>
      <c r="O3" s="3254" t="s">
        <v>2064</v>
      </c>
      <c r="P3" s="3255" t="s">
        <v>2044</v>
      </c>
      <c r="Q3" s="3255" t="s">
        <v>2065</v>
      </c>
      <c r="R3" s="3255" t="s">
        <v>2036</v>
      </c>
    </row>
    <row r="4" spans="1:18" ht="36.75" customHeight="1">
      <c r="A4" s="3254"/>
      <c r="B4" s="3254"/>
      <c r="C4" s="3255"/>
      <c r="D4" s="3254"/>
      <c r="E4" s="2674" t="s">
        <v>2043</v>
      </c>
      <c r="F4" s="2674" t="s">
        <v>2744</v>
      </c>
      <c r="G4" s="2674" t="s">
        <v>2037</v>
      </c>
      <c r="H4" s="2674" t="s">
        <v>2038</v>
      </c>
      <c r="I4" s="2674" t="s">
        <v>2745</v>
      </c>
      <c r="J4" s="2674" t="s">
        <v>2037</v>
      </c>
      <c r="K4" s="3255"/>
      <c r="L4" s="3255"/>
      <c r="M4" s="3254"/>
      <c r="N4" s="3256"/>
      <c r="O4" s="3254"/>
      <c r="P4" s="3255"/>
      <c r="Q4" s="3255"/>
      <c r="R4" s="3255"/>
    </row>
    <row r="5" spans="1:18" ht="135" customHeight="1">
      <c r="A5" s="1944" t="s">
        <v>2655</v>
      </c>
      <c r="B5" s="2892" t="s">
        <v>2653</v>
      </c>
      <c r="C5" s="2673">
        <v>22</v>
      </c>
      <c r="D5" s="2672" t="s">
        <v>2654</v>
      </c>
      <c r="E5" s="1811" t="str">
        <f>项目基本情况!B12</f>
        <v>城镇住宅用地、科教用地</v>
      </c>
      <c r="F5" s="2672">
        <v>258</v>
      </c>
      <c r="G5" s="1811" t="str">
        <f>项目基本情况!B13</f>
        <v>城镇住宅用地、科教用地</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住宅67.61年、商业37.59年、地下车库47.6年</v>
      </c>
      <c r="N5" s="1811">
        <f>项目基本情况!C22</f>
        <v>117974.91</v>
      </c>
      <c r="O5" s="1811">
        <f>项目基本情况!C21</f>
        <v>273671.8</v>
      </c>
      <c r="P5" s="1811">
        <f ca="1">结果表!E42</f>
        <v>11949</v>
      </c>
      <c r="Q5" s="1811">
        <f ca="1">结果表!D42</f>
        <v>5151</v>
      </c>
      <c r="R5" s="1812">
        <f ca="1">结果表!C42</f>
        <v>140971</v>
      </c>
    </row>
    <row r="6" spans="1:18">
      <c r="A6" s="3258" t="str">
        <f>IF(项目基本情况!B9="市场价格","——","抵押价格")</f>
        <v>抵押价格</v>
      </c>
      <c r="B6" s="3259"/>
      <c r="C6" s="3259"/>
      <c r="D6" s="3259"/>
      <c r="E6" s="3259"/>
      <c r="F6" s="3259"/>
      <c r="G6" s="3259"/>
      <c r="H6" s="3259"/>
      <c r="I6" s="3259"/>
      <c r="J6" s="3259"/>
      <c r="K6" s="3259"/>
      <c r="L6" s="3259"/>
      <c r="M6" s="3259"/>
      <c r="N6" s="3259"/>
      <c r="O6" s="3259"/>
      <c r="P6" s="3259"/>
      <c r="Q6" s="3260"/>
      <c r="R6" s="1813">
        <f ca="1">结果表!O39</f>
        <v>140971</v>
      </c>
    </row>
    <row r="7" spans="1:18">
      <c r="A7" s="3258" t="str">
        <f>IF(项目基本情况!B9="市场价格","——",IF(项目基本情况!E8="已注销及未注销","抵押担保权已注销时的抵押价格","——"))</f>
        <v>——</v>
      </c>
      <c r="B7" s="3259"/>
      <c r="C7" s="3259"/>
      <c r="D7" s="3259"/>
      <c r="E7" s="3259"/>
      <c r="F7" s="3259"/>
      <c r="G7" s="3259"/>
      <c r="H7" s="3259"/>
      <c r="I7" s="3259"/>
      <c r="J7" s="3259"/>
      <c r="K7" s="3259"/>
      <c r="L7" s="3259"/>
      <c r="M7" s="3259"/>
      <c r="N7" s="3259"/>
      <c r="O7" s="3259"/>
      <c r="P7" s="3259"/>
      <c r="Q7" s="3260"/>
      <c r="R7" s="1813" t="str">
        <f>结果表!O40</f>
        <v>——</v>
      </c>
    </row>
    <row r="8" spans="1:18">
      <c r="A8" s="3258">
        <f>IF(项目基本情况!B9="市场价格","——",项目基本情况!E9)</f>
        <v>0</v>
      </c>
      <c r="B8" s="3259"/>
      <c r="C8" s="3259"/>
      <c r="D8" s="3259"/>
      <c r="E8" s="3259"/>
      <c r="F8" s="3259"/>
      <c r="G8" s="3259"/>
      <c r="H8" s="3259"/>
      <c r="I8" s="3259"/>
      <c r="J8" s="3259"/>
      <c r="K8" s="3259"/>
      <c r="L8" s="3259"/>
      <c r="M8" s="3259"/>
      <c r="N8" s="3259"/>
      <c r="O8" s="3259"/>
      <c r="P8" s="3259"/>
      <c r="Q8" s="3260"/>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2" t="s">
        <v>2066</v>
      </c>
      <c r="B1" s="3262"/>
      <c r="C1" s="3262"/>
      <c r="D1" s="3262"/>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2"/>
      <c r="C3" s="3262"/>
      <c r="D3" s="3262"/>
    </row>
    <row r="4" spans="1:4" ht="36.75" customHeight="1">
      <c r="A4" s="3262" t="str">
        <f>"3.估价规划限制条件：详见"&amp;项目基本情况!E21&amp;"。"</f>
        <v>3.估价规划限制条件：详见《国有建设用地使用权出让合同》[合同编号：鄂WH（DHK）-2015-00048]及附件、《经济技术指标》。</v>
      </c>
      <c r="B4" s="3262"/>
      <c r="C4" s="3262"/>
      <c r="D4" s="3262"/>
    </row>
    <row r="5" spans="1:4">
      <c r="A5" s="3261" t="s">
        <v>2067</v>
      </c>
      <c r="B5" s="3261"/>
      <c r="C5" s="3261"/>
      <c r="D5" s="3261"/>
    </row>
    <row r="6" spans="1:4">
      <c r="A6" s="3262" t="s">
        <v>2045</v>
      </c>
      <c r="B6" s="3262"/>
      <c r="C6" s="3262"/>
      <c r="D6" s="3262"/>
    </row>
    <row r="7" spans="1:4" ht="33" customHeight="1">
      <c r="A7" s="3262" t="s">
        <v>2575</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2"/>
      <c r="C8" s="3262"/>
      <c r="D8" s="3262"/>
    </row>
    <row r="9" spans="1:4" ht="33.75" customHeight="1">
      <c r="A9" s="32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2"/>
      <c r="C9" s="3262"/>
      <c r="D9" s="3262"/>
    </row>
    <row r="10" spans="1:4">
      <c r="A10" s="3262" t="str">
        <f>IF(项目基本情况!B8="抵押","4.估价师所知悉的法定优先受偿款情况为：","——")</f>
        <v>4.估价师所知悉的法定优先受偿款情况为：</v>
      </c>
      <c r="B10" s="3262"/>
      <c r="C10" s="3262"/>
      <c r="D10" s="3262"/>
    </row>
    <row r="11" spans="1:4" ht="37.5" customHeight="1">
      <c r="A11" s="3264" t="str">
        <f>IF(项目基本情况!B8="抵押","（1）"&amp;CONCATENATE(项目基本情况!L24,项目基本情况!L25,项目基本情况!L26),"——")</f>
        <v>（1）根据估价对象《不动产权证书》原件、《国有土地使用权》复印件，截至估价期日，估价对象抵押权未见登记。</v>
      </c>
      <c r="B11" s="3264"/>
      <c r="C11" s="3264"/>
      <c r="D11" s="3264"/>
    </row>
    <row r="12" spans="1:4" ht="168" customHeight="1">
      <c r="A12" s="3261" t="s">
        <v>2069</v>
      </c>
      <c r="B12" s="3261"/>
      <c r="C12" s="3261"/>
      <c r="D12" s="3261"/>
    </row>
    <row r="13" spans="1:4">
      <c r="A13" s="3265" t="s">
        <v>2746</v>
      </c>
      <c r="B13" s="3265"/>
      <c r="C13" s="3265"/>
      <c r="D13" s="3265"/>
    </row>
    <row r="14" spans="1:4">
      <c r="A14" s="3264" t="str">
        <f>IF(项目基本情况!B8="抵押","综上，"&amp;结果表!K47,"——")</f>
        <v>综上，本次评估不存在估价师知悉的法定优先受偿款</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2702</v>
      </c>
      <c r="B17" s="3262"/>
      <c r="C17" s="3262"/>
      <c r="D17" s="3262"/>
    </row>
    <row r="18" spans="1:4">
      <c r="A18" s="3262" t="s">
        <v>2694</v>
      </c>
      <c r="B18" s="3262"/>
      <c r="C18" s="3262"/>
      <c r="D18" s="3262"/>
    </row>
    <row r="19" spans="1:4">
      <c r="A19" s="2893" t="s">
        <v>2695</v>
      </c>
      <c r="B19" s="2893" t="s">
        <v>2696</v>
      </c>
      <c r="C19" s="2893" t="s">
        <v>2697</v>
      </c>
      <c r="D19" s="2893" t="s">
        <v>2698</v>
      </c>
    </row>
    <row r="20" spans="1:4">
      <c r="A20" s="2893" t="str">
        <f>项目基本情况!B4</f>
        <v>王鹏</v>
      </c>
      <c r="B20" s="2893">
        <f ca="1">项目基本情况!C4</f>
        <v>2002110030</v>
      </c>
      <c r="C20" s="2895"/>
      <c r="D20" s="1801" t="s">
        <v>2703</v>
      </c>
    </row>
    <row r="21" spans="1:4">
      <c r="A21" s="2893" t="str">
        <f>项目基本情况!D4</f>
        <v>郑燚</v>
      </c>
      <c r="B21" s="2893">
        <f>项目基本情况!E4</f>
        <v>2014110011</v>
      </c>
      <c r="C21" s="2895"/>
      <c r="D21" s="1801" t="s">
        <v>2704</v>
      </c>
    </row>
    <row r="23" spans="1:4">
      <c r="A23" s="3262" t="s">
        <v>2699</v>
      </c>
      <c r="B23" s="3262"/>
      <c r="C23" s="3262"/>
      <c r="D23" s="3262"/>
    </row>
    <row r="24" spans="1:4">
      <c r="A24" s="2893" t="s">
        <v>2695</v>
      </c>
      <c r="B24" s="2893" t="s">
        <v>2700</v>
      </c>
      <c r="C24" s="2893" t="s">
        <v>2697</v>
      </c>
      <c r="D24" s="2893" t="s">
        <v>2698</v>
      </c>
    </row>
    <row r="25" spans="1:4">
      <c r="A25" s="2896" t="s">
        <v>2701</v>
      </c>
      <c r="B25" s="2893" t="s">
        <v>951</v>
      </c>
      <c r="C25" s="2895"/>
      <c r="D25" s="1801" t="s">
        <v>2704</v>
      </c>
    </row>
    <row r="29" spans="1:4">
      <c r="D29" s="2894" t="s">
        <v>2040</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73" t="s">
        <v>53</v>
      </c>
      <c r="B15" s="3274" t="s">
        <v>845</v>
      </c>
      <c r="C15" s="3270"/>
    </row>
    <row r="16" spans="1:7" ht="14.25">
      <c r="A16" s="3273"/>
      <c r="B16" s="3271" t="s">
        <v>54</v>
      </c>
      <c r="C16" s="1171" t="s">
        <v>53</v>
      </c>
    </row>
    <row r="17" spans="1:3" ht="14.25">
      <c r="A17" s="3273"/>
      <c r="B17" s="3271"/>
      <c r="C17" s="1171" t="s">
        <v>55</v>
      </c>
    </row>
    <row r="18" spans="1:3" ht="14.25">
      <c r="A18" s="3273"/>
      <c r="B18" s="3271"/>
      <c r="C18" s="1171" t="s">
        <v>56</v>
      </c>
    </row>
    <row r="19" spans="1:3" ht="14.25">
      <c r="A19" s="3273"/>
      <c r="B19" s="3269" t="s">
        <v>57</v>
      </c>
      <c r="C19" s="3270"/>
    </row>
    <row r="20" spans="1:3" ht="14.25">
      <c r="A20" s="1172" t="s">
        <v>58</v>
      </c>
      <c r="B20" s="1173"/>
      <c r="C20" s="1174"/>
    </row>
    <row r="21" spans="1:3" ht="14.25">
      <c r="A21" s="3272" t="s">
        <v>59</v>
      </c>
      <c r="B21" s="3269" t="s">
        <v>60</v>
      </c>
      <c r="C21" s="3270"/>
    </row>
    <row r="22" spans="1:3" ht="14.25">
      <c r="A22" s="3272"/>
      <c r="B22" s="3269" t="s">
        <v>61</v>
      </c>
      <c r="C22" s="3270"/>
    </row>
    <row r="23" spans="1:3" ht="14.25">
      <c r="A23" s="3272"/>
      <c r="B23" s="3269" t="s">
        <v>62</v>
      </c>
      <c r="C23" s="3270"/>
    </row>
    <row r="24" spans="1:3" ht="14.25">
      <c r="A24" s="3272"/>
      <c r="B24" s="3275" t="s">
        <v>63</v>
      </c>
      <c r="C24" s="1175" t="s">
        <v>836</v>
      </c>
    </row>
    <row r="25" spans="1:3" ht="14.25">
      <c r="A25" s="3272"/>
      <c r="B25" s="3276"/>
      <c r="C25" s="1175" t="s">
        <v>837</v>
      </c>
    </row>
    <row r="26" spans="1:3" ht="14.25">
      <c r="A26" s="3272"/>
      <c r="B26" s="3276"/>
      <c r="C26" s="1175" t="s">
        <v>838</v>
      </c>
    </row>
    <row r="27" spans="1:3" ht="14.25">
      <c r="A27" s="3272"/>
      <c r="B27" s="3276"/>
      <c r="C27" s="1175" t="s">
        <v>839</v>
      </c>
    </row>
    <row r="28" spans="1:3" ht="14.25">
      <c r="A28" s="3272"/>
      <c r="B28" s="3276"/>
      <c r="C28" s="1175" t="s">
        <v>840</v>
      </c>
    </row>
    <row r="29" spans="1:3" ht="14.25">
      <c r="A29" s="3272"/>
      <c r="B29" s="3276"/>
      <c r="C29" s="1175" t="s">
        <v>841</v>
      </c>
    </row>
    <row r="30" spans="1:3" ht="14.25">
      <c r="A30" s="3272"/>
      <c r="B30" s="3276"/>
      <c r="C30" s="1175" t="s">
        <v>842</v>
      </c>
    </row>
    <row r="31" spans="1:3" ht="14.25">
      <c r="A31" s="3272"/>
      <c r="B31" s="3276"/>
      <c r="C31" s="1175" t="s">
        <v>843</v>
      </c>
    </row>
    <row r="32" spans="1:3" ht="14.25">
      <c r="A32" s="3272"/>
      <c r="B32" s="3276"/>
      <c r="C32" s="1175" t="s">
        <v>1646</v>
      </c>
    </row>
    <row r="33" spans="1:3" ht="14.25">
      <c r="A33" s="3272"/>
      <c r="B33" s="3266" t="s">
        <v>1652</v>
      </c>
      <c r="C33" s="1175" t="s">
        <v>1647</v>
      </c>
    </row>
    <row r="34" spans="1:3" ht="14.25">
      <c r="A34" s="3272"/>
      <c r="B34" s="3267"/>
      <c r="C34" s="1180" t="s">
        <v>1648</v>
      </c>
    </row>
    <row r="35" spans="1:3" ht="14.25">
      <c r="A35" s="3272"/>
      <c r="B35" s="3267"/>
      <c r="C35" s="1181" t="s">
        <v>1649</v>
      </c>
    </row>
    <row r="36" spans="1:3" ht="14.25">
      <c r="A36" s="3272"/>
      <c r="B36" s="3267"/>
      <c r="C36" s="1181" t="s">
        <v>1650</v>
      </c>
    </row>
    <row r="37" spans="1:3" ht="14.25">
      <c r="A37" s="3272"/>
      <c r="B37" s="326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43238</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2574</v>
      </c>
      <c r="B15" s="2344">
        <v>1120070085</v>
      </c>
      <c r="C15" s="3031">
        <v>43814</v>
      </c>
      <c r="D15" s="2344" t="s">
        <v>2574</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2054</v>
      </c>
      <c r="B24" s="2346" t="s">
        <v>2054</v>
      </c>
      <c r="C24" s="3031"/>
      <c r="D24" s="3033" t="s">
        <v>2054</v>
      </c>
      <c r="E24" s="2346" t="s">
        <v>2054</v>
      </c>
      <c r="F24" s="2347"/>
    </row>
    <row r="25" spans="1:7" ht="20.25" customHeight="1">
      <c r="A25" s="3277" t="s">
        <v>1928</v>
      </c>
      <c r="B25" s="3277"/>
      <c r="C25" s="3277"/>
      <c r="D25" s="3277"/>
      <c r="E25" s="3277"/>
      <c r="F25" s="3277"/>
      <c r="G25" s="3277"/>
    </row>
    <row r="26" spans="1:7" ht="20.25" customHeight="1">
      <c r="A26" s="3278" t="s">
        <v>1929</v>
      </c>
      <c r="B26" s="3278"/>
      <c r="C26" s="3278"/>
      <c r="D26" s="3278" t="s">
        <v>1930</v>
      </c>
      <c r="E26" s="3278"/>
      <c r="F26" s="3278"/>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B39" sqref="B39:B4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2545</v>
      </c>
      <c r="R1" s="2607" t="s">
        <v>2539</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42" t="s">
        <v>2945</v>
      </c>
      <c r="C18" s="1554"/>
    </row>
    <row r="19" spans="1:3">
      <c r="A19" s="8" t="s">
        <v>120</v>
      </c>
      <c r="B19" s="3142" t="s">
        <v>2953</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79"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c r="D53" s="1768"/>
      <c r="E53" s="1768"/>
    </row>
    <row r="54" spans="1:5">
      <c r="A54" s="3279"/>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79"/>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79"/>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79"/>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159</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二、经济预测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中高层比较法</vt:lpstr>
      <vt:lpstr>叠拼比较法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二、经济预测!Print_Area</vt:lpstr>
      <vt:lpstr>二、经济预测!Print_Titles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叠拼比较法!住宅朝向</vt:lpstr>
      <vt:lpstr>中高层比较法!住宅朝向</vt:lpstr>
      <vt:lpstr>住宅朝向</vt:lpstr>
      <vt:lpstr>叠拼比较法!住宅房型</vt:lpstr>
      <vt:lpstr>中高层比较法!住宅房型</vt:lpstr>
      <vt:lpstr>住宅房型</vt:lpstr>
      <vt:lpstr>叠拼比较法!住宅公共部分装修</vt:lpstr>
      <vt:lpstr>中高层比较法!住宅公共部分装修</vt:lpstr>
      <vt:lpstr>住宅公共部分装修</vt:lpstr>
      <vt:lpstr>叠拼比较法!住宅基础设施水平</vt:lpstr>
      <vt:lpstr>中高层比较法!住宅基础设施水平</vt:lpstr>
      <vt:lpstr>住宅基础设施水平</vt:lpstr>
      <vt:lpstr>叠拼比较法!住宅建筑结构</vt:lpstr>
      <vt:lpstr>中高层比较法!住宅建筑结构</vt:lpstr>
      <vt:lpstr>住宅建筑结构</vt:lpstr>
      <vt:lpstr>叠拼比较法!住宅建筑类型</vt:lpstr>
      <vt:lpstr>中高层比较法!住宅建筑类型</vt:lpstr>
      <vt:lpstr>住宅建筑类型</vt:lpstr>
      <vt:lpstr>叠拼比较法!住宅建筑品质</vt:lpstr>
      <vt:lpstr>中高层比较法!住宅建筑品质</vt:lpstr>
      <vt:lpstr>住宅建筑品质</vt:lpstr>
      <vt:lpstr>叠拼比较法!住宅交易情况</vt:lpstr>
      <vt:lpstr>中高层比较法!住宅交易情况</vt:lpstr>
      <vt:lpstr>住宅交易情况</vt:lpstr>
      <vt:lpstr>叠拼比较法!住宅楼层</vt:lpstr>
      <vt:lpstr>中高层比较法!住宅楼层</vt:lpstr>
      <vt:lpstr>住宅楼层</vt:lpstr>
      <vt:lpstr>叠拼比较法!住宅内部装修</vt:lpstr>
      <vt:lpstr>中高层比较法!住宅内部装修</vt:lpstr>
      <vt:lpstr>住宅内部装修</vt:lpstr>
      <vt:lpstr>叠拼比较法!住宅物业管理</vt:lpstr>
      <vt:lpstr>中高层比较法!住宅物业管理</vt:lpstr>
      <vt:lpstr>住宅物业管理</vt:lpstr>
      <vt:lpstr>叠拼比较法!住宅用途</vt:lpstr>
      <vt:lpstr>中高层比较法!住宅用途</vt:lpstr>
      <vt:lpstr>住宅用途</vt:lpstr>
      <vt:lpstr>叠拼比较法!住宅主力户型面积</vt:lpstr>
      <vt:lpstr>中高层比较法!住宅主力户型面积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2018-05-18T07:02:41Z</dcterms:modified>
</cp:coreProperties>
</file>