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r:id="rId16"/>
    <sheet name="结果表一" sheetId="68" r:id="rId17"/>
    <sheet name="剩余法-待开发住宅" sheetId="12" state="hidden"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仓储" sheetId="76" r:id="rId29"/>
    <sheet name="不动产收益法" sheetId="15" r:id="rId30"/>
    <sheet name="酒店收入计算" sheetId="57" state="hidden" r:id="rId31"/>
    <sheet name="成本逼近法" sheetId="11" state="hidden" r:id="rId32"/>
    <sheet name="剩余法-待开发商业" sheetId="72" state="hidden" r:id="rId33"/>
    <sheet name="不动产比较法-住宅" sheetId="21" r:id="rId34"/>
    <sheet name="不动产比较法-商业" sheetId="33" state="hidden" r:id="rId35"/>
    <sheet name="基准地价-55住宅" sheetId="46" r:id="rId36"/>
    <sheet name="基准地价-商业" sheetId="7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估价对象房地状况" sheetId="20" r:id="rId44"/>
    <sheet name="住宅案例" sheetId="69" r:id="rId45"/>
    <sheet name="商业案例" sheetId="74" r:id="rId46"/>
    <sheet name="新旧规划结果表" sheetId="75" state="hidden" r:id="rId47"/>
    <sheet name="Sheet2" sheetId="77" r:id="rId48"/>
  </sheets>
  <externalReferences>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不动产收益法!$A$1:$F$43</definedName>
    <definedName name="_xlnm.Print_Area" localSheetId="16">结果表一!$A$1:$K$10</definedName>
    <definedName name="_xlnm.Print_Area" localSheetId="28">'剩余法-待开发仓储'!$B$1:$K$36</definedName>
    <definedName name="_xlnm.Print_Area" localSheetId="32">'剩余法-待开发商业'!$A$1:$K$36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'基准地价-商业'!$N$19:$AG$19</definedName>
    <definedName name="季度">'基准地价-55住宅'!$N$19:$AG$19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4" i="65"/>
  <c r="E20" i="46"/>
  <c r="O17"/>
  <c r="G20"/>
  <c r="E41"/>
  <c r="C41"/>
  <c r="C38"/>
  <c r="C14" i="68"/>
  <c r="J14"/>
  <c r="F6" i="15"/>
  <c r="F8"/>
  <c r="F7"/>
  <c r="F9"/>
  <c r="C6"/>
  <c r="N4" i="65"/>
  <c r="C4"/>
  <c r="B39" i="1"/>
  <c r="F11" i="15"/>
  <c r="C10"/>
  <c r="C5"/>
  <c r="C32"/>
  <c r="C33"/>
  <c r="F35"/>
  <c r="C34"/>
  <c r="C31"/>
  <c r="C14"/>
  <c r="C15"/>
  <c r="F16"/>
  <c r="C16"/>
  <c r="F43"/>
  <c r="C17"/>
  <c r="C18"/>
  <c r="C19"/>
  <c r="C20"/>
  <c r="I5" i="65"/>
  <c r="E2"/>
  <c r="B40" i="1"/>
  <c r="F24" i="15"/>
  <c r="C23"/>
  <c r="F26"/>
  <c r="C26"/>
  <c r="C24"/>
  <c r="C27"/>
  <c r="C29"/>
  <c r="F36"/>
  <c r="C36"/>
  <c r="F13"/>
  <c r="C13"/>
  <c r="F37"/>
  <c r="C37"/>
  <c r="F38"/>
  <c r="C38"/>
  <c r="C30"/>
  <c r="C39"/>
  <c r="F42"/>
  <c r="F40"/>
  <c r="F41"/>
  <c r="C40"/>
  <c r="C10" i="76"/>
  <c r="C6"/>
  <c r="C13"/>
  <c r="C14"/>
  <c r="C15"/>
  <c r="D16"/>
  <c r="C16"/>
  <c r="C17"/>
  <c r="C18"/>
  <c r="D19"/>
  <c r="C19"/>
  <c r="D21"/>
  <c r="C21"/>
  <c r="D22"/>
  <c r="C22"/>
  <c r="C20"/>
  <c r="C23"/>
  <c r="C24"/>
  <c r="F26"/>
  <c r="C28"/>
  <c r="C26"/>
  <c r="C29"/>
  <c r="C31"/>
  <c r="C30"/>
  <c r="F33"/>
  <c r="C35"/>
  <c r="C33"/>
  <c r="C27"/>
  <c r="D26"/>
  <c r="C32"/>
  <c r="D30"/>
  <c r="C34"/>
  <c r="D33"/>
  <c r="C36"/>
  <c r="B2"/>
  <c r="B3"/>
  <c r="C15" i="68"/>
  <c r="J15"/>
  <c r="D15"/>
  <c r="E14"/>
  <c r="G14"/>
  <c r="K15"/>
  <c r="C20" i="46"/>
  <c r="C29"/>
  <c r="C12" i="68"/>
  <c r="B24"/>
  <c r="C16"/>
  <c r="J16"/>
  <c r="C13" i="12"/>
  <c r="C14"/>
  <c r="C15"/>
  <c r="D16"/>
  <c r="C16"/>
  <c r="C17"/>
  <c r="C18"/>
  <c r="D19"/>
  <c r="C19"/>
  <c r="D21"/>
  <c r="C21"/>
  <c r="D22"/>
  <c r="C22"/>
  <c r="C20"/>
  <c r="C23"/>
  <c r="F26"/>
  <c r="C28"/>
  <c r="C26"/>
  <c r="C31"/>
  <c r="C30"/>
  <c r="F33"/>
  <c r="C35"/>
  <c r="C33"/>
  <c r="C27"/>
  <c r="D26"/>
  <c r="C32"/>
  <c r="D30"/>
  <c r="C34"/>
  <c r="D33"/>
  <c r="C36"/>
  <c r="B2"/>
  <c r="B3"/>
  <c r="C13" i="68"/>
  <c r="C17"/>
  <c r="J17"/>
  <c r="J18"/>
  <c r="C19"/>
  <c r="J19"/>
  <c r="E20" i="73"/>
  <c r="M17"/>
  <c r="G20"/>
  <c r="C20"/>
  <c r="C29"/>
  <c r="C20" i="68"/>
  <c r="J20"/>
  <c r="C13" i="72"/>
  <c r="C14"/>
  <c r="C15"/>
  <c r="D16"/>
  <c r="C16"/>
  <c r="C17"/>
  <c r="C18"/>
  <c r="D19"/>
  <c r="C19"/>
  <c r="D21"/>
  <c r="C21"/>
  <c r="D22"/>
  <c r="C22"/>
  <c r="C20"/>
  <c r="C23"/>
  <c r="F26"/>
  <c r="C28"/>
  <c r="C26"/>
  <c r="C31"/>
  <c r="C30"/>
  <c r="F33"/>
  <c r="C35"/>
  <c r="C33"/>
  <c r="C27"/>
  <c r="D26"/>
  <c r="C32"/>
  <c r="D30"/>
  <c r="C34"/>
  <c r="D33"/>
  <c r="C36"/>
  <c r="B2"/>
  <c r="B3"/>
  <c r="C21" i="68"/>
  <c r="J21"/>
  <c r="D13"/>
  <c r="E12"/>
  <c r="G12"/>
  <c r="M8" i="1"/>
  <c r="O8"/>
  <c r="P8"/>
  <c r="B24"/>
  <c r="A6"/>
  <c r="A7"/>
  <c r="A8"/>
  <c r="K1" i="76"/>
  <c r="E21"/>
  <c r="G21" i="6"/>
  <c r="E21"/>
  <c r="K8" i="1"/>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
  <c r="G28" i="6"/>
  <c r="E28"/>
  <c r="I13" i="3"/>
  <c r="F19" i="6"/>
  <c r="E19"/>
  <c r="K14" i="3"/>
  <c r="F20" i="6"/>
  <c r="E20"/>
  <c r="G22"/>
  <c r="E22"/>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A5"/>
  <c r="E27" i="6"/>
  <c r="K21"/>
  <c r="S8" i="1"/>
  <c r="E22" i="76"/>
  <c r="G1" i="15"/>
  <c r="AH8" i="1"/>
  <c r="C1" i="65"/>
  <c r="N1"/>
  <c r="B43" i="1"/>
  <c r="B41"/>
  <c r="F32" i="15"/>
  <c r="T4" i="1"/>
  <c r="K14"/>
  <c r="M14"/>
  <c r="K19" i="6"/>
  <c r="S6" i="1"/>
  <c r="K20" i="6"/>
  <c r="S7" i="1"/>
  <c r="A9"/>
  <c r="K22" i="6"/>
  <c r="S9" i="1"/>
  <c r="A10"/>
  <c r="S10"/>
  <c r="A11"/>
  <c r="S11"/>
  <c r="A12"/>
  <c r="S12"/>
  <c r="A13"/>
  <c r="S13"/>
  <c r="S16"/>
  <c r="T8"/>
  <c r="F15" i="15"/>
  <c r="F17"/>
  <c r="F18"/>
  <c r="F20"/>
  <c r="H1" i="65"/>
  <c r="B22" i="1"/>
  <c r="C2" i="65"/>
  <c r="I1"/>
  <c r="F23" i="15"/>
  <c r="F21"/>
  <c r="F28"/>
  <c r="B2" i="1"/>
  <c r="C42"/>
  <c r="C28" i="15"/>
  <c r="F33"/>
  <c r="BM13" i="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B3"/>
  <c r="AY6"/>
  <c r="D3" i="6"/>
  <c r="E3"/>
  <c r="D21"/>
  <c r="L21"/>
  <c r="M21"/>
  <c r="I21"/>
  <c r="H21"/>
  <c r="R21"/>
  <c r="R8" i="1"/>
  <c r="B52"/>
  <c r="F34" i="15"/>
  <c r="H19" i="4"/>
  <c r="G41" i="46"/>
  <c r="G2"/>
  <c r="I2"/>
  <c r="M6"/>
  <c r="C6"/>
  <c r="G17"/>
  <c r="H17"/>
  <c r="I17"/>
  <c r="J17"/>
  <c r="C17"/>
  <c r="C16"/>
  <c r="D5"/>
  <c r="G19"/>
  <c r="N5" i="59"/>
  <c r="N6"/>
  <c r="N7"/>
  <c r="N8"/>
  <c r="N9"/>
  <c r="N10"/>
  <c r="N11"/>
  <c r="N12"/>
  <c r="N13"/>
  <c r="N14"/>
  <c r="N15"/>
  <c r="N16"/>
  <c r="N17"/>
  <c r="N18"/>
  <c r="N19"/>
  <c r="N20"/>
  <c r="N21"/>
  <c r="N22"/>
  <c r="N23"/>
  <c r="N24"/>
  <c r="X3"/>
  <c r="O5"/>
  <c r="O6"/>
  <c r="O7"/>
  <c r="O8"/>
  <c r="O9"/>
  <c r="O10"/>
  <c r="O11"/>
  <c r="O12"/>
  <c r="O13"/>
  <c r="O14"/>
  <c r="O15"/>
  <c r="O16"/>
  <c r="O17"/>
  <c r="O18"/>
  <c r="O19"/>
  <c r="O20"/>
  <c r="O21"/>
  <c r="O22"/>
  <c r="O23"/>
  <c r="O24"/>
  <c r="Y3"/>
  <c r="Z3"/>
  <c r="P5"/>
  <c r="P6"/>
  <c r="P7"/>
  <c r="P8"/>
  <c r="P9"/>
  <c r="P10"/>
  <c r="P11"/>
  <c r="P12"/>
  <c r="P13"/>
  <c r="P14"/>
  <c r="P15"/>
  <c r="P16"/>
  <c r="P17"/>
  <c r="P18"/>
  <c r="P19"/>
  <c r="P20"/>
  <c r="P21"/>
  <c r="P22"/>
  <c r="P23"/>
  <c r="P24"/>
  <c r="AA3"/>
  <c r="Q5"/>
  <c r="Q6"/>
  <c r="Q7"/>
  <c r="Q8"/>
  <c r="Q9"/>
  <c r="Q10"/>
  <c r="Q11"/>
  <c r="Q12"/>
  <c r="Q13"/>
  <c r="Q14"/>
  <c r="Q15"/>
  <c r="Q16"/>
  <c r="Q17"/>
  <c r="Q18"/>
  <c r="Q19"/>
  <c r="Q20"/>
  <c r="Q21"/>
  <c r="Q22"/>
  <c r="Q23"/>
  <c r="Q24"/>
  <c r="AB3"/>
  <c r="N25"/>
  <c r="X5"/>
  <c r="O25"/>
  <c r="Y5"/>
  <c r="Z5"/>
  <c r="P25"/>
  <c r="AA5"/>
  <c r="Q25"/>
  <c r="AB5"/>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C19" i="46"/>
  <c r="D69"/>
  <c r="D70"/>
  <c r="D71"/>
  <c r="K72"/>
  <c r="D72"/>
  <c r="D73"/>
  <c r="K74"/>
  <c r="J74"/>
  <c r="D74"/>
  <c r="D75"/>
  <c r="D76"/>
  <c r="D77"/>
  <c r="E69"/>
  <c r="B67"/>
  <c r="C24"/>
  <c r="F38"/>
  <c r="F8" i="1"/>
  <c r="AF8"/>
  <c r="C43" i="15"/>
  <c r="C8" i="76"/>
  <c r="C9"/>
  <c r="F14"/>
  <c r="E16"/>
  <c r="F17"/>
  <c r="E19"/>
  <c r="F23"/>
  <c r="F24"/>
  <c r="F29"/>
  <c r="F25"/>
  <c r="C25"/>
  <c r="R42" i="68"/>
  <c r="H14"/>
  <c r="T42"/>
  <c r="S42"/>
  <c r="K44"/>
  <c r="Q42"/>
  <c r="L44"/>
  <c r="J20" i="46"/>
  <c r="D19" i="4"/>
  <c r="F6" i="1"/>
  <c r="I20" i="46"/>
  <c r="G3"/>
  <c r="E22"/>
  <c r="G22"/>
  <c r="F22"/>
  <c r="H22"/>
  <c r="D22"/>
  <c r="C21"/>
  <c r="C15"/>
  <c r="D15"/>
  <c r="E15"/>
  <c r="F15"/>
  <c r="C12"/>
  <c r="C5"/>
  <c r="C18"/>
  <c r="K6" i="1"/>
  <c r="M6"/>
  <c r="O6"/>
  <c r="P6"/>
  <c r="T6"/>
  <c r="K1" i="12"/>
  <c r="F14"/>
  <c r="F15"/>
  <c r="E16"/>
  <c r="F17"/>
  <c r="E19"/>
  <c r="E21"/>
  <c r="E22"/>
  <c r="F23"/>
  <c r="R47" i="21"/>
  <c r="C7"/>
  <c r="C58"/>
  <c r="D58"/>
  <c r="E58"/>
  <c r="F58"/>
  <c r="G58"/>
  <c r="H58"/>
  <c r="I58"/>
  <c r="J58"/>
  <c r="K58"/>
  <c r="L58"/>
  <c r="M58"/>
  <c r="N58"/>
  <c r="O58"/>
  <c r="F7"/>
  <c r="AA7"/>
  <c r="F8"/>
  <c r="AA8"/>
  <c r="C63"/>
  <c r="F9"/>
  <c r="AA9"/>
  <c r="D66"/>
  <c r="F10"/>
  <c r="AA10"/>
  <c r="F11"/>
  <c r="AA11"/>
  <c r="B70"/>
  <c r="F12"/>
  <c r="AA12"/>
  <c r="B72"/>
  <c r="F13"/>
  <c r="AA13"/>
  <c r="B74"/>
  <c r="F14"/>
  <c r="AA14"/>
  <c r="D77"/>
  <c r="F15"/>
  <c r="AA15"/>
  <c r="D79"/>
  <c r="F17"/>
  <c r="AA17"/>
  <c r="D81"/>
  <c r="F19"/>
  <c r="AA19"/>
  <c r="F21"/>
  <c r="AA21"/>
  <c r="D85"/>
  <c r="F23"/>
  <c r="AA23"/>
  <c r="F25"/>
  <c r="AA25"/>
  <c r="F26"/>
  <c r="AA26"/>
  <c r="B90"/>
  <c r="F27"/>
  <c r="AA27"/>
  <c r="B92"/>
  <c r="F28"/>
  <c r="AA28"/>
  <c r="B94"/>
  <c r="F29"/>
  <c r="AA29"/>
  <c r="B96"/>
  <c r="F30"/>
  <c r="AA30"/>
  <c r="B98"/>
  <c r="F31"/>
  <c r="AA31"/>
  <c r="F32"/>
  <c r="AA32"/>
  <c r="F33"/>
  <c r="AA33"/>
  <c r="F34"/>
  <c r="AA34"/>
  <c r="F35"/>
  <c r="AA35"/>
  <c r="F36"/>
  <c r="AA36"/>
  <c r="D113"/>
  <c r="E113"/>
  <c r="F113"/>
  <c r="G113"/>
  <c r="F37"/>
  <c r="AA37"/>
  <c r="F38"/>
  <c r="AA38"/>
  <c r="F39"/>
  <c r="AA39"/>
  <c r="F40"/>
  <c r="AA40"/>
  <c r="F41"/>
  <c r="AA41"/>
  <c r="D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C8" i="12"/>
  <c r="C10"/>
  <c r="C6"/>
  <c r="F24"/>
  <c r="C24"/>
  <c r="F29"/>
  <c r="C29"/>
  <c r="F25"/>
  <c r="C25"/>
  <c r="K43" i="68"/>
  <c r="D46"/>
  <c r="D44"/>
  <c r="F44"/>
  <c r="F12"/>
  <c r="E44"/>
  <c r="F14"/>
  <c r="E46"/>
  <c r="E48"/>
  <c r="C46"/>
  <c r="C44"/>
  <c r="K32"/>
  <c r="J32"/>
  <c r="L32"/>
  <c r="T34"/>
  <c r="K30"/>
  <c r="J30"/>
  <c r="L30"/>
  <c r="H12"/>
  <c r="D31"/>
  <c r="C31"/>
  <c r="E31"/>
  <c r="D24"/>
  <c r="F15" i="76"/>
  <c r="G28"/>
  <c r="G27"/>
  <c r="G26"/>
  <c r="K9"/>
  <c r="J9"/>
  <c r="I9"/>
  <c r="H9"/>
  <c r="G9"/>
  <c r="F9"/>
  <c r="E9"/>
  <c r="D9"/>
  <c r="B5"/>
  <c r="B4"/>
  <c r="C36" i="68"/>
  <c r="C37"/>
  <c r="BB5" i="3"/>
  <c r="BC5"/>
  <c r="BB10"/>
  <c r="BC10"/>
  <c r="BD10"/>
  <c r="BE10"/>
  <c r="BF10"/>
  <c r="BG10"/>
  <c r="BH10"/>
  <c r="BI10"/>
  <c r="BJ10"/>
  <c r="BK10"/>
  <c r="BD5"/>
  <c r="BE5"/>
  <c r="BF5"/>
  <c r="BG5"/>
  <c r="BH5"/>
  <c r="BI5"/>
  <c r="BJ5"/>
  <c r="BK5"/>
  <c r="E8" i="6"/>
  <c r="F27"/>
  <c r="D16" i="68"/>
  <c r="D17"/>
  <c r="E16"/>
  <c r="F16"/>
  <c r="E32"/>
  <c r="D36"/>
  <c r="E36"/>
  <c r="E37"/>
  <c r="C32"/>
  <c r="F31"/>
  <c r="F32"/>
  <c r="D32"/>
  <c r="I5"/>
  <c r="H3" i="75"/>
  <c r="G3"/>
  <c r="H2"/>
  <c r="G2"/>
  <c r="D2"/>
  <c r="I2"/>
  <c r="Q34" i="68"/>
  <c r="C18"/>
  <c r="C7" i="33"/>
  <c r="C58"/>
  <c r="D58"/>
  <c r="E58"/>
  <c r="F58"/>
  <c r="G58"/>
  <c r="H58"/>
  <c r="I58"/>
  <c r="J58"/>
  <c r="K58"/>
  <c r="L58"/>
  <c r="M58"/>
  <c r="N58"/>
  <c r="O58"/>
  <c r="F7"/>
  <c r="AA7"/>
  <c r="R47"/>
  <c r="F8"/>
  <c r="AA8"/>
  <c r="C63"/>
  <c r="F9"/>
  <c r="AA9"/>
  <c r="G66"/>
  <c r="F10"/>
  <c r="AA10"/>
  <c r="F11"/>
  <c r="AA11"/>
  <c r="B70"/>
  <c r="F12"/>
  <c r="AA12"/>
  <c r="B72"/>
  <c r="F13"/>
  <c r="AA13"/>
  <c r="B74"/>
  <c r="F14"/>
  <c r="AA14"/>
  <c r="D77"/>
  <c r="E77"/>
  <c r="F15"/>
  <c r="AA15"/>
  <c r="D79"/>
  <c r="E79"/>
  <c r="F17"/>
  <c r="AA17"/>
  <c r="D81"/>
  <c r="F19"/>
  <c r="AA19"/>
  <c r="F21"/>
  <c r="AA21"/>
  <c r="D85"/>
  <c r="F23"/>
  <c r="AA23"/>
  <c r="F25"/>
  <c r="AA25"/>
  <c r="B88"/>
  <c r="F26"/>
  <c r="AA26"/>
  <c r="B90"/>
  <c r="D91"/>
  <c r="E91"/>
  <c r="F27"/>
  <c r="AA27"/>
  <c r="B92"/>
  <c r="F28"/>
  <c r="AA28"/>
  <c r="B94"/>
  <c r="F29"/>
  <c r="AA29"/>
  <c r="B96"/>
  <c r="F30"/>
  <c r="AA30"/>
  <c r="B98"/>
  <c r="F31"/>
  <c r="AA31"/>
  <c r="D101"/>
  <c r="E101"/>
  <c r="F32"/>
  <c r="AA32"/>
  <c r="F33"/>
  <c r="AA33"/>
  <c r="F34"/>
  <c r="AA34"/>
  <c r="F35"/>
  <c r="AA35"/>
  <c r="D111"/>
  <c r="E111"/>
  <c r="F111"/>
  <c r="F36"/>
  <c r="AA36"/>
  <c r="D113"/>
  <c r="E113"/>
  <c r="F37"/>
  <c r="AA37"/>
  <c r="F38"/>
  <c r="AA38"/>
  <c r="F39"/>
  <c r="AA39"/>
  <c r="F40"/>
  <c r="AA40"/>
  <c r="F41"/>
  <c r="AA41"/>
  <c r="F42"/>
  <c r="AA42"/>
  <c r="D125"/>
  <c r="F43"/>
  <c r="AA43"/>
  <c r="B126"/>
  <c r="F44"/>
  <c r="AA44"/>
  <c r="B128"/>
  <c r="F45"/>
  <c r="AA45"/>
  <c r="B130"/>
  <c r="F46"/>
  <c r="AA46"/>
  <c r="R48"/>
  <c r="H7"/>
  <c r="AB7"/>
  <c r="T4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J7"/>
  <c r="AC7"/>
  <c r="V4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C8" i="72"/>
  <c r="C10"/>
  <c r="I3" i="68"/>
  <c r="I2"/>
  <c r="F9"/>
  <c r="B9"/>
  <c r="D20"/>
  <c r="D18"/>
  <c r="G5"/>
  <c r="D38" i="46"/>
  <c r="C5" i="33"/>
  <c r="F113" i="73"/>
  <c r="N99"/>
  <c r="N108"/>
  <c r="M99"/>
  <c r="M108"/>
  <c r="L99"/>
  <c r="L108"/>
  <c r="K99"/>
  <c r="K108"/>
  <c r="J99"/>
  <c r="J108"/>
  <c r="I99"/>
  <c r="I108"/>
  <c r="H99"/>
  <c r="H108"/>
  <c r="G99"/>
  <c r="G108"/>
  <c r="F99"/>
  <c r="F108"/>
  <c r="E99"/>
  <c r="E108"/>
  <c r="D99"/>
  <c r="D108"/>
  <c r="C99"/>
  <c r="C108"/>
  <c r="M87"/>
  <c r="N87"/>
  <c r="K87"/>
  <c r="J87"/>
  <c r="D87"/>
  <c r="M86"/>
  <c r="N86"/>
  <c r="K86"/>
  <c r="J86"/>
  <c r="D86"/>
  <c r="M85"/>
  <c r="N85"/>
  <c r="K85"/>
  <c r="J85"/>
  <c r="D85"/>
  <c r="M84"/>
  <c r="N84"/>
  <c r="K84"/>
  <c r="J84"/>
  <c r="D84"/>
  <c r="M83"/>
  <c r="N83"/>
  <c r="K83"/>
  <c r="J83"/>
  <c r="D83"/>
  <c r="B83"/>
  <c r="M82"/>
  <c r="N82"/>
  <c r="K82"/>
  <c r="J82"/>
  <c r="D82"/>
  <c r="B82"/>
  <c r="M81"/>
  <c r="N81"/>
  <c r="K81"/>
  <c r="J81"/>
  <c r="D81"/>
  <c r="M80"/>
  <c r="N80"/>
  <c r="K80"/>
  <c r="J80"/>
  <c r="F80"/>
  <c r="H86"/>
  <c r="D80"/>
  <c r="E80"/>
  <c r="B78"/>
  <c r="M77"/>
  <c r="N77"/>
  <c r="K77"/>
  <c r="J77"/>
  <c r="D77"/>
  <c r="M76"/>
  <c r="N76"/>
  <c r="K76"/>
  <c r="J76"/>
  <c r="D76"/>
  <c r="M75"/>
  <c r="N75"/>
  <c r="K75"/>
  <c r="J75"/>
  <c r="M74"/>
  <c r="N74"/>
  <c r="K74"/>
  <c r="J74"/>
  <c r="D74"/>
  <c r="M73"/>
  <c r="N73"/>
  <c r="K73"/>
  <c r="J73"/>
  <c r="M72"/>
  <c r="N72"/>
  <c r="K72"/>
  <c r="J72"/>
  <c r="D72"/>
  <c r="M71"/>
  <c r="N71"/>
  <c r="K71"/>
  <c r="J71"/>
  <c r="B71"/>
  <c r="M70"/>
  <c r="N70"/>
  <c r="K70"/>
  <c r="J70"/>
  <c r="M69"/>
  <c r="N69"/>
  <c r="K69"/>
  <c r="J69"/>
  <c r="D69"/>
  <c r="M66"/>
  <c r="N66"/>
  <c r="K66"/>
  <c r="J66"/>
  <c r="D66"/>
  <c r="M65"/>
  <c r="N65"/>
  <c r="K65"/>
  <c r="J65"/>
  <c r="D65"/>
  <c r="M64"/>
  <c r="N64"/>
  <c r="K64"/>
  <c r="J64"/>
  <c r="D64"/>
  <c r="M63"/>
  <c r="N63"/>
  <c r="K63"/>
  <c r="J63"/>
  <c r="D63"/>
  <c r="M62"/>
  <c r="N62"/>
  <c r="K62"/>
  <c r="J62"/>
  <c r="D62"/>
  <c r="M61"/>
  <c r="N61"/>
  <c r="K61"/>
  <c r="J61"/>
  <c r="D61"/>
  <c r="M60"/>
  <c r="N60"/>
  <c r="K60"/>
  <c r="J60"/>
  <c r="D60"/>
  <c r="B60"/>
  <c r="M59"/>
  <c r="N59"/>
  <c r="K59"/>
  <c r="J59"/>
  <c r="D59"/>
  <c r="M58"/>
  <c r="N58"/>
  <c r="K58"/>
  <c r="J58"/>
  <c r="F58"/>
  <c r="H65"/>
  <c r="D58"/>
  <c r="E58"/>
  <c r="B56"/>
  <c r="M55"/>
  <c r="N55"/>
  <c r="K55"/>
  <c r="J55"/>
  <c r="D55"/>
  <c r="M54"/>
  <c r="N54"/>
  <c r="K54"/>
  <c r="J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54" i="73"/>
  <c r="E47"/>
  <c r="B45"/>
  <c r="D71"/>
  <c r="D73"/>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c r="D22"/>
  <c r="C21"/>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21"/>
  <c r="C5" i="73"/>
  <c r="D29" i="46"/>
  <c r="I6" i="68"/>
  <c r="G4"/>
  <c r="G8"/>
  <c r="C7"/>
  <c r="C4"/>
  <c r="C8"/>
  <c r="AH5" i="59"/>
  <c r="AG5"/>
  <c r="AE5"/>
  <c r="AF5"/>
  <c r="AD5"/>
  <c r="L3"/>
  <c r="AH3"/>
  <c r="K3"/>
  <c r="J3"/>
  <c r="I3"/>
  <c r="AH6"/>
  <c r="AG6"/>
  <c r="AE6"/>
  <c r="AF6"/>
  <c r="AD6"/>
  <c r="AH7"/>
  <c r="AG7"/>
  <c r="AE7"/>
  <c r="AF7"/>
  <c r="AD7"/>
  <c r="J50" i="15"/>
  <c r="J51"/>
  <c r="D10" i="59"/>
  <c r="AH8"/>
  <c r="AG8"/>
  <c r="AE8"/>
  <c r="AF8"/>
  <c r="AD8"/>
  <c r="AE9"/>
  <c r="AF9"/>
  <c r="AG9"/>
  <c r="AH9"/>
  <c r="AD9"/>
  <c r="K59" i="15"/>
  <c r="P62"/>
  <c r="P75"/>
  <c r="Q74" i="44"/>
  <c r="Q61"/>
  <c r="Q60"/>
  <c r="Q53"/>
  <c r="J51"/>
  <c r="J52"/>
  <c r="M48"/>
  <c r="A16" i="55"/>
  <c r="A15"/>
  <c r="A14"/>
  <c r="A11"/>
  <c r="A10"/>
  <c r="A9"/>
  <c r="A8"/>
  <c r="A6" i="54"/>
  <c r="A8"/>
  <c r="A7"/>
  <c r="A27" i="51"/>
  <c r="K75" i="9"/>
  <c r="K6" i="4"/>
  <c r="O76" i="9"/>
  <c r="L76"/>
  <c r="B22" i="31"/>
  <c r="E15" i="66"/>
  <c r="F15"/>
  <c r="E16"/>
  <c r="F16"/>
  <c r="E17"/>
  <c r="F17"/>
  <c r="E18"/>
  <c r="F18"/>
  <c r="E19"/>
  <c r="F19"/>
  <c r="E20"/>
  <c r="F20"/>
  <c r="E21"/>
  <c r="F21"/>
  <c r="E22"/>
  <c r="F22"/>
  <c r="E23"/>
  <c r="F23"/>
  <c r="B3"/>
  <c r="B9" i="59"/>
  <c r="B8"/>
  <c r="B7"/>
  <c r="E9"/>
  <c r="E8"/>
  <c r="E7"/>
  <c r="E6"/>
  <c r="E5"/>
  <c r="F9"/>
  <c r="F8"/>
  <c r="F7"/>
  <c r="F6"/>
  <c r="F5"/>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D9" i="59"/>
  <c r="B76" i="63"/>
  <c r="M5" i="54"/>
  <c r="A23" i="51"/>
  <c r="Y12" i="46"/>
  <c r="AA9"/>
  <c r="AA10"/>
  <c r="AB9"/>
  <c r="AC9"/>
  <c r="AC10"/>
  <c r="AD9"/>
  <c r="AE9"/>
  <c r="AE10"/>
  <c r="AF9"/>
  <c r="AG9"/>
  <c r="AG10"/>
  <c r="AH9"/>
  <c r="AH10"/>
  <c r="AI9"/>
  <c r="AI12"/>
  <c r="AJ9"/>
  <c r="AJ10"/>
  <c r="Z9"/>
  <c r="Z10"/>
  <c r="AI10"/>
  <c r="AF10"/>
  <c r="AD10"/>
  <c r="AB10"/>
  <c r="Y10"/>
  <c r="AJ12"/>
  <c r="AH12"/>
  <c r="AF12"/>
  <c r="AD12"/>
  <c r="AB12"/>
  <c r="Z12"/>
  <c r="AG12"/>
  <c r="AC12"/>
  <c r="B73" i="63"/>
  <c r="A21" i="64"/>
  <c r="B75" i="63"/>
  <c r="A27" i="64"/>
  <c r="A15"/>
  <c r="A14"/>
  <c r="A11"/>
  <c r="A3"/>
  <c r="A45" i="9"/>
  <c r="A44"/>
  <c r="C57" i="10"/>
  <c r="A28" i="51"/>
  <c r="B21" i="63"/>
  <c r="C56" i="10"/>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E13" i="59"/>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B52"/>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F23"/>
  <c r="E23"/>
  <c r="E24"/>
  <c r="E25"/>
  <c r="D22"/>
  <c r="C19"/>
  <c r="B19"/>
  <c r="B20"/>
  <c r="B21"/>
  <c r="S21"/>
  <c r="D18"/>
  <c r="F15"/>
  <c r="D14"/>
  <c r="E15"/>
  <c r="E16"/>
  <c r="E17"/>
  <c r="U17"/>
  <c r="S53"/>
  <c r="F16"/>
  <c r="F17"/>
  <c r="V17"/>
  <c r="F24"/>
  <c r="F25"/>
  <c r="V25"/>
  <c r="F32"/>
  <c r="F33"/>
  <c r="V33"/>
  <c r="F44"/>
  <c r="F45"/>
  <c r="V45"/>
  <c r="F48"/>
  <c r="F49"/>
  <c r="V49"/>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C41"/>
  <c r="D40"/>
  <c r="C29"/>
  <c r="D28"/>
  <c r="T29"/>
  <c r="D29"/>
  <c r="T41"/>
  <c r="D41"/>
  <c r="T49"/>
  <c r="D49"/>
  <c r="T21"/>
  <c r="D21"/>
  <c r="O51"/>
  <c r="D51"/>
  <c r="O50"/>
  <c r="O27" i="6"/>
  <c r="N27"/>
  <c r="P26"/>
  <c r="L26"/>
  <c r="P25"/>
  <c r="L25"/>
  <c r="P24"/>
  <c r="L24"/>
  <c r="P23"/>
  <c r="L23"/>
  <c r="P22"/>
  <c r="L22"/>
  <c r="P21"/>
  <c r="P20"/>
  <c r="P19"/>
  <c r="P27"/>
  <c r="Q18" i="36"/>
  <c r="Z18"/>
  <c r="C18"/>
  <c r="D66"/>
  <c r="F18"/>
  <c r="AA18"/>
  <c r="Q18" i="35"/>
  <c r="Z18"/>
  <c r="F18"/>
  <c r="AA18"/>
  <c r="C18"/>
  <c r="D68"/>
  <c r="E68"/>
  <c r="F68"/>
  <c r="G68"/>
  <c r="Q21" i="37"/>
  <c r="Z21"/>
  <c r="F21"/>
  <c r="AA21"/>
  <c r="C21"/>
  <c r="D77"/>
  <c r="E77"/>
  <c r="F77"/>
  <c r="G77"/>
  <c r="Q21" i="34"/>
  <c r="Z21"/>
  <c r="C21"/>
  <c r="D84"/>
  <c r="F21"/>
  <c r="AA21"/>
  <c r="Q21" i="33"/>
  <c r="Z21"/>
  <c r="C21"/>
  <c r="D83"/>
  <c r="E83"/>
  <c r="F83"/>
  <c r="G83"/>
  <c r="Q21" i="21"/>
  <c r="Z21"/>
  <c r="D83"/>
  <c r="E83"/>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83" i="21"/>
  <c r="G83"/>
  <c r="F96" i="40"/>
  <c r="H27"/>
  <c r="F105" i="39"/>
  <c r="H31"/>
  <c r="D22" i="15"/>
  <c r="G17" i="11"/>
  <c r="D23" i="15"/>
  <c r="F60"/>
  <c r="K2" i="4"/>
  <c r="K1"/>
  <c r="B1"/>
  <c r="B37" i="50"/>
  <c r="B2" i="63"/>
  <c r="C31" i="57"/>
  <c r="C32"/>
  <c r="I23"/>
  <c r="D20"/>
  <c r="I19"/>
  <c r="I18"/>
  <c r="I17"/>
  <c r="I20"/>
  <c r="E15"/>
  <c r="I14"/>
  <c r="I13"/>
  <c r="I12"/>
  <c r="I15"/>
  <c r="I9"/>
  <c r="I8"/>
  <c r="I7"/>
  <c r="I6"/>
  <c r="I5"/>
  <c r="I4"/>
  <c r="I3"/>
  <c r="I10"/>
  <c r="I21"/>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K76"/>
  <c r="J76"/>
  <c r="M75"/>
  <c r="N75"/>
  <c r="K75"/>
  <c r="J75"/>
  <c r="M74"/>
  <c r="N74"/>
  <c r="M73"/>
  <c r="K73"/>
  <c r="M72"/>
  <c r="N72"/>
  <c r="J72"/>
  <c r="M71"/>
  <c r="N71"/>
  <c r="K71"/>
  <c r="J71"/>
  <c r="M70"/>
  <c r="N70"/>
  <c r="K70"/>
  <c r="J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N86"/>
  <c r="D80"/>
  <c r="D81"/>
  <c r="N73"/>
  <c r="J66"/>
  <c r="D66"/>
  <c r="J50"/>
  <c r="D50"/>
  <c r="J54"/>
  <c r="D54"/>
  <c r="Q73" i="15"/>
  <c r="Q60"/>
  <c r="Q59"/>
  <c r="Q52"/>
  <c r="AE10" i="1"/>
  <c r="AE11"/>
  <c r="AE12"/>
  <c r="AE13"/>
  <c r="M47" i="15"/>
  <c r="AG7" i="1"/>
  <c r="G1" i="44"/>
  <c r="L49"/>
  <c r="J54"/>
  <c r="F1"/>
  <c r="L48" i="15"/>
  <c r="J53"/>
  <c r="F1"/>
  <c r="AE8"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G19" i="73"/>
  <c r="R12" i="1"/>
  <c r="B13"/>
  <c r="E13"/>
  <c r="R10"/>
  <c r="K1" i="72"/>
  <c r="K13" i="1"/>
  <c r="M13"/>
  <c r="G79" i="36"/>
  <c r="G85" i="35"/>
  <c r="G97" i="37"/>
  <c r="G110" i="34"/>
  <c r="G109" i="33"/>
  <c r="L2" i="31"/>
  <c r="K2"/>
  <c r="J2"/>
  <c r="I2"/>
  <c r="H2"/>
  <c r="G2"/>
  <c r="F2"/>
  <c r="E2"/>
  <c r="D2"/>
  <c r="C2"/>
  <c r="D60" i="15"/>
  <c r="G19" i="20"/>
  <c r="B84" i="73"/>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I19"/>
  <c r="G19"/>
  <c r="F9" i="1"/>
  <c r="F19" i="4"/>
  <c r="E19"/>
  <c r="F7" i="1"/>
  <c r="I20" i="73"/>
  <c r="B2" i="52"/>
  <c r="B15"/>
  <c r="N12" i="46"/>
  <c r="A7"/>
  <c r="F41" i="4"/>
  <c r="J52" i="40"/>
  <c r="H61" i="49"/>
  <c r="H39" i="46"/>
  <c r="H38"/>
  <c r="H37"/>
  <c r="H36"/>
  <c r="H35"/>
  <c r="H34"/>
  <c r="H33"/>
  <c r="C10"/>
  <c r="C11"/>
  <c r="C9"/>
  <c r="E32" i="6"/>
  <c r="C9" i="72"/>
  <c r="D38" i="4"/>
  <c r="C39"/>
  <c r="C3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E77" i="9"/>
  <c r="O75"/>
  <c r="L75"/>
  <c r="F77"/>
  <c r="P75"/>
  <c r="O74"/>
  <c r="O73"/>
  <c r="E66"/>
  <c r="O72"/>
  <c r="F74"/>
  <c r="P74"/>
  <c r="N67"/>
  <c r="K44"/>
  <c r="K43"/>
  <c r="B31" i="1"/>
  <c r="E10" i="11"/>
  <c r="B23" i="1"/>
  <c r="BC11" i="3"/>
  <c r="BD11"/>
  <c r="C11" i="11"/>
  <c r="C10"/>
  <c r="C30" i="40"/>
  <c r="G12"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61" i="15"/>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S515" i="31"/>
  <c r="S517"/>
  <c r="S519"/>
  <c r="S521"/>
  <c r="S523"/>
  <c r="U41" i="2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H26"/>
  <c r="AB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W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J34"/>
  <c r="AC34"/>
  <c r="B77"/>
  <c r="B75"/>
  <c r="J24"/>
  <c r="B73"/>
  <c r="B57"/>
  <c r="B61"/>
  <c r="B59"/>
  <c r="H12"/>
  <c r="B131" i="34"/>
  <c r="B129"/>
  <c r="B127"/>
  <c r="B99"/>
  <c r="B97"/>
  <c r="B95"/>
  <c r="B93"/>
  <c r="B75"/>
  <c r="B73"/>
  <c r="B71"/>
  <c r="U45" i="33"/>
  <c r="U12"/>
  <c r="D96" i="35"/>
  <c r="E96"/>
  <c r="F96"/>
  <c r="G96"/>
  <c r="D94"/>
  <c r="D84"/>
  <c r="E84"/>
  <c r="F84"/>
  <c r="G84"/>
  <c r="H84"/>
  <c r="I84"/>
  <c r="J84"/>
  <c r="K84"/>
  <c r="L84"/>
  <c r="M84"/>
  <c r="D80"/>
  <c r="D72"/>
  <c r="D70"/>
  <c r="E70"/>
  <c r="F70"/>
  <c r="G70"/>
  <c r="D66"/>
  <c r="E66"/>
  <c r="F66"/>
  <c r="G66"/>
  <c r="D64"/>
  <c r="E64"/>
  <c r="F64"/>
  <c r="G64"/>
  <c r="F56"/>
  <c r="G56"/>
  <c r="H56"/>
  <c r="I56"/>
  <c r="C53"/>
  <c r="H9"/>
  <c r="P39"/>
  <c r="P38"/>
  <c r="V37"/>
  <c r="T37"/>
  <c r="R37"/>
  <c r="P37"/>
  <c r="Q36"/>
  <c r="Z36"/>
  <c r="J36"/>
  <c r="AC36"/>
  <c r="Q35"/>
  <c r="Z35"/>
  <c r="Q34"/>
  <c r="Z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C23"/>
  <c r="C19"/>
  <c r="C17"/>
  <c r="C15"/>
  <c r="C15" i="21"/>
  <c r="D123"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87"/>
  <c r="E87"/>
  <c r="F87"/>
  <c r="G87"/>
  <c r="H87"/>
  <c r="I87"/>
  <c r="J87"/>
  <c r="K87"/>
  <c r="L87"/>
  <c r="M87"/>
  <c r="E85"/>
  <c r="E81"/>
  <c r="F81"/>
  <c r="G81"/>
  <c r="D69"/>
  <c r="E69"/>
  <c r="F69"/>
  <c r="G69"/>
  <c r="H69"/>
  <c r="I69"/>
  <c r="J69"/>
  <c r="K69"/>
  <c r="L69"/>
  <c r="M69"/>
  <c r="M67"/>
  <c r="L67"/>
  <c r="K67"/>
  <c r="J67"/>
  <c r="I67"/>
  <c r="H67"/>
  <c r="G67"/>
  <c r="F67"/>
  <c r="E67"/>
  <c r="D67"/>
  <c r="C67"/>
  <c r="H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W12"/>
  <c r="S12"/>
  <c r="Q11"/>
  <c r="Z11"/>
  <c r="Q10"/>
  <c r="Z10"/>
  <c r="Q9"/>
  <c r="Z9"/>
  <c r="W8"/>
  <c r="M102" i="21"/>
  <c r="D102"/>
  <c r="E102"/>
  <c r="F102"/>
  <c r="G102"/>
  <c r="H102"/>
  <c r="I102"/>
  <c r="J102"/>
  <c r="K102"/>
  <c r="L102"/>
  <c r="C102"/>
  <c r="S9"/>
  <c r="G18" i="20"/>
  <c r="B87" i="73"/>
  <c r="B87" i="46"/>
  <c r="C25" i="40"/>
  <c r="G16" i="20"/>
  <c r="B81" i="73"/>
  <c r="G15" i="20"/>
  <c r="B80" i="73"/>
  <c r="C24" i="20"/>
  <c r="B72" i="46"/>
  <c r="C21" i="20"/>
  <c r="B73" i="46"/>
  <c r="C20" i="20"/>
  <c r="C18"/>
  <c r="B70" i="46"/>
  <c r="C17" i="20"/>
  <c r="B58" i="73"/>
  <c r="C16" i="20"/>
  <c r="B47" i="73"/>
  <c r="C15" i="20"/>
  <c r="E54" i="21"/>
  <c r="F54"/>
  <c r="I54"/>
  <c r="J54"/>
  <c r="G54"/>
  <c r="H54"/>
  <c r="E125"/>
  <c r="E123"/>
  <c r="F123"/>
  <c r="G123"/>
  <c r="H123"/>
  <c r="I123"/>
  <c r="J123"/>
  <c r="K123"/>
  <c r="L123"/>
  <c r="M123"/>
  <c r="D119"/>
  <c r="D117"/>
  <c r="E117"/>
  <c r="F117"/>
  <c r="G117"/>
  <c r="D115"/>
  <c r="E115"/>
  <c r="F115"/>
  <c r="G115"/>
  <c r="H115"/>
  <c r="I115"/>
  <c r="J115"/>
  <c r="K115"/>
  <c r="L115"/>
  <c r="M115"/>
  <c r="D110"/>
  <c r="E110"/>
  <c r="F110"/>
  <c r="G110"/>
  <c r="H110"/>
  <c r="I110"/>
  <c r="J110"/>
  <c r="K110"/>
  <c r="L110"/>
  <c r="M110"/>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E66"/>
  <c r="F66"/>
  <c r="G66"/>
  <c r="H66"/>
  <c r="I66"/>
  <c r="D111"/>
  <c r="E111"/>
  <c r="F111"/>
  <c r="C111"/>
  <c r="E79"/>
  <c r="E85"/>
  <c r="E81"/>
  <c r="F81"/>
  <c r="G81"/>
  <c r="E77"/>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Q39"/>
  <c r="Z39"/>
  <c r="Q40"/>
  <c r="Z40"/>
  <c r="Q41"/>
  <c r="Z41"/>
  <c r="Q42"/>
  <c r="Z42"/>
  <c r="Q43"/>
  <c r="Z43"/>
  <c r="Q44"/>
  <c r="Z44"/>
  <c r="Q45"/>
  <c r="Z45"/>
  <c r="Q46"/>
  <c r="Z46"/>
  <c r="P47"/>
  <c r="P48"/>
  <c r="P49"/>
  <c r="E13" i="11"/>
  <c r="E12"/>
  <c r="C9" i="12"/>
  <c r="BB12" i="3"/>
  <c r="F9" i="12"/>
  <c r="D9"/>
  <c r="E9"/>
  <c r="G9"/>
  <c r="K5" i="3"/>
  <c r="J5"/>
  <c r="BM12"/>
  <c r="BN12"/>
  <c r="BO12"/>
  <c r="BP12"/>
  <c r="BQ12"/>
  <c r="BR12"/>
  <c r="BS12"/>
  <c r="BT12"/>
  <c r="BD12"/>
  <c r="BE12"/>
  <c r="BF12"/>
  <c r="BG12"/>
  <c r="BH12"/>
  <c r="BI12"/>
  <c r="BJ12"/>
  <c r="BK12"/>
  <c r="BC12"/>
  <c r="BT11"/>
  <c r="BT10"/>
  <c r="BS11"/>
  <c r="BS10"/>
  <c r="BR11"/>
  <c r="BR10"/>
  <c r="BQ11"/>
  <c r="BQ10"/>
  <c r="BP11"/>
  <c r="BP10"/>
  <c r="BO11"/>
  <c r="BO10"/>
  <c r="BN11"/>
  <c r="BN10"/>
  <c r="BM11"/>
  <c r="BM10"/>
  <c r="BK11"/>
  <c r="BJ11"/>
  <c r="BI11"/>
  <c r="BH11"/>
  <c r="BG11"/>
  <c r="BF11"/>
  <c r="BE11"/>
  <c r="BB11"/>
  <c r="AD5"/>
  <c r="AE5"/>
  <c r="AF5"/>
  <c r="AG5"/>
  <c r="AH5"/>
  <c r="AI5"/>
  <c r="AJ5"/>
  <c r="AK5"/>
  <c r="AM5"/>
  <c r="AN5"/>
  <c r="AO5"/>
  <c r="AP5"/>
  <c r="AQ5"/>
  <c r="AR5"/>
  <c r="AS5"/>
  <c r="AT5"/>
  <c r="I5"/>
  <c r="L5"/>
  <c r="M5"/>
  <c r="N5"/>
  <c r="O5"/>
  <c r="P5"/>
  <c r="Q5"/>
  <c r="R5"/>
  <c r="S5"/>
  <c r="T5"/>
  <c r="U5"/>
  <c r="V5"/>
  <c r="W5"/>
  <c r="X5"/>
  <c r="Y5"/>
  <c r="Z5"/>
  <c r="AA5"/>
  <c r="AB5"/>
  <c r="H5"/>
  <c r="F5"/>
  <c r="G27" i="6"/>
  <c r="U34" i="21"/>
  <c r="S43"/>
  <c r="S32"/>
  <c r="S38"/>
  <c r="S36"/>
  <c r="W40"/>
  <c r="U8"/>
  <c r="U10"/>
  <c r="W34"/>
  <c r="U36"/>
  <c r="W33"/>
  <c r="U33"/>
  <c r="W19"/>
  <c r="U12"/>
  <c r="W26"/>
  <c r="S41"/>
  <c r="W41"/>
  <c r="S10" i="39"/>
  <c r="U30" i="37"/>
  <c r="E103"/>
  <c r="F103"/>
  <c r="G103"/>
  <c r="H103"/>
  <c r="I103"/>
  <c r="J103"/>
  <c r="K103"/>
  <c r="L103"/>
  <c r="M103"/>
  <c r="F39"/>
  <c r="S39"/>
  <c r="W39"/>
  <c r="F29" i="36"/>
  <c r="AA29"/>
  <c r="F16"/>
  <c r="AA16"/>
  <c r="U22"/>
  <c r="W23"/>
  <c r="W22"/>
  <c r="U26"/>
  <c r="AC31"/>
  <c r="J33"/>
  <c r="W33"/>
  <c r="AC27" i="35"/>
  <c r="U31"/>
  <c r="W36"/>
  <c r="S31"/>
  <c r="W31"/>
  <c r="F36" i="34"/>
  <c r="S36"/>
  <c r="W9"/>
  <c r="S34"/>
  <c r="W39"/>
  <c r="U33" i="33"/>
  <c r="S40"/>
  <c r="S33"/>
  <c r="W33"/>
  <c r="S8" i="21"/>
  <c r="W8"/>
  <c r="H39" i="37"/>
  <c r="AB39"/>
  <c r="AB27" i="35"/>
  <c r="S10" i="40"/>
  <c r="W10"/>
  <c r="S11"/>
  <c r="U11"/>
  <c r="S36"/>
  <c r="U36"/>
  <c r="S40" i="39"/>
  <c r="S36"/>
  <c r="S11" i="21"/>
  <c r="C29" i="39"/>
  <c r="C23"/>
  <c r="U36"/>
  <c r="S42"/>
  <c r="U11" i="21"/>
  <c r="W11"/>
  <c r="F100" i="40"/>
  <c r="F86"/>
  <c r="G86"/>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S19"/>
  <c r="S10" i="21"/>
  <c r="W40" i="33"/>
  <c r="F125" i="21"/>
  <c r="G125"/>
  <c r="AB30" i="36"/>
  <c r="S22" i="35"/>
  <c r="H29"/>
  <c r="U34" i="37"/>
  <c r="S34"/>
  <c r="AA34"/>
  <c r="AC43" i="34"/>
  <c r="AB42"/>
  <c r="AB40"/>
  <c r="W36"/>
  <c r="J19"/>
  <c r="AC19"/>
  <c r="S37" i="33"/>
  <c r="W43" i="34"/>
  <c r="AC42"/>
  <c r="W42"/>
  <c r="AA42"/>
  <c r="S42"/>
  <c r="AC38"/>
  <c r="W38"/>
  <c r="AA38"/>
  <c r="S38"/>
  <c r="W37" i="33"/>
  <c r="J44" i="34"/>
  <c r="AC44"/>
  <c r="F44"/>
  <c r="S44"/>
  <c r="J10" i="35"/>
  <c r="W10"/>
  <c r="AL5" i="3"/>
  <c r="W14" i="21"/>
  <c r="U14"/>
  <c r="S28"/>
  <c r="U30"/>
  <c r="S30"/>
  <c r="U44"/>
  <c r="W46"/>
  <c r="U26" i="33"/>
  <c r="U28"/>
  <c r="W28"/>
  <c r="F33" i="35"/>
  <c r="S33"/>
  <c r="J33"/>
  <c r="W33"/>
  <c r="F30"/>
  <c r="AA30"/>
  <c r="E89"/>
  <c r="F89"/>
  <c r="G89"/>
  <c r="H89"/>
  <c r="I89"/>
  <c r="J89"/>
  <c r="K89"/>
  <c r="L89"/>
  <c r="M89"/>
  <c r="H10" i="36"/>
  <c r="AB10"/>
  <c r="F28"/>
  <c r="S28"/>
  <c r="F27"/>
  <c r="S27"/>
  <c r="U13" i="21"/>
  <c r="W27"/>
  <c r="U29"/>
  <c r="S29"/>
  <c r="U31"/>
  <c r="S31"/>
  <c r="W45"/>
  <c r="U45"/>
  <c r="S13" i="33"/>
  <c r="W29"/>
  <c r="U31"/>
  <c r="W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U14" i="33"/>
  <c r="S30"/>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S46" i="21"/>
  <c r="U46"/>
  <c r="W30"/>
  <c r="W31" i="34"/>
  <c r="S46" i="33"/>
  <c r="U36" i="37"/>
  <c r="AC13" i="36"/>
  <c r="S45" i="21"/>
  <c r="S505" i="31"/>
  <c r="S503"/>
  <c r="S501"/>
  <c r="S499"/>
  <c r="O27"/>
  <c r="O28"/>
  <c r="O26"/>
  <c r="M27"/>
  <c r="M28"/>
  <c r="M26"/>
  <c r="I26"/>
  <c r="I25"/>
  <c r="S25"/>
  <c r="Q26"/>
  <c r="K26"/>
  <c r="I27"/>
  <c r="Q27"/>
  <c r="K27"/>
  <c r="I28"/>
  <c r="Q28"/>
  <c r="K28"/>
  <c r="AC28" i="34"/>
  <c r="S12" i="21"/>
  <c r="U25"/>
  <c r="S25"/>
  <c r="E125" i="33"/>
  <c r="F125"/>
  <c r="G125"/>
  <c r="U43"/>
  <c r="H17" i="37"/>
  <c r="U17"/>
  <c r="F23"/>
  <c r="S23"/>
  <c r="F79"/>
  <c r="AB27"/>
  <c r="E123" i="33"/>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U42"/>
  <c r="G79" i="37"/>
  <c r="J23"/>
  <c r="W23"/>
  <c r="F17"/>
  <c r="AA17"/>
  <c r="D3" i="21"/>
  <c r="AC33" i="36"/>
  <c r="AC12" i="35"/>
  <c r="W23"/>
  <c r="AC23" i="37"/>
  <c r="S27"/>
  <c r="U39"/>
  <c r="AC8"/>
  <c r="S25"/>
  <c r="AC36" i="34"/>
  <c r="AB8"/>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J57" i="39"/>
  <c r="H13" i="40"/>
  <c r="U13"/>
  <c r="H12" i="48"/>
  <c r="I4" i="4"/>
  <c r="K141" i="21"/>
  <c r="K143"/>
  <c r="K144"/>
  <c r="I59" i="40"/>
  <c r="C59"/>
  <c r="I60"/>
  <c r="C60"/>
  <c r="W9" i="33"/>
  <c r="H7" i="48"/>
  <c r="H113" i="46"/>
  <c r="F33"/>
  <c r="F35"/>
  <c r="F37"/>
  <c r="H16" i="48"/>
  <c r="H9"/>
  <c r="H8"/>
  <c r="AB16" i="35"/>
  <c r="U43" i="21"/>
  <c r="AA13" i="40"/>
  <c r="E78"/>
  <c r="F78"/>
  <c r="G78"/>
  <c r="H78"/>
  <c r="I78"/>
  <c r="J78"/>
  <c r="K78"/>
  <c r="L78"/>
  <c r="M78"/>
  <c r="R16" i="4"/>
  <c r="P16"/>
  <c r="D3" i="35"/>
  <c r="G4" i="4"/>
  <c r="S37" i="34"/>
  <c r="J16" i="35"/>
  <c r="W16"/>
  <c r="AC26" i="36"/>
  <c r="W25" i="35"/>
  <c r="H13" i="39"/>
  <c r="AB13"/>
  <c r="F13"/>
  <c r="J13"/>
  <c r="AC13"/>
  <c r="H11" i="37"/>
  <c r="AB11"/>
  <c r="W37"/>
  <c r="AA36"/>
  <c r="AB17"/>
  <c r="AC11" i="36"/>
  <c r="AC10"/>
  <c r="AB45" i="34"/>
  <c r="AC14" i="37"/>
  <c r="AB35" i="35"/>
  <c r="S25"/>
  <c r="W30" i="33"/>
  <c r="AC29" i="37"/>
  <c r="W32" i="36"/>
  <c r="AC32"/>
  <c r="J33" i="34"/>
  <c r="AC33"/>
  <c r="AB36"/>
  <c r="J40"/>
  <c r="W40"/>
  <c r="F16" i="35"/>
  <c r="AA16"/>
  <c r="S24" i="36"/>
  <c r="W42" i="33"/>
  <c r="J35" i="34"/>
  <c r="W35"/>
  <c r="F107"/>
  <c r="G107"/>
  <c r="H107"/>
  <c r="I107"/>
  <c r="J107"/>
  <c r="K107"/>
  <c r="L107"/>
  <c r="M107"/>
  <c r="S30" i="36"/>
  <c r="H16"/>
  <c r="AB16"/>
  <c r="H35" i="37"/>
  <c r="AB35"/>
  <c r="U32" i="21"/>
  <c r="U26"/>
  <c r="S33"/>
  <c r="U39"/>
  <c r="AC5" i="3"/>
  <c r="S40" i="21"/>
  <c r="E119"/>
  <c r="F119"/>
  <c r="G119"/>
  <c r="H119"/>
  <c r="I119"/>
  <c r="J119"/>
  <c r="K119"/>
  <c r="L119"/>
  <c r="M119"/>
  <c r="S8" i="33"/>
  <c r="H66"/>
  <c r="S11"/>
  <c r="AB39" i="34"/>
  <c r="F11"/>
  <c r="S11"/>
  <c r="E80"/>
  <c r="F80"/>
  <c r="H17"/>
  <c r="AB17"/>
  <c r="S12" i="35"/>
  <c r="AB28"/>
  <c r="U28"/>
  <c r="W13" i="33"/>
  <c r="U13"/>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S28" i="33"/>
  <c r="S14" i="21"/>
  <c r="AA44" i="34"/>
  <c r="AB29" i="35"/>
  <c r="U29"/>
  <c r="W19" i="33"/>
  <c r="U43" i="34"/>
  <c r="AB43"/>
  <c r="AC34" i="37"/>
  <c r="S35"/>
  <c r="AA35"/>
  <c r="AB10" i="35"/>
  <c r="U38" i="21"/>
  <c r="U40" i="33"/>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AB21"/>
  <c r="J21"/>
  <c r="W21"/>
  <c r="F33"/>
  <c r="H33"/>
  <c r="U33"/>
  <c r="J33"/>
  <c r="W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W39"/>
  <c r="J29" i="35"/>
  <c r="AC29"/>
  <c r="F29"/>
  <c r="S29"/>
  <c r="W30" i="36"/>
  <c r="AC30"/>
  <c r="F37" i="39"/>
  <c r="S37"/>
  <c r="H37"/>
  <c r="U37"/>
  <c r="J37"/>
  <c r="W37"/>
  <c r="F36" i="44"/>
  <c r="F114" i="34"/>
  <c r="G114"/>
  <c r="H114"/>
  <c r="I114"/>
  <c r="J114"/>
  <c r="K114"/>
  <c r="L114"/>
  <c r="M114"/>
  <c r="H38"/>
  <c r="U38"/>
  <c r="H30" i="40"/>
  <c r="AB30"/>
  <c r="G100"/>
  <c r="H100"/>
  <c r="J30"/>
  <c r="AC30"/>
  <c r="F38"/>
  <c r="AA38"/>
  <c r="AA36" i="34"/>
  <c r="W12" i="21"/>
  <c r="S34"/>
  <c r="U8" i="33"/>
  <c r="E106"/>
  <c r="U34"/>
  <c r="S34"/>
  <c r="E121"/>
  <c r="S41"/>
  <c r="AC34" i="34"/>
  <c r="W34"/>
  <c r="AA39"/>
  <c r="S39"/>
  <c r="S43"/>
  <c r="E78"/>
  <c r="F15"/>
  <c r="S15"/>
  <c r="AC28" i="35"/>
  <c r="W28"/>
  <c r="J20"/>
  <c r="AC20"/>
  <c r="E72"/>
  <c r="F72"/>
  <c r="G72"/>
  <c r="H22"/>
  <c r="AB22"/>
  <c r="H23"/>
  <c r="U23"/>
  <c r="F23"/>
  <c r="AA23"/>
  <c r="AB36"/>
  <c r="U36"/>
  <c r="AC12" i="36"/>
  <c r="U31"/>
  <c r="S8" i="37"/>
  <c r="AA8"/>
  <c r="F14" i="39"/>
  <c r="AA14"/>
  <c r="H14"/>
  <c r="AB14"/>
  <c r="J14"/>
  <c r="AC14"/>
  <c r="F16"/>
  <c r="AA16"/>
  <c r="H16"/>
  <c r="J16"/>
  <c r="AC16"/>
  <c r="F23"/>
  <c r="AA23"/>
  <c r="E97"/>
  <c r="F27"/>
  <c r="AA27"/>
  <c r="H27"/>
  <c r="AB27"/>
  <c r="J27"/>
  <c r="AC27"/>
  <c r="F15" i="40"/>
  <c r="AA15"/>
  <c r="J15"/>
  <c r="H15"/>
  <c r="AB15"/>
  <c r="E92"/>
  <c r="F92"/>
  <c r="H23"/>
  <c r="U23"/>
  <c r="H41"/>
  <c r="F41"/>
  <c r="J41"/>
  <c r="AC41"/>
  <c r="H37" i="34"/>
  <c r="F15" i="39"/>
  <c r="AA15"/>
  <c r="H15"/>
  <c r="U15"/>
  <c r="J15"/>
  <c r="AC15"/>
  <c r="H25"/>
  <c r="U25"/>
  <c r="J25"/>
  <c r="AC25"/>
  <c r="F25"/>
  <c r="AA25"/>
  <c r="F45"/>
  <c r="AA45"/>
  <c r="H45"/>
  <c r="U45"/>
  <c r="J45"/>
  <c r="AC45"/>
  <c r="F47"/>
  <c r="H47"/>
  <c r="J47"/>
  <c r="W47"/>
  <c r="F41"/>
  <c r="AA41"/>
  <c r="H41"/>
  <c r="AB41"/>
  <c r="J41"/>
  <c r="AC41"/>
  <c r="E94" i="40"/>
  <c r="F94"/>
  <c r="J25"/>
  <c r="AC25"/>
  <c r="J32"/>
  <c r="AC32"/>
  <c r="H32"/>
  <c r="U32"/>
  <c r="H33"/>
  <c r="AB33"/>
  <c r="F33"/>
  <c r="AA33"/>
  <c r="J33"/>
  <c r="AC33"/>
  <c r="H35"/>
  <c r="AB35"/>
  <c r="F35"/>
  <c r="AA35"/>
  <c r="J35"/>
  <c r="AC35"/>
  <c r="J38" i="39"/>
  <c r="W38"/>
  <c r="H38"/>
  <c r="U38"/>
  <c r="J16" i="40"/>
  <c r="W16"/>
  <c r="J14"/>
  <c r="W14"/>
  <c r="H42"/>
  <c r="H40"/>
  <c r="U40"/>
  <c r="H34"/>
  <c r="U34"/>
  <c r="F29" i="72"/>
  <c r="J42" i="40"/>
  <c r="AC42"/>
  <c r="J40"/>
  <c r="AC40"/>
  <c r="J34"/>
  <c r="H16"/>
  <c r="AB16"/>
  <c r="H14"/>
  <c r="F32"/>
  <c r="AA32"/>
  <c r="M1" i="46"/>
  <c r="M10"/>
  <c r="N2"/>
  <c r="N5"/>
  <c r="F58"/>
  <c r="H61"/>
  <c r="F47"/>
  <c r="H49"/>
  <c r="N7"/>
  <c r="M7"/>
  <c r="M11"/>
  <c r="N3"/>
  <c r="N6"/>
  <c r="N10"/>
  <c r="J13" i="40"/>
  <c r="W13"/>
  <c r="W40"/>
  <c r="F34" i="44"/>
  <c r="F27" i="43"/>
  <c r="F66" i="9"/>
  <c r="P72"/>
  <c r="F71"/>
  <c r="F72"/>
  <c r="AC14" i="40"/>
  <c r="W35"/>
  <c r="S33"/>
  <c r="AB32"/>
  <c r="AC47" i="39"/>
  <c r="AB25"/>
  <c r="U37" i="34"/>
  <c r="AB37"/>
  <c r="W41" i="40"/>
  <c r="J23"/>
  <c r="AC23"/>
  <c r="G92"/>
  <c r="F23"/>
  <c r="S23"/>
  <c r="AC15"/>
  <c r="W15"/>
  <c r="W27" i="39"/>
  <c r="S23"/>
  <c r="W14"/>
  <c r="AB23" i="35"/>
  <c r="H20"/>
  <c r="F20"/>
  <c r="H15" i="34"/>
  <c r="AB15"/>
  <c r="F78"/>
  <c r="G78"/>
  <c r="J15"/>
  <c r="AC15"/>
  <c r="U41" i="33"/>
  <c r="F121"/>
  <c r="G121"/>
  <c r="H121"/>
  <c r="I121"/>
  <c r="J121"/>
  <c r="K121"/>
  <c r="L121"/>
  <c r="M121"/>
  <c r="F30" i="40"/>
  <c r="AA30"/>
  <c r="I100"/>
  <c r="J100"/>
  <c r="K100"/>
  <c r="L100"/>
  <c r="M100"/>
  <c r="AB37" i="39"/>
  <c r="AA29" i="35"/>
  <c r="U39" i="39"/>
  <c r="J29"/>
  <c r="AC29"/>
  <c r="U21"/>
  <c r="AB33" i="36"/>
  <c r="AA11"/>
  <c r="AA14" i="35"/>
  <c r="S14"/>
  <c r="G99" i="37"/>
  <c r="F33"/>
  <c r="AB19" i="39"/>
  <c r="U19"/>
  <c r="U46" i="34"/>
  <c r="AC30"/>
  <c r="AA14"/>
  <c r="W12"/>
  <c r="U29" i="33"/>
  <c r="U17" i="34"/>
  <c r="AA11"/>
  <c r="U15" i="33"/>
  <c r="S13" i="39"/>
  <c r="AA13"/>
  <c r="U16" i="40"/>
  <c r="AB34"/>
  <c r="AB42"/>
  <c r="U42"/>
  <c r="AC16"/>
  <c r="W32"/>
  <c r="H25"/>
  <c r="AB25"/>
  <c r="G94"/>
  <c r="W15" i="39"/>
  <c r="J37" i="34"/>
  <c r="AC37"/>
  <c r="AB23" i="40"/>
  <c r="U27" i="39"/>
  <c r="H23"/>
  <c r="AB23"/>
  <c r="J23"/>
  <c r="AC23"/>
  <c r="F97"/>
  <c r="G97"/>
  <c r="S16"/>
  <c r="AA15" i="34"/>
  <c r="F106" i="33"/>
  <c r="G106"/>
  <c r="H106"/>
  <c r="I106"/>
  <c r="J106"/>
  <c r="K106"/>
  <c r="L106"/>
  <c r="M106"/>
  <c r="AA37" i="39"/>
  <c r="W29" i="35"/>
  <c r="AC39" i="39"/>
  <c r="AA39"/>
  <c r="S39"/>
  <c r="U34"/>
  <c r="AB29"/>
  <c r="AB46"/>
  <c r="AB44"/>
  <c r="AC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G80"/>
  <c r="F17"/>
  <c r="AA17"/>
  <c r="J17"/>
  <c r="AC17"/>
  <c r="H11"/>
  <c r="AB11"/>
  <c r="W35" i="33"/>
  <c r="U11"/>
  <c r="U10"/>
  <c r="I66"/>
  <c r="U40" i="21"/>
  <c r="U11" i="37"/>
  <c r="U13" i="39"/>
  <c r="AC16" i="35"/>
  <c r="AC13" i="40"/>
  <c r="J11" i="34"/>
  <c r="S17"/>
  <c r="F25" i="40"/>
  <c r="AA25"/>
  <c r="W11" i="33"/>
  <c r="H33" i="37"/>
  <c r="AB33"/>
  <c r="U20" i="35"/>
  <c r="AB20"/>
  <c r="W23" i="40"/>
  <c r="D73" i="9"/>
  <c r="N73"/>
  <c r="AP11" i="1"/>
  <c r="B11"/>
  <c r="E11"/>
  <c r="K11"/>
  <c r="M11"/>
  <c r="B9"/>
  <c r="E9"/>
  <c r="K9"/>
  <c r="M9"/>
  <c r="B7"/>
  <c r="E7"/>
  <c r="K7"/>
  <c r="M7"/>
  <c r="C20" i="43"/>
  <c r="AP6" i="1"/>
  <c r="G11"/>
  <c r="M22" i="44"/>
  <c r="F59" i="15"/>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U11"/>
  <c r="W10"/>
  <c r="U10"/>
  <c r="W37"/>
  <c r="AC40"/>
  <c r="W44"/>
  <c r="W19"/>
  <c r="W29"/>
  <c r="AC21"/>
  <c r="W21"/>
  <c r="U15"/>
  <c r="AB21"/>
  <c r="U21"/>
  <c r="U27"/>
  <c r="U19"/>
  <c r="AB41"/>
  <c r="S13"/>
  <c r="AA41"/>
  <c r="S9"/>
  <c r="S10"/>
  <c r="U39" i="33"/>
  <c r="S35"/>
  <c r="S29"/>
  <c r="W31"/>
  <c r="W43"/>
  <c r="U46"/>
  <c r="W39"/>
  <c r="U35"/>
  <c r="W25"/>
  <c r="S25"/>
  <c r="F85"/>
  <c r="G85"/>
  <c r="S14"/>
  <c r="W21"/>
  <c r="W14"/>
  <c r="U21"/>
  <c r="S21"/>
  <c r="S44" i="21"/>
  <c r="U35"/>
  <c r="W43"/>
  <c r="W28"/>
  <c r="F85"/>
  <c r="G85"/>
  <c r="W23"/>
  <c r="S23"/>
  <c r="S15"/>
  <c r="F77"/>
  <c r="G77"/>
  <c r="W13"/>
  <c r="W21"/>
  <c r="W10"/>
  <c r="U2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M18" i="15"/>
  <c r="A18" i="64"/>
  <c r="B74" i="63"/>
  <c r="C53" i="10"/>
  <c r="A25" i="64"/>
  <c r="A18" i="51"/>
  <c r="B14" i="63"/>
  <c r="F3" i="35"/>
  <c r="K1" i="43"/>
  <c r="I4" i="6"/>
  <c r="BO5" i="3"/>
  <c r="BP5"/>
  <c r="BN5"/>
  <c r="BM5"/>
  <c r="G28" i="12"/>
  <c r="G22" i="43"/>
  <c r="G26" i="12"/>
  <c r="D24" i="44"/>
  <c r="D26"/>
  <c r="G27" i="12"/>
  <c r="G23" i="43"/>
  <c r="G21"/>
  <c r="H50" i="46"/>
  <c r="E11"/>
  <c r="E10"/>
  <c r="N8"/>
  <c r="N4"/>
  <c r="N1"/>
  <c r="M9"/>
  <c r="M2"/>
  <c r="N11"/>
  <c r="N9"/>
  <c r="F69"/>
  <c r="H71"/>
  <c r="M4"/>
  <c r="M12"/>
  <c r="M8"/>
  <c r="M3"/>
  <c r="M5"/>
  <c r="H6" i="48"/>
  <c r="E9" i="46"/>
  <c r="H15" i="48"/>
  <c r="H5"/>
  <c r="H14"/>
  <c r="F36" i="46"/>
  <c r="F34"/>
  <c r="F39"/>
  <c r="H13" i="48"/>
  <c r="H11"/>
  <c r="E8" i="46"/>
  <c r="C7"/>
  <c r="E17"/>
  <c r="D84"/>
  <c r="E80"/>
  <c r="B78"/>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L5" i="54"/>
  <c r="B39" i="63"/>
  <c r="K5" i="54"/>
  <c r="B38" i="63"/>
  <c r="T41" i="4"/>
  <c r="A17" i="64"/>
  <c r="B46" i="50"/>
  <c r="B4" i="63"/>
  <c r="C46" i="36"/>
  <c r="D46"/>
  <c r="E46"/>
  <c r="C59" i="34"/>
  <c r="D59"/>
  <c r="E59"/>
  <c r="C48" i="35"/>
  <c r="D48"/>
  <c r="C52" i="37"/>
  <c r="D52"/>
  <c r="O19" i="46"/>
  <c r="H77"/>
  <c r="H86"/>
  <c r="H82"/>
  <c r="H63"/>
  <c r="H64"/>
  <c r="H10" i="48"/>
  <c r="H87" i="46"/>
  <c r="H85"/>
  <c r="H83"/>
  <c r="K10" i="1"/>
  <c r="M10"/>
  <c r="R11"/>
  <c r="R13"/>
  <c r="B6"/>
  <c r="E6"/>
  <c r="B10"/>
  <c r="E10"/>
  <c r="B8"/>
  <c r="E8"/>
  <c r="B12"/>
  <c r="E12"/>
  <c r="F66" i="36"/>
  <c r="H18"/>
  <c r="AB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S43" i="33"/>
  <c r="S26"/>
  <c r="S9"/>
  <c r="S39" i="21"/>
  <c r="W25"/>
  <c r="U27"/>
  <c r="W31"/>
  <c r="W29"/>
  <c r="G96" i="40"/>
  <c r="J27"/>
  <c r="W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30"/>
  <c r="S14" i="36"/>
  <c r="AB20"/>
  <c r="AA20"/>
  <c r="AC14"/>
  <c r="W14"/>
  <c r="U14"/>
  <c r="AB14"/>
  <c r="U18"/>
  <c r="AA26" i="35"/>
  <c r="S26"/>
  <c r="U26"/>
  <c r="AB26"/>
  <c r="W26"/>
  <c r="AC26"/>
  <c r="S19" i="37"/>
  <c r="W19"/>
  <c r="AB19"/>
  <c r="U19"/>
  <c r="AC17"/>
  <c r="W17"/>
  <c r="U25" i="34"/>
  <c r="AB25"/>
  <c r="AA25"/>
  <c r="S25"/>
  <c r="W25"/>
  <c r="AC25"/>
  <c r="U23"/>
  <c r="AB23"/>
  <c r="AA23"/>
  <c r="S23"/>
  <c r="AC23"/>
  <c r="W23"/>
  <c r="U23" i="33"/>
  <c r="W23"/>
  <c r="S23"/>
  <c r="U15" i="21"/>
  <c r="W15"/>
  <c r="AB39" i="40"/>
  <c r="U39"/>
  <c r="AC39"/>
  <c r="W39"/>
  <c r="AA39"/>
  <c r="S39"/>
  <c r="U37"/>
  <c r="AB37"/>
  <c r="AA37"/>
  <c r="S37"/>
  <c r="U29"/>
  <c r="AB29"/>
  <c r="AC29"/>
  <c r="W29"/>
  <c r="AA29"/>
  <c r="S29"/>
  <c r="W19"/>
  <c r="AC19"/>
  <c r="AA19"/>
  <c r="S19"/>
  <c r="AB19"/>
  <c r="U19"/>
  <c r="AC27"/>
  <c r="W31" i="39"/>
  <c r="B20" i="31"/>
  <c r="R22"/>
  <c r="B21"/>
  <c r="A17" i="51"/>
  <c r="B13" i="63"/>
  <c r="E5" i="6"/>
  <c r="D12" i="11"/>
  <c r="C12"/>
  <c r="G29" i="6"/>
  <c r="E29"/>
  <c r="H70" i="46"/>
  <c r="A9" i="64"/>
  <c r="A9" i="51"/>
  <c r="B9" i="63"/>
  <c r="A25" i="51"/>
  <c r="B18" i="63"/>
  <c r="A3" i="55"/>
  <c r="B56" i="63"/>
  <c r="G66" i="36"/>
  <c r="J18"/>
  <c r="W18"/>
  <c r="AC18"/>
  <c r="AG6" i="1"/>
  <c r="L20" i="6"/>
  <c r="C45" i="9"/>
  <c r="H14" i="66"/>
  <c r="B7"/>
  <c r="C44" i="9"/>
  <c r="G14" i="66"/>
  <c r="B6"/>
  <c r="N69" i="9"/>
  <c r="M86"/>
  <c r="N86"/>
  <c r="O39"/>
  <c r="R6" i="54"/>
  <c r="B50" i="63"/>
  <c r="K29" i="9"/>
  <c r="K30"/>
  <c r="M84"/>
  <c r="N84"/>
  <c r="M87"/>
  <c r="N87"/>
  <c r="M83"/>
  <c r="N83"/>
  <c r="N89"/>
  <c r="O89"/>
  <c r="N76"/>
  <c r="C46"/>
  <c r="K33"/>
  <c r="AE9" i="1"/>
  <c r="AE6"/>
  <c r="F8" i="67"/>
  <c r="B12"/>
  <c r="F39" i="44"/>
  <c r="F14" i="67"/>
  <c r="J36" i="15"/>
  <c r="M8"/>
  <c r="N6" i="65"/>
  <c r="M28" i="15"/>
  <c r="F38" i="44"/>
  <c r="M24" i="15"/>
  <c r="F10" i="67"/>
  <c r="E11"/>
  <c r="N7" i="65"/>
  <c r="F9" i="67"/>
  <c r="F18" i="44"/>
  <c r="M30"/>
  <c r="E9" i="67"/>
  <c r="E13"/>
  <c r="M26" i="44"/>
  <c r="F9"/>
  <c r="F11"/>
  <c r="M8"/>
  <c r="M6" i="15"/>
  <c r="M27"/>
  <c r="B8" i="67"/>
  <c r="F40" i="44"/>
  <c r="J17"/>
  <c r="M9" i="15"/>
  <c r="M29"/>
  <c r="F8" i="44"/>
  <c r="L48"/>
  <c r="E12" i="67"/>
  <c r="M23" i="44"/>
  <c r="M31"/>
  <c r="C15" i="43"/>
  <c r="B9" i="67"/>
  <c r="L47" i="15"/>
  <c r="B13" i="67"/>
  <c r="F45" i="44"/>
  <c r="M25"/>
  <c r="M11"/>
  <c r="M23" i="15"/>
  <c r="B14" i="67"/>
  <c r="F43" i="44"/>
  <c r="F15"/>
  <c r="B11" i="67"/>
  <c r="F37" i="44"/>
  <c r="M24"/>
  <c r="F13" i="67"/>
  <c r="E8"/>
  <c r="M22" i="15"/>
  <c r="F28" i="44"/>
  <c r="N5" i="65"/>
  <c r="B10" i="67"/>
  <c r="M29" i="44"/>
  <c r="F11" i="67"/>
  <c r="F46" i="44"/>
  <c r="J15" i="15"/>
  <c r="M26"/>
  <c r="E14" i="67"/>
  <c r="N3" i="65"/>
  <c r="C19" i="44"/>
  <c r="E10" i="67"/>
  <c r="M21" i="15"/>
  <c r="M10" i="44"/>
  <c r="F10"/>
  <c r="M28"/>
  <c r="F12" i="67"/>
  <c r="H48" i="46"/>
  <c r="M85" i="9"/>
  <c r="N85"/>
  <c r="M88"/>
  <c r="N88"/>
  <c r="O40"/>
  <c r="K31"/>
  <c r="K32"/>
  <c r="K15" i="1"/>
  <c r="L19" i="6"/>
  <c r="L27"/>
  <c r="O41" i="9"/>
  <c r="R8" i="54"/>
  <c r="B54" i="63"/>
  <c r="I14" i="66"/>
  <c r="B8"/>
  <c r="U14" i="40"/>
  <c r="AB14"/>
  <c r="AC34"/>
  <c r="W34"/>
  <c r="AA47" i="39"/>
  <c r="S47"/>
  <c r="AA41" i="40"/>
  <c r="S41"/>
  <c r="F77" i="33"/>
  <c r="G77"/>
  <c r="W15"/>
  <c r="W27" i="34"/>
  <c r="AC27"/>
  <c r="AC24" i="35"/>
  <c r="W24"/>
  <c r="W15" i="34"/>
  <c r="W11"/>
  <c r="AC11"/>
  <c r="S20" i="35"/>
  <c r="AA20"/>
  <c r="AB47" i="39"/>
  <c r="U47"/>
  <c r="AB41" i="40"/>
  <c r="U41"/>
  <c r="U16" i="39"/>
  <c r="AB16"/>
  <c r="W26" i="33"/>
  <c r="AB9" i="35"/>
  <c r="U9"/>
  <c r="S31" i="33"/>
  <c r="U30" i="40"/>
  <c r="AB17" i="39"/>
  <c r="AB38" i="34"/>
  <c r="AA36" i="35"/>
  <c r="AB15" i="37"/>
  <c r="U12"/>
  <c r="AC41" i="34"/>
  <c r="U28" i="21"/>
  <c r="AB40" i="37"/>
  <c r="F113" i="33"/>
  <c r="G113"/>
  <c r="H113"/>
  <c r="I113"/>
  <c r="J113"/>
  <c r="K113"/>
  <c r="L113"/>
  <c r="M113"/>
  <c r="AC34" i="36"/>
  <c r="B69" i="46"/>
  <c r="B69" i="73"/>
  <c r="B70"/>
  <c r="B59"/>
  <c r="B48"/>
  <c r="B80" i="46"/>
  <c r="B81"/>
  <c r="F34" i="35"/>
  <c r="H34"/>
  <c r="F26" i="37"/>
  <c r="B64" i="73"/>
  <c r="B73"/>
  <c r="B53"/>
  <c r="B72"/>
  <c r="B51"/>
  <c r="B62"/>
  <c r="C18" i="9"/>
  <c r="K12" i="1"/>
  <c r="M12"/>
  <c r="O12"/>
  <c r="P12"/>
  <c r="D1" i="57"/>
  <c r="E10"/>
  <c r="M19" i="46"/>
  <c r="U25" i="59"/>
  <c r="C36"/>
  <c r="D35"/>
  <c r="P24" i="73"/>
  <c r="P21"/>
  <c r="P25"/>
  <c r="O19"/>
  <c r="P23"/>
  <c r="P22"/>
  <c r="C32" i="59"/>
  <c r="D32"/>
  <c r="D31"/>
  <c r="C44"/>
  <c r="D43"/>
  <c r="Q51"/>
  <c r="Q50"/>
  <c r="C7"/>
  <c r="D7"/>
  <c r="D8"/>
  <c r="B65" i="73"/>
  <c r="B54"/>
  <c r="B74"/>
  <c r="B15" i="59"/>
  <c r="B16"/>
  <c r="B17"/>
  <c r="S17"/>
  <c r="C15"/>
  <c r="E19"/>
  <c r="E20"/>
  <c r="E21"/>
  <c r="U21"/>
  <c r="F19"/>
  <c r="F20"/>
  <c r="F21"/>
  <c r="V21"/>
  <c r="B23"/>
  <c r="B24"/>
  <c r="B25"/>
  <c r="S25"/>
  <c r="C23"/>
  <c r="S13"/>
  <c r="B12"/>
  <c r="B11"/>
  <c r="U13"/>
  <c r="E12"/>
  <c r="E11"/>
  <c r="A28" i="64"/>
  <c r="AA12" i="46"/>
  <c r="AE12"/>
  <c r="T9" i="59"/>
  <c r="V9"/>
  <c r="K76" i="9"/>
  <c r="K77"/>
  <c r="K79"/>
  <c r="K81"/>
  <c r="C13" i="59"/>
  <c r="F13"/>
  <c r="U23" i="21"/>
  <c r="M43" i="9"/>
  <c r="D18"/>
  <c r="M44"/>
  <c r="F79" i="21"/>
  <c r="G79"/>
  <c r="S17"/>
  <c r="W44"/>
  <c r="G28" i="72"/>
  <c r="G27"/>
  <c r="G26"/>
  <c r="W17" i="33"/>
  <c r="J73" i="46"/>
  <c r="U44" i="33"/>
  <c r="W46"/>
  <c r="S44"/>
  <c r="S42"/>
  <c r="U38"/>
  <c r="W38"/>
  <c r="G111"/>
  <c r="H111"/>
  <c r="I111"/>
  <c r="J111"/>
  <c r="K111"/>
  <c r="L111"/>
  <c r="M111"/>
  <c r="W36"/>
  <c r="W44"/>
  <c r="S39"/>
  <c r="W34"/>
  <c r="F101"/>
  <c r="G101"/>
  <c r="H101"/>
  <c r="I101"/>
  <c r="J101"/>
  <c r="K101"/>
  <c r="L101"/>
  <c r="M101"/>
  <c r="U32"/>
  <c r="W32"/>
  <c r="U27"/>
  <c r="S27"/>
  <c r="F91"/>
  <c r="G91"/>
  <c r="H91"/>
  <c r="I91"/>
  <c r="J91"/>
  <c r="K91"/>
  <c r="L91"/>
  <c r="M91"/>
  <c r="U25"/>
  <c r="B76" i="73"/>
  <c r="B66"/>
  <c r="B55"/>
  <c r="B76" i="46"/>
  <c r="U19" i="33"/>
  <c r="F79"/>
  <c r="G79"/>
  <c r="S10"/>
  <c r="W10"/>
  <c r="U9"/>
  <c r="B84" i="46"/>
  <c r="B58"/>
  <c r="B47"/>
  <c r="A30" i="64"/>
  <c r="A30" i="51"/>
  <c r="B22" i="63"/>
  <c r="U42" i="21"/>
  <c r="W42"/>
  <c r="H113"/>
  <c r="S37"/>
  <c r="S42"/>
  <c r="W39"/>
  <c r="S35"/>
  <c r="W32"/>
  <c r="S27"/>
  <c r="S26"/>
  <c r="S21"/>
  <c r="U19"/>
  <c r="S19"/>
  <c r="W17"/>
  <c r="W9"/>
  <c r="U9"/>
  <c r="L16" i="4"/>
  <c r="N16"/>
  <c r="E495" i="3"/>
  <c r="E571"/>
  <c r="E273"/>
  <c r="E175"/>
  <c r="E506"/>
  <c r="E522"/>
  <c r="E516"/>
  <c r="S6"/>
  <c r="E377"/>
  <c r="E484"/>
  <c r="E356"/>
  <c r="E53" i="40"/>
  <c r="E58" i="39"/>
  <c r="F31" i="6"/>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O9" i="1"/>
  <c r="P9"/>
  <c r="E14" i="6"/>
  <c r="E15"/>
  <c r="E13"/>
  <c r="E12"/>
  <c r="E10"/>
  <c r="E11"/>
  <c r="O13" i="1"/>
  <c r="P13"/>
  <c r="O7"/>
  <c r="P7"/>
  <c r="O11"/>
  <c r="P11"/>
  <c r="BL5" i="3"/>
  <c r="H16" i="1"/>
  <c r="AB11" i="46"/>
  <c r="AB13"/>
  <c r="AI11"/>
  <c r="AI13"/>
  <c r="AA11"/>
  <c r="AA13"/>
  <c r="C23"/>
  <c r="AH11"/>
  <c r="AH13"/>
  <c r="AD11"/>
  <c r="AD13"/>
  <c r="Z11"/>
  <c r="Z13"/>
  <c r="F101"/>
  <c r="N101"/>
  <c r="K101"/>
  <c r="Z7"/>
  <c r="E101"/>
  <c r="L101"/>
  <c r="N104" i="45"/>
  <c r="B113" i="46"/>
  <c r="J101"/>
  <c r="G101"/>
  <c r="C101"/>
  <c r="AE11"/>
  <c r="AE13"/>
  <c r="AJ11"/>
  <c r="AJ13"/>
  <c r="AF11"/>
  <c r="AF13"/>
  <c r="Y11"/>
  <c r="Y13"/>
  <c r="AG11"/>
  <c r="AG13"/>
  <c r="AC11"/>
  <c r="AC13"/>
  <c r="H101"/>
  <c r="M101"/>
  <c r="D101"/>
  <c r="I101"/>
  <c r="J22"/>
  <c r="H51"/>
  <c r="H53"/>
  <c r="H60"/>
  <c r="H59"/>
  <c r="H69"/>
  <c r="H65"/>
  <c r="H75"/>
  <c r="H72"/>
  <c r="H74"/>
  <c r="H73"/>
  <c r="H76"/>
  <c r="H55"/>
  <c r="H54"/>
  <c r="H52"/>
  <c r="H47"/>
  <c r="G8" i="1"/>
  <c r="G10"/>
  <c r="G13"/>
  <c r="K17" i="4"/>
  <c r="A22" i="51"/>
  <c r="B16" i="63"/>
  <c r="AP16" i="1"/>
  <c r="F22" i="11"/>
  <c r="G6" i="1"/>
  <c r="N4" i="63"/>
  <c r="E14" i="52"/>
  <c r="E48" i="35"/>
  <c r="F48"/>
  <c r="G48"/>
  <c r="H48"/>
  <c r="I48"/>
  <c r="J48"/>
  <c r="K48"/>
  <c r="L48"/>
  <c r="M48"/>
  <c r="N48"/>
  <c r="O48"/>
  <c r="C72" i="39"/>
  <c r="D70"/>
  <c r="E52" i="37"/>
  <c r="F52"/>
  <c r="G52"/>
  <c r="H52"/>
  <c r="I52"/>
  <c r="J52"/>
  <c r="K52"/>
  <c r="L52"/>
  <c r="M52"/>
  <c r="N52"/>
  <c r="O52"/>
  <c r="F59" i="34"/>
  <c r="G59"/>
  <c r="H59"/>
  <c r="I59"/>
  <c r="J59"/>
  <c r="K59"/>
  <c r="L59"/>
  <c r="M59"/>
  <c r="N59"/>
  <c r="O59"/>
  <c r="F46" i="36"/>
  <c r="G46"/>
  <c r="H46"/>
  <c r="I46"/>
  <c r="J46"/>
  <c r="K46"/>
  <c r="L46"/>
  <c r="M46"/>
  <c r="N46"/>
  <c r="O46"/>
  <c r="D65" i="40"/>
  <c r="C67"/>
  <c r="H7" i="37"/>
  <c r="H7" i="36"/>
  <c r="H7" i="34"/>
  <c r="C6" i="59"/>
  <c r="C5"/>
  <c r="D5"/>
  <c r="B6" i="52"/>
  <c r="E7"/>
  <c r="E6"/>
  <c r="E4"/>
  <c r="B7"/>
  <c r="E5"/>
  <c r="P21" i="46"/>
  <c r="B6" i="59"/>
  <c r="B5"/>
  <c r="P22" i="46"/>
  <c r="P23"/>
  <c r="P25"/>
  <c r="B73" i="39"/>
  <c r="P24" i="46"/>
  <c r="B68" i="40"/>
  <c r="E22" i="52"/>
  <c r="B22"/>
  <c r="B10"/>
  <c r="B11"/>
  <c r="B4"/>
  <c r="E9"/>
  <c r="C36" i="44"/>
  <c r="C8"/>
  <c r="F63" i="15"/>
  <c r="F67"/>
  <c r="J60" i="44"/>
  <c r="I55"/>
  <c r="J58"/>
  <c r="J56"/>
  <c r="J59"/>
  <c r="Q52"/>
  <c r="L57"/>
  <c r="J61"/>
  <c r="Q50"/>
  <c r="J22"/>
  <c r="Q72" i="15"/>
  <c r="Q73" i="44"/>
  <c r="F64" i="15"/>
  <c r="L60" i="44"/>
  <c r="L59"/>
  <c r="F62" i="15"/>
  <c r="C61"/>
  <c r="J20"/>
  <c r="F68"/>
  <c r="F65"/>
  <c r="F50"/>
  <c r="L59"/>
  <c r="L58"/>
  <c r="F49"/>
  <c r="M7"/>
  <c r="J6"/>
  <c r="C29" i="44"/>
  <c r="F70" i="15"/>
  <c r="M9" i="44"/>
  <c r="J8"/>
  <c r="I54" i="15"/>
  <c r="J57"/>
  <c r="J55"/>
  <c r="J58"/>
  <c r="Q51"/>
  <c r="L56"/>
  <c r="E17" i="52"/>
  <c r="E11"/>
  <c r="E15"/>
  <c r="E4" i="4"/>
  <c r="B21" i="55"/>
  <c r="B72" i="63"/>
  <c r="E13" i="52"/>
  <c r="B14"/>
  <c r="E8"/>
  <c r="E16"/>
  <c r="B5"/>
  <c r="B9"/>
  <c r="B16"/>
  <c r="B8"/>
  <c r="B13"/>
  <c r="E10"/>
  <c r="C4" i="4"/>
  <c r="B20" i="55"/>
  <c r="B70" i="63"/>
  <c r="E21" i="52"/>
  <c r="M17" i="15"/>
  <c r="F58"/>
  <c r="F31"/>
  <c r="F33" i="44"/>
  <c r="M19"/>
  <c r="C18"/>
  <c r="E481" i="3"/>
  <c r="E326"/>
  <c r="E382"/>
  <c r="E511"/>
  <c r="E227"/>
  <c r="E572"/>
  <c r="E342"/>
  <c r="E503"/>
  <c r="E112"/>
  <c r="E566"/>
  <c r="E122"/>
  <c r="R7" i="54"/>
  <c r="B52" i="63"/>
  <c r="J7" i="34"/>
  <c r="H7" i="35"/>
  <c r="J7" i="36"/>
  <c r="F7" i="37"/>
  <c r="F7" i="36"/>
  <c r="F7" i="34"/>
  <c r="J7" i="37"/>
  <c r="C19" i="73"/>
  <c r="Q16" i="1"/>
  <c r="D6" i="59"/>
  <c r="J7" i="35"/>
  <c r="F7"/>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F12" i="59"/>
  <c r="F11"/>
  <c r="V13"/>
  <c r="D13"/>
  <c r="T13"/>
  <c r="C12"/>
  <c r="D23"/>
  <c r="C24"/>
  <c r="C45"/>
  <c r="D44"/>
  <c r="AA26" i="37"/>
  <c r="S26"/>
  <c r="AA34" i="35"/>
  <c r="S34"/>
  <c r="U37" i="33"/>
  <c r="D15" i="59"/>
  <c r="C16"/>
  <c r="D36"/>
  <c r="C37"/>
  <c r="C25" i="72"/>
  <c r="C31" i="43"/>
  <c r="AB34" i="35"/>
  <c r="U34"/>
  <c r="C27" i="43"/>
  <c r="C30" i="44"/>
  <c r="S15" i="33"/>
  <c r="K34" i="9"/>
  <c r="U17" i="21"/>
  <c r="F18" i="11"/>
  <c r="C18"/>
  <c r="U36" i="33"/>
  <c r="S36"/>
  <c r="S32"/>
  <c r="W27"/>
  <c r="S17"/>
  <c r="U17"/>
  <c r="U37" i="21"/>
  <c r="W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AC6"/>
  <c r="E60" i="40"/>
  <c r="E65" i="39"/>
  <c r="E66"/>
  <c r="E61" i="40"/>
  <c r="E16" i="6"/>
  <c r="E58" i="40"/>
  <c r="E63" i="39"/>
  <c r="E64"/>
  <c r="E59" i="40"/>
  <c r="E62"/>
  <c r="E67" i="39"/>
  <c r="E30" i="6"/>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U7" i="34"/>
  <c r="AB7"/>
  <c r="T49"/>
  <c r="G49"/>
  <c r="AB7" i="35"/>
  <c r="T38"/>
  <c r="G38"/>
  <c r="U7"/>
  <c r="AC7" i="36"/>
  <c r="V36"/>
  <c r="I36"/>
  <c r="W7"/>
  <c r="AA7" i="37"/>
  <c r="R42"/>
  <c r="S7"/>
  <c r="S7" i="33"/>
  <c r="U7"/>
  <c r="AA7" i="36"/>
  <c r="R36"/>
  <c r="S7"/>
  <c r="S7" i="34"/>
  <c r="AA7"/>
  <c r="R49"/>
  <c r="W7" i="37"/>
  <c r="AC7"/>
  <c r="V42"/>
  <c r="I42"/>
  <c r="D72" i="39"/>
  <c r="E70"/>
  <c r="S7" i="21"/>
  <c r="U7"/>
  <c r="G48"/>
  <c r="AA7" i="35"/>
  <c r="R38"/>
  <c r="S7"/>
  <c r="C48" i="15"/>
  <c r="F13" i="44"/>
  <c r="C12"/>
  <c r="C7"/>
  <c r="C40"/>
  <c r="L52"/>
  <c r="L58"/>
  <c r="L61"/>
  <c r="L47"/>
  <c r="Q61" i="15"/>
  <c r="Q74"/>
  <c r="Q76" i="44"/>
  <c r="Q63"/>
  <c r="Q54"/>
  <c r="M11" i="15"/>
  <c r="J10"/>
  <c r="J5"/>
  <c r="M13" i="44"/>
  <c r="J12"/>
  <c r="J7"/>
  <c r="Q53" i="15"/>
  <c r="Q75"/>
  <c r="Q62"/>
  <c r="Q75" i="44"/>
  <c r="Q62"/>
  <c r="F24" i="43"/>
  <c r="J5" i="65"/>
  <c r="I3"/>
  <c r="I7"/>
  <c r="J6"/>
  <c r="J4"/>
  <c r="I6"/>
  <c r="J7"/>
  <c r="J3"/>
  <c r="K24" i="6"/>
  <c r="M24"/>
  <c r="I24"/>
  <c r="S24"/>
  <c r="H6" i="3"/>
  <c r="J1" i="65"/>
  <c r="D37" i="59"/>
  <c r="T37"/>
  <c r="D24"/>
  <c r="C25"/>
  <c r="D12"/>
  <c r="C11"/>
  <c r="D16"/>
  <c r="C17"/>
  <c r="D45"/>
  <c r="T45"/>
  <c r="G48" i="33"/>
  <c r="C26" i="43"/>
  <c r="D24"/>
  <c r="K23" i="6"/>
  <c r="M23"/>
  <c r="I23"/>
  <c r="S23"/>
  <c r="E31"/>
  <c r="K25"/>
  <c r="M25"/>
  <c r="I25"/>
  <c r="S25"/>
  <c r="K26"/>
  <c r="M26"/>
  <c r="I26"/>
  <c r="S26"/>
  <c r="S21"/>
  <c r="M20"/>
  <c r="I20"/>
  <c r="S20"/>
  <c r="E6" i="3"/>
  <c r="K16" i="1"/>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486"/>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C21" i="4"/>
  <c r="O5" i="54"/>
  <c r="B45" i="63"/>
  <c r="D10" i="11"/>
  <c r="E6" i="6"/>
  <c r="L38" i="9"/>
  <c r="B14" i="66"/>
  <c r="B1"/>
  <c r="D45" i="9"/>
  <c r="D44"/>
  <c r="D46"/>
  <c r="S5" i="46"/>
  <c r="S3"/>
  <c r="S4"/>
  <c r="S6"/>
  <c r="S2"/>
  <c r="S7"/>
  <c r="C115"/>
  <c r="D113"/>
  <c r="H12" i="40"/>
  <c r="AB12"/>
  <c r="J12" i="39"/>
  <c r="AC12"/>
  <c r="F12"/>
  <c r="H12"/>
  <c r="W12" i="40"/>
  <c r="AC12"/>
  <c r="AA12"/>
  <c r="R39" i="35"/>
  <c r="E38"/>
  <c r="I43"/>
  <c r="J43"/>
  <c r="E36" i="36"/>
  <c r="R37"/>
  <c r="G53" i="34"/>
  <c r="H53"/>
  <c r="G54"/>
  <c r="H54"/>
  <c r="I48" i="21"/>
  <c r="G53"/>
  <c r="H53"/>
  <c r="W7"/>
  <c r="G47" i="37"/>
  <c r="H47"/>
  <c r="G46"/>
  <c r="H46"/>
  <c r="G52" i="21"/>
  <c r="H52"/>
  <c r="E48"/>
  <c r="E72" i="39"/>
  <c r="F70"/>
  <c r="I46" i="37"/>
  <c r="J46"/>
  <c r="R50" i="34"/>
  <c r="E49"/>
  <c r="G52" i="33"/>
  <c r="H52"/>
  <c r="E48"/>
  <c r="E42" i="37"/>
  <c r="I47"/>
  <c r="J47"/>
  <c r="R43"/>
  <c r="I41" i="36"/>
  <c r="J41"/>
  <c r="I40"/>
  <c r="J40"/>
  <c r="G42" i="35"/>
  <c r="H42"/>
  <c r="G43"/>
  <c r="H43"/>
  <c r="W7" i="33"/>
  <c r="I48"/>
  <c r="E67" i="40"/>
  <c r="F65"/>
  <c r="G40" i="36"/>
  <c r="H40"/>
  <c r="G41"/>
  <c r="H41"/>
  <c r="I42" i="35"/>
  <c r="J42"/>
  <c r="I53" i="34"/>
  <c r="J53"/>
  <c r="I54"/>
  <c r="J54"/>
  <c r="J28" i="44"/>
  <c r="J31"/>
  <c r="J26"/>
  <c r="J20"/>
  <c r="C34"/>
  <c r="C52" i="15"/>
  <c r="C47"/>
  <c r="J26"/>
  <c r="J29"/>
  <c r="J24"/>
  <c r="J18"/>
  <c r="D16" i="43"/>
  <c r="E3" i="65"/>
  <c r="M19" i="6"/>
  <c r="M22"/>
  <c r="I22"/>
  <c r="S22"/>
  <c r="F21" i="43"/>
  <c r="C23"/>
  <c r="D21"/>
  <c r="F26" i="44"/>
  <c r="C26"/>
  <c r="F17" i="11"/>
  <c r="C17"/>
  <c r="C19"/>
  <c r="C20"/>
  <c r="C21"/>
  <c r="C22"/>
  <c r="C23"/>
  <c r="B2"/>
  <c r="B3"/>
  <c r="D17" i="59"/>
  <c r="T17"/>
  <c r="D11"/>
  <c r="D25"/>
  <c r="M20" i="46"/>
  <c r="M19" i="73"/>
  <c r="M20"/>
  <c r="T25" i="59"/>
  <c r="N17" i="73"/>
  <c r="E41"/>
  <c r="C41"/>
  <c r="C39"/>
  <c r="P17"/>
  <c r="O17"/>
  <c r="M17" i="46"/>
  <c r="P17"/>
  <c r="N17"/>
  <c r="C16" i="43"/>
  <c r="C48" i="33"/>
  <c r="T11" i="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10" i="6"/>
  <c r="D6"/>
  <c r="D14"/>
  <c r="D20"/>
  <c r="R20"/>
  <c r="R7" i="1"/>
  <c r="H23" i="6"/>
  <c r="F44" i="9"/>
  <c r="O14" i="1"/>
  <c r="O16"/>
  <c r="T7"/>
  <c r="M16"/>
  <c r="T9"/>
  <c r="C7" i="66"/>
  <c r="C6"/>
  <c r="C8"/>
  <c r="M27" i="6"/>
  <c r="I19"/>
  <c r="AB12" i="39"/>
  <c r="U12"/>
  <c r="AA12"/>
  <c r="S12"/>
  <c r="G65" i="40"/>
  <c r="F67"/>
  <c r="I52" i="33"/>
  <c r="J52"/>
  <c r="I53"/>
  <c r="J53"/>
  <c r="C42" i="37"/>
  <c r="C43"/>
  <c r="B3"/>
  <c r="B2"/>
  <c r="E54" i="34"/>
  <c r="F54"/>
  <c r="E53"/>
  <c r="F53"/>
  <c r="G70" i="39"/>
  <c r="F72"/>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C59" i="15"/>
  <c r="C65"/>
  <c r="Q49" i="44"/>
  <c r="Q55"/>
  <c r="Q67"/>
  <c r="Q58"/>
  <c r="AE7" i="1"/>
  <c r="P14"/>
  <c r="P16"/>
  <c r="T12"/>
  <c r="C48" i="21"/>
  <c r="B5" i="11"/>
  <c r="B4"/>
  <c r="C38" i="73"/>
  <c r="G38"/>
  <c r="I38"/>
  <c r="C34"/>
  <c r="G34"/>
  <c r="I34"/>
  <c r="T10" i="1"/>
  <c r="T13"/>
  <c r="T16"/>
  <c r="T2" i="46"/>
  <c r="V2"/>
  <c r="B3" i="33"/>
  <c r="B2"/>
  <c r="C6" i="72"/>
  <c r="B3" i="21"/>
  <c r="B2"/>
  <c r="F52" i="33"/>
  <c r="G39" i="73"/>
  <c r="I39"/>
  <c r="E39"/>
  <c r="R24" i="6"/>
  <c r="D16"/>
  <c r="R25"/>
  <c r="R26"/>
  <c r="I27"/>
  <c r="S19"/>
  <c r="S27"/>
  <c r="N16" i="1"/>
  <c r="L16"/>
  <c r="A20" i="51"/>
  <c r="B15" i="63"/>
  <c r="A6" i="51"/>
  <c r="B7" i="63"/>
  <c r="A20" i="64"/>
  <c r="N5" i="54"/>
  <c r="B43" i="63"/>
  <c r="A6" i="64"/>
  <c r="D27" i="6"/>
  <c r="D31"/>
  <c r="D6" i="66"/>
  <c r="D7"/>
  <c r="D8"/>
  <c r="R22" i="6"/>
  <c r="R9" i="1"/>
  <c r="H19" i="6"/>
  <c r="H27"/>
  <c r="R23"/>
  <c r="G72" i="39"/>
  <c r="H70"/>
  <c r="G67" i="40"/>
  <c r="H65"/>
  <c r="Q68" i="44"/>
  <c r="Q77"/>
  <c r="Q59"/>
  <c r="Q64"/>
  <c r="C29" i="43"/>
  <c r="C13"/>
  <c r="C16" i="44"/>
  <c r="F7" i="67"/>
  <c r="C35" i="73"/>
  <c r="G35"/>
  <c r="I35"/>
  <c r="E38"/>
  <c r="T12"/>
  <c r="V12"/>
  <c r="T13"/>
  <c r="V13"/>
  <c r="T8"/>
  <c r="V8"/>
  <c r="T5"/>
  <c r="V5"/>
  <c r="E34"/>
  <c r="T7"/>
  <c r="V7"/>
  <c r="T3"/>
  <c r="V3"/>
  <c r="T11"/>
  <c r="V11"/>
  <c r="T9"/>
  <c r="V9"/>
  <c r="T16"/>
  <c r="V16"/>
  <c r="T6"/>
  <c r="V6"/>
  <c r="T14"/>
  <c r="V14"/>
  <c r="T10"/>
  <c r="V10"/>
  <c r="T15"/>
  <c r="V15"/>
  <c r="C37"/>
  <c r="E37"/>
  <c r="T4"/>
  <c r="V4"/>
  <c r="C33"/>
  <c r="E33"/>
  <c r="T2"/>
  <c r="V2"/>
  <c r="C36"/>
  <c r="G36"/>
  <c r="I36"/>
  <c r="C17" i="44"/>
  <c r="C20"/>
  <c r="E38" i="46"/>
  <c r="G38"/>
  <c r="I38"/>
  <c r="T15"/>
  <c r="V15"/>
  <c r="T9"/>
  <c r="V9"/>
  <c r="C34"/>
  <c r="T12"/>
  <c r="V12"/>
  <c r="T6"/>
  <c r="V6"/>
  <c r="T14"/>
  <c r="V14"/>
  <c r="C33"/>
  <c r="T11"/>
  <c r="V11"/>
  <c r="C37"/>
  <c r="T3"/>
  <c r="V3"/>
  <c r="T5"/>
  <c r="V5"/>
  <c r="T16"/>
  <c r="V16"/>
  <c r="T10"/>
  <c r="V10"/>
  <c r="T8"/>
  <c r="V8"/>
  <c r="C39"/>
  <c r="T4"/>
  <c r="V4"/>
  <c r="C36"/>
  <c r="C35"/>
  <c r="T13"/>
  <c r="V13"/>
  <c r="T7"/>
  <c r="V7"/>
  <c r="C24" i="72"/>
  <c r="C29"/>
  <c r="E4" i="67"/>
  <c r="R19" i="6"/>
  <c r="I5"/>
  <c r="I6"/>
  <c r="C14" i="43"/>
  <c r="C17"/>
  <c r="H67" i="40"/>
  <c r="I65"/>
  <c r="H72" i="39"/>
  <c r="I70"/>
  <c r="E7" i="67"/>
  <c r="D3" i="75"/>
  <c r="I3"/>
  <c r="E35" i="73"/>
  <c r="E29"/>
  <c r="E36"/>
  <c r="G37"/>
  <c r="I37"/>
  <c r="G33"/>
  <c r="I33"/>
  <c r="C21" i="44"/>
  <c r="C22"/>
  <c r="C25"/>
  <c r="C30" i="73"/>
  <c r="E30"/>
  <c r="G39" i="46"/>
  <c r="I39"/>
  <c r="E39"/>
  <c r="C30"/>
  <c r="E30"/>
  <c r="E29"/>
  <c r="G35"/>
  <c r="I35"/>
  <c r="E35"/>
  <c r="G37"/>
  <c r="I37"/>
  <c r="E37"/>
  <c r="G33"/>
  <c r="I33"/>
  <c r="E33"/>
  <c r="E34"/>
  <c r="G34"/>
  <c r="I34"/>
  <c r="E36"/>
  <c r="G36"/>
  <c r="I36"/>
  <c r="E3" i="67"/>
  <c r="R27" i="6"/>
  <c r="R6" i="1"/>
  <c r="R16"/>
  <c r="C18" i="43"/>
  <c r="C19"/>
  <c r="I72" i="39"/>
  <c r="J70"/>
  <c r="I67" i="40"/>
  <c r="J65"/>
  <c r="B7" i="67"/>
  <c r="C26" i="73"/>
  <c r="B2"/>
  <c r="D4"/>
  <c r="C28" i="44"/>
  <c r="C31"/>
  <c r="C35"/>
  <c r="C33"/>
  <c r="C27" i="73"/>
  <c r="C26" i="46"/>
  <c r="B2"/>
  <c r="D4"/>
  <c r="C27"/>
  <c r="B2" i="67"/>
  <c r="C25" i="43"/>
  <c r="C24"/>
  <c r="C22"/>
  <c r="C21"/>
  <c r="J67" i="40"/>
  <c r="K65"/>
  <c r="J72" i="39"/>
  <c r="K70"/>
  <c r="D19" i="9"/>
  <c r="C19"/>
  <c r="B4" i="12"/>
  <c r="B4" i="72"/>
  <c r="Q50" i="15"/>
  <c r="J59"/>
  <c r="J60"/>
  <c r="L51"/>
  <c r="L57"/>
  <c r="L60"/>
  <c r="L46"/>
  <c r="J14"/>
  <c r="J22"/>
  <c r="C56"/>
  <c r="C63"/>
  <c r="J19"/>
  <c r="J17"/>
  <c r="C15" i="44"/>
  <c r="Q72"/>
  <c r="C38"/>
  <c r="J16"/>
  <c r="J15"/>
  <c r="J25"/>
  <c r="Q51"/>
  <c r="J21"/>
  <c r="J19"/>
  <c r="L44" i="9"/>
  <c r="B3" i="46"/>
  <c r="B4"/>
  <c r="B3" i="73"/>
  <c r="C60" i="15"/>
  <c r="C58"/>
  <c r="B4" i="73"/>
  <c r="L43" i="9"/>
  <c r="D22"/>
  <c r="G19"/>
  <c r="C32"/>
  <c r="B4" i="67"/>
  <c r="B3"/>
  <c r="C28" i="43"/>
  <c r="C30"/>
  <c r="C32"/>
  <c r="B2"/>
  <c r="J13" i="15"/>
  <c r="J23"/>
  <c r="J16"/>
  <c r="J25"/>
  <c r="K72" i="39"/>
  <c r="L70"/>
  <c r="K67" i="40"/>
  <c r="L65"/>
  <c r="C20" i="9"/>
  <c r="B5" i="72"/>
  <c r="D21" i="9"/>
  <c r="D20"/>
  <c r="B5" i="12"/>
  <c r="C21" i="9"/>
  <c r="B5" i="43"/>
  <c r="Q49" i="15"/>
  <c r="Q70"/>
  <c r="E20" i="68"/>
  <c r="I20"/>
  <c r="J35" i="15"/>
  <c r="Q71"/>
  <c r="C55"/>
  <c r="C64"/>
  <c r="C57"/>
  <c r="C66"/>
  <c r="C67"/>
  <c r="C70"/>
  <c r="J24" i="44"/>
  <c r="J18"/>
  <c r="J27"/>
  <c r="C39"/>
  <c r="C32"/>
  <c r="C42"/>
  <c r="Q71"/>
  <c r="Q70"/>
  <c r="C43"/>
  <c r="I12" i="68"/>
  <c r="N43" i="9"/>
  <c r="G21"/>
  <c r="G20"/>
  <c r="G22"/>
  <c r="C42"/>
  <c r="O38"/>
  <c r="C33"/>
  <c r="C35"/>
  <c r="F42"/>
  <c r="O43"/>
  <c r="C34"/>
  <c r="J39" i="15"/>
  <c r="J40"/>
  <c r="M65" i="40"/>
  <c r="L67"/>
  <c r="L72" i="39"/>
  <c r="M70"/>
  <c r="B4" i="43"/>
  <c r="B3"/>
  <c r="F20" i="68"/>
  <c r="G20"/>
  <c r="Q69" i="15"/>
  <c r="Q48"/>
  <c r="Q54"/>
  <c r="C44" i="44"/>
  <c r="C45"/>
  <c r="B2"/>
  <c r="B4"/>
  <c r="I14" i="68"/>
  <c r="E42" i="9"/>
  <c r="P5" i="54"/>
  <c r="B46" i="63"/>
  <c r="M38" i="9"/>
  <c r="K27"/>
  <c r="K26"/>
  <c r="K25"/>
  <c r="N38"/>
  <c r="K28"/>
  <c r="D42"/>
  <c r="Q5" i="54"/>
  <c r="B47" i="63"/>
  <c r="D14" i="66"/>
  <c r="D63" i="9"/>
  <c r="N68"/>
  <c r="R5" i="54"/>
  <c r="B48" i="63"/>
  <c r="N65" i="40"/>
  <c r="N67"/>
  <c r="M67"/>
  <c r="N70" i="39"/>
  <c r="N72"/>
  <c r="M72"/>
  <c r="Q66" i="15"/>
  <c r="B2"/>
  <c r="B3"/>
  <c r="C46"/>
  <c r="J42"/>
  <c r="J43"/>
  <c r="Q57"/>
  <c r="Q68"/>
  <c r="B3" i="44"/>
  <c r="B5"/>
  <c r="C111" i="9"/>
  <c r="C104"/>
  <c r="C82"/>
  <c r="C81"/>
  <c r="C85"/>
  <c r="C86"/>
  <c r="D72"/>
  <c r="C103"/>
  <c r="C96"/>
  <c r="C91"/>
  <c r="D71"/>
  <c r="D66"/>
  <c r="N72"/>
  <c r="D70"/>
  <c r="D77"/>
  <c r="N75"/>
  <c r="C90"/>
  <c r="F14" i="66"/>
  <c r="B5"/>
  <c r="E14"/>
  <c r="J9" i="39"/>
  <c r="H9"/>
  <c r="F9"/>
  <c r="H9" i="40"/>
  <c r="J9"/>
  <c r="F9"/>
  <c r="Q58" i="15"/>
  <c r="Q63"/>
  <c r="Q67"/>
  <c r="Q76"/>
  <c r="C97" i="9"/>
  <c r="C113"/>
  <c r="C5" i="66"/>
  <c r="D5"/>
  <c r="C98" i="9"/>
  <c r="E98"/>
  <c r="E99"/>
  <c r="W9" i="40"/>
  <c r="AC9"/>
  <c r="V44"/>
  <c r="I44"/>
  <c r="S9" i="39"/>
  <c r="AA9"/>
  <c r="R49"/>
  <c r="AC9"/>
  <c r="V49"/>
  <c r="I49"/>
  <c r="W9"/>
  <c r="S9" i="40"/>
  <c r="AA9"/>
  <c r="R44"/>
  <c r="U9"/>
  <c r="AB9"/>
  <c r="T44"/>
  <c r="G44"/>
  <c r="AB9" i="39"/>
  <c r="T49"/>
  <c r="G49"/>
  <c r="U9"/>
  <c r="C99" i="9"/>
  <c r="C114"/>
  <c r="E114"/>
  <c r="E115"/>
  <c r="G54" i="39"/>
  <c r="H54"/>
  <c r="G53"/>
  <c r="H53"/>
  <c r="I53"/>
  <c r="J53"/>
  <c r="G48" i="40"/>
  <c r="H48"/>
  <c r="G49"/>
  <c r="H49"/>
  <c r="R45"/>
  <c r="E44"/>
  <c r="I49"/>
  <c r="J49"/>
  <c r="R50" i="39"/>
  <c r="E49"/>
  <c r="I48" i="40"/>
  <c r="J48"/>
  <c r="C115" i="9"/>
  <c r="D76"/>
  <c r="D74"/>
  <c r="N74"/>
  <c r="O77"/>
  <c r="C50" i="39"/>
  <c r="C49"/>
  <c r="C44" i="40"/>
  <c r="C45"/>
  <c r="E53" i="39"/>
  <c r="F53"/>
  <c r="E54"/>
  <c r="F54"/>
  <c r="E48" i="40"/>
  <c r="F48"/>
  <c r="E49"/>
  <c r="F49"/>
  <c r="I54" i="39"/>
  <c r="J54"/>
  <c r="O78" i="9"/>
  <c r="Q77"/>
  <c r="O79"/>
  <c r="B61" i="39"/>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O80" i="9"/>
  <c r="O81"/>
  <c r="B5" i="40"/>
  <c r="B4"/>
  <c r="B3"/>
  <c r="B3" i="39"/>
  <c r="B5"/>
  <c r="B4"/>
  <c r="E18" i="68"/>
  <c r="F18"/>
  <c r="I18"/>
  <c r="G18"/>
  <c r="I16"/>
  <c r="G16"/>
  <c r="E2" i="75"/>
  <c r="A8"/>
  <c r="J2"/>
  <c r="F2"/>
  <c r="E3"/>
  <c r="A9"/>
  <c r="J3"/>
  <c r="F3"/>
  <c r="A10"/>
  <c r="T35"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<sst xmlns="http://schemas.openxmlformats.org/spreadsheetml/2006/main" count="7744" uniqueCount="3199">
  <si>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</si>
  <si>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</si>
  <si>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</si>
  <si>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</si>
  <si>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</si>
  <si>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</si>
  <si>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</si>
  <si>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</si>
  <si>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</si>
  <si>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</si>
  <si>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</si>
  <si>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</si>
  <si>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</si>
  <si>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</si>
  <si>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</si>
  <si>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</si>
  <si>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</si>
  <si>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</si>
  <si>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</si>
  <si>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</si>
  <si>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</si>
  <si>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</si>
  <si>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</si>
  <si>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</si>
  <si>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</si>
  <si>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</si>
  <si>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</si>
  <si>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</si>
  <si>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</si>
  <si>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</si>
  <si>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</si>
  <si>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</si>
  <si>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</si>
  <si>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</si>
  <si>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</si>
  <si>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</si>
  <si>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</si>
  <si>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</si>
  <si>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</si>
  <si>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</si>
  <si>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</si>
  <si>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</si>
  <si>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</si>
  <si>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</si>
  <si>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</si>
  <si>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</si>
  <si>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</si>
  <si>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</si>
  <si>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</si>
  <si>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</si>
  <si>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</si>
  <si>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</si>
  <si>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</si>
  <si>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</si>
  <si>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</si>
  <si>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</si>
  <si>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</si>
  <si>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</si>
  <si>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</si>
  <si>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</si>
  <si>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</si>
  <si>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</si>
  <si>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</si>
  <si>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</si>
  <si>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</si>
  <si>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</si>
  <si>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</si>
  <si>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</si>
  <si>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</si>
  <si>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</si>
  <si>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</si>
  <si>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</si>
  <si>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</si>
  <si>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</si>
  <si>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</si>
  <si>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</si>
  <si>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</si>
  <si>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</si>
  <si>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</si>
  <si>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</si>
  <si>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</si>
  <si>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</si>
  <si>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</si>
  <si>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</si>
  <si>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</si>
  <si>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</si>
  <si>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</si>
  <si>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</si>
  <si>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</si>
  <si>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</si>
  <si>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</si>
  <si>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</si>
  <si>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</si>
  <si>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</si>
  <si>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</si>
  <si>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</si>
  <si>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</si>
  <si>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</si>
  <si>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</si>
  <si>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</si>
  <si>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</si>
  <si>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</si>
  <si>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</si>
  <si>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</si>
  <si>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</si>
  <si>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</si>
  <si>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</si>
  <si>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</si>
  <si>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</si>
  <si>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</si>
  <si>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</si>
  <si>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</si>
  <si>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</si>
  <si>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</si>
  <si>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</si>
  <si>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</si>
  <si>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</si>
  <si>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</si>
  <si>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</si>
  <si>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</si>
  <si>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</si>
  <si>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</si>
  <si>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</si>
  <si>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</si>
  <si>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</si>
  <si>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</si>
  <si>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</si>
  <si>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</si>
  <si>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</si>
  <si>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</si>
  <si>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</si>
  <si>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</si>
  <si>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</si>
  <si>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</si>
  <si>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</si>
  <si>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</si>
  <si>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</si>
  <si>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</si>
  <si>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</si>
  <si>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</si>
  <si>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</si>
  <si>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</si>
  <si>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</si>
  <si>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</si>
  <si>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</si>
  <si>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</si>
  <si>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</si>
  <si>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</si>
  <si>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</si>
  <si>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</si>
  <si>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</si>
  <si>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</si>
  <si>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</si>
  <si>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</si>
  <si>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</si>
  <si>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</si>
  <si>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</si>
  <si>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</si>
  <si>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</si>
  <si>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</si>
  <si>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</si>
  <si>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</si>
  <si>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</si>
  <si>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</si>
  <si>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</si>
  <si>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</si>
  <si>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</si>
  <si>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</si>
  <si>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</si>
  <si>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</si>
  <si>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</si>
  <si>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</si>
  <si>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</si>
  <si>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</si>
  <si>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</si>
  <si>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</si>
  <si>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</si>
  <si>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</si>
  <si>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</si>
  <si>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</si>
  <si>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</si>
  <si>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</si>
  <si>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</si>
  <si>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</si>
  <si>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</si>
  <si>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</si>
  <si>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</si>
  <si>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</si>
  <si>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</si>
  <si>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</si>
  <si>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</si>
  <si>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</si>
  <si>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</si>
  <si>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</si>
  <si>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</si>
  <si>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</si>
  <si>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</si>
  <si>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</si>
  <si>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</si>
  <si>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</si>
  <si>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</si>
  <si>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</si>
  <si>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</si>
  <si>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</si>
  <si>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</si>
  <si>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</si>
  <si>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</si>
  <si>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</si>
  <si>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</si>
  <si>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</si>
  <si>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</si>
  <si>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</si>
  <si>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</si>
  <si>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</si>
  <si>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</si>
  <si>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</si>
  <si>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</si>
  <si>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</si>
  <si>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</si>
  <si>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</si>
  <si>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</si>
  <si>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</si>
  <si>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</si>
  <si>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</si>
  <si>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</si>
  <si>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</si>
  <si>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</si>
  <si>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</si>
  <si>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</si>
  <si>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</si>
  <si>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</si>
  <si>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</si>
  <si>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</si>
  <si>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</si>
  <si>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</si>
  <si>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</si>
  <si>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</si>
  <si>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</si>
  <si>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</si>
  <si>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</si>
  <si>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</si>
  <si>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</si>
  <si>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</si>
  <si>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</si>
  <si>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</si>
  <si>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</si>
  <si>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</si>
  <si>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</si>
  <si>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</si>
  <si>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</si>
  <si>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</si>
  <si>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</si>
  <si>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</si>
  <si>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</si>
  <si>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</si>
  <si>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</si>
  <si>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</si>
  <si>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</si>
  <si>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</si>
  <si>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</si>
  <si>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</si>
  <si>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</si>
  <si>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</si>
  <si>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</si>
  <si>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</si>
  <si>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</si>
  <si>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</si>
  <si>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</si>
  <si>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</si>
  <si>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</si>
  <si>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</si>
  <si>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</si>
  <si>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</si>
  <si>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</si>
  <si>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</si>
  <si>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</si>
  <si>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</si>
  <si>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</si>
  <si>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</si>
  <si>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</si>
  <si>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</si>
  <si>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</si>
  <si>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</si>
  <si>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</si>
  <si>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</si>
  <si>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</si>
  <si>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</si>
  <si>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</si>
  <si>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</si>
  <si>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</si>
  <si>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</si>
  <si>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</si>
  <si>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</si>
  <si>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</si>
  <si>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</si>
  <si>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</si>
  <si>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</si>
  <si>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</si>
  <si>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</si>
  <si>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</si>
  <si>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</si>
  <si>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</si>
  <si>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</si>
  <si>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</si>
  <si>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</si>
  <si>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</si>
  <si>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</si>
  <si>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</si>
  <si>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</si>
  <si>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</si>
  <si>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</si>
  <si>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</si>
  <si>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</si>
  <si>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</si>
  <si>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</si>
  <si>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</si>
  <si>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</si>
  <si>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</si>
  <si>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</si>
  <si>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</si>
  <si>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</si>
  <si>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</si>
  <si>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</si>
  <si>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</si>
  <si>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</si>
  <si>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</si>
  <si>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</si>
  <si>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</si>
  <si>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</si>
  <si>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</si>
  <si>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</si>
  <si>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</si>
  <si>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</si>
  <si>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</si>
  <si>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</si>
  <si>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</si>
  <si>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</si>
  <si>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</si>
  <si>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</si>
  <si>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</si>
  <si>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</si>
  <si>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</si>
  <si>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</si>
  <si>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</si>
  <si>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</si>
  <si>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</si>
  <si>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</si>
  <si>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</si>
  <si>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</si>
  <si>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</si>
  <si>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</si>
  <si>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</si>
  <si>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</si>
  <si>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</si>
  <si>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</si>
  <si>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</si>
  <si>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</si>
  <si>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</si>
  <si>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</si>
  <si>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</si>
  <si>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</si>
  <si>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</si>
  <si>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</si>
  <si>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</si>
  <si>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</si>
  <si>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</si>
  <si>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</si>
  <si>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</si>
  <si>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</si>
  <si>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</si>
  <si>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</si>
  <si>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</si>
  <si>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</si>
  <si>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</si>
  <si>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</si>
  <si>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</si>
  <si>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</si>
  <si>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</si>
  <si>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</si>
  <si>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</si>
  <si>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</si>
  <si>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</si>
  <si>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</si>
  <si>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</si>
  <si>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</si>
  <si>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</si>
  <si>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</si>
  <si>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</si>
  <si>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</si>
  <si>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</si>
  <si>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</si>
  <si>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</si>
  <si>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</si>
  <si>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</si>
  <si>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</si>
  <si>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</si>
  <si>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</si>
  <si>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</si>
  <si>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</si>
  <si>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</si>
  <si>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</si>
  <si>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</si>
  <si>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</si>
  <si>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</si>
  <si>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</si>
  <si>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</si>
  <si>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</si>
  <si>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</si>
  <si>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</si>
  <si>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</si>
  <si>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</si>
  <si>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</si>
  <si>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</si>
  <si>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</si>
  <si>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</si>
  <si>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</si>
  <si>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</si>
  <si>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</si>
  <si>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</si>
  <si>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</si>
  <si>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</si>
  <si>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</si>
  <si>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</si>
  <si>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</si>
  <si>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</si>
  <si>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</si>
  <si>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</si>
  <si>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</si>
  <si>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</si>
  <si>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</si>
  <si>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</si>
  <si>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</si>
  <si>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</si>
  <si>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</si>
  <si>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</si>
  <si>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</si>
  <si>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</si>
  <si>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</si>
  <si>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</si>
  <si>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</si>
  <si>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</si>
  <si>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</si>
  <si>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</si>
  <si>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</si>
  <si>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</si>
  <si>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</si>
  <si>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</si>
  <si>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</si>
  <si>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</si>
  <si>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</si>
  <si>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</si>
  <si>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</si>
  <si>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</si>
  <si>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</si>
  <si>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</si>
  <si>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</si>
  <si>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</si>
  <si>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</si>
  <si>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</si>
  <si>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</si>
  <si>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</si>
  <si>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</si>
  <si>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</si>
  <si>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</si>
  <si>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</si>
  <si>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</si>
  <si>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</si>
  <si>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</si>
  <si>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</si>
  <si>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</si>
  <si>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</si>
  <si>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</si>
  <si>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</si>
  <si>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</si>
  <si>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</si>
  <si>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</si>
  <si>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</si>
  <si>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</si>
  <si>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</si>
  <si>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</si>
  <si>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</si>
  <si>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</si>
  <si>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</si>
  <si>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</si>
  <si>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</si>
  <si>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</si>
  <si>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</si>
  <si>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</si>
  <si>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</si>
  <si>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</si>
  <si>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</si>
  <si>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</si>
  <si>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</si>
  <si>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</si>
  <si>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</si>
  <si>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</si>
  <si>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</si>
  <si>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</si>
  <si>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</si>
  <si>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</si>
  <si>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</si>
  <si>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</si>
  <si>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</si>
  <si>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</si>
  <si>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</si>
  <si>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</si>
  <si>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</si>
  <si>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</si>
  <si>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</si>
  <si>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</si>
  <si>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</si>
  <si>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</si>
  <si>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</si>
  <si>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</si>
  <si>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</si>
  <si>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</si>
  <si>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</si>
  <si>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</si>
  <si>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</si>
  <si>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</si>
  <si>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</si>
  <si>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</si>
  <si>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</si>
  <si>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</si>
  <si>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</si>
  <si>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</si>
  <si>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</si>
  <si>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</si>
  <si>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</si>
  <si>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</si>
  <si>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</si>
  <si>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</si>
  <si>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</si>
  <si>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</si>
  <si>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</si>
  <si>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</si>
  <si>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</si>
  <si>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</si>
  <si>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</si>
  <si>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</si>
  <si>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</si>
  <si>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</si>
  <si>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</si>
  <si>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</si>
  <si>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</si>
  <si>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</si>
  <si>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</si>
  <si>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</si>
  <si>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</si>
  <si>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</si>
  <si>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</si>
  <si>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</si>
  <si>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</si>
  <si>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</si>
  <si>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</si>
  <si>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</si>
  <si>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</si>
  <si>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</si>
  <si>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</si>
  <si>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</si>
  <si>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</si>
  <si>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</si>
  <si>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</si>
  <si>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</si>
  <si>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</si>
  <si>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</si>
  <si>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</si>
  <si>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</si>
  <si>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</si>
  <si>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</si>
  <si>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</si>
  <si>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</si>
  <si>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</si>
  <si>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</si>
  <si>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</si>
  <si>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</si>
  <si>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</si>
  <si>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</si>
  <si>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</si>
  <si>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</si>
  <si>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</si>
  <si>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</si>
  <si>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</si>
  <si>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</si>
  <si>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</si>
  <si>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</si>
  <si>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</si>
  <si>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</si>
  <si>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</si>
  <si>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</si>
  <si>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</si>
  <si>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</si>
  <si>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</si>
  <si>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</si>
  <si>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</si>
  <si>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</si>
  <si>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</si>
  <si>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</si>
  <si>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</si>
  <si>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</si>
  <si>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</si>
  <si>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</si>
  <si>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</si>
  <si>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</si>
  <si>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</si>
  <si>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</si>
  <si>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</si>
  <si>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</si>
  <si>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</si>
  <si>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</si>
  <si>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</si>
  <si>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</si>
  <si>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</si>
  <si>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</si>
  <si>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</si>
  <si>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</si>
  <si>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</si>
  <si>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</si>
  <si>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</si>
  <si>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</si>
  <si>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</si>
  <si>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</si>
  <si>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</si>
  <si>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</si>
  <si>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</si>
  <si>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</si>
  <si>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</si>
  <si>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</si>
  <si>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</si>
  <si>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</si>
  <si>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</si>
  <si>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</si>
  <si>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</si>
  <si>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</si>
  <si>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</si>
  <si>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</si>
  <si>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</si>
  <si>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</si>
  <si>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</si>
  <si>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</si>
  <si>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</si>
  <si>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</si>
  <si>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</si>
  <si>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</si>
  <si>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</si>
  <si>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</si>
  <si>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</si>
  <si>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</si>
  <si>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</si>
  <si>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</si>
  <si>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</si>
  <si>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</si>
  <si>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</si>
  <si>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</si>
  <si>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</si>
  <si>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</si>
  <si>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</si>
  <si>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</si>
  <si>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</si>
  <si>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</si>
  <si>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</si>
  <si>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</si>
  <si>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</si>
  <si>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</si>
  <si>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</si>
  <si>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</si>
  <si>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</si>
  <si>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</si>
  <si>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</si>
  <si>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</si>
  <si>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</si>
  <si>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</si>
  <si>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</si>
  <si>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</si>
  <si>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</si>
  <si>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</si>
  <si>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</si>
  <si>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</si>
  <si>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</si>
  <si>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</si>
  <si>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</si>
  <si>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</si>
  <si>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</si>
  <si>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</si>
  <si>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</si>
  <si>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</si>
  <si>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</si>
  <si>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</si>
  <si>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</si>
  <si>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</si>
  <si>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</si>
  <si>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</si>
  <si>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</si>
  <si>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</si>
  <si>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</si>
  <si>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</si>
  <si>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</si>
  <si>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</si>
  <si>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</si>
  <si>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</si>
  <si>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</si>
  <si>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</si>
  <si>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</si>
  <si>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</si>
  <si>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</si>
  <si>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</si>
  <si>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</si>
  <si>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</si>
  <si>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</si>
  <si>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</si>
  <si>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</si>
  <si>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</si>
  <si>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</si>
  <si>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</si>
  <si>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</si>
  <si>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</si>
  <si>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</si>
  <si>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</si>
  <si>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</si>
  <si>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</si>
  <si>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</si>
  <si>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</si>
  <si>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</si>
  <si>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</si>
  <si>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</si>
  <si>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</si>
  <si>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</si>
  <si>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</si>
  <si>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</si>
  <si>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</si>
  <si>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</si>
  <si>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</si>
  <si>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</si>
  <si>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</si>
  <si>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</si>
  <si>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</si>
  <si>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</si>
  <si>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</si>
  <si>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</si>
  <si>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</si>
  <si>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</si>
  <si>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</si>
  <si>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</si>
  <si>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</si>
  <si>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</si>
  <si>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</si>
  <si>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</si>
  <si>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</si>
  <si>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</si>
  <si>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</si>
  <si>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</si>
  <si>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</si>
  <si>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</si>
  <si>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</si>
  <si>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</si>
  <si>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</si>
  <si>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</si>
  <si>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</si>
  <si>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</si>
  <si>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</si>
  <si>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</si>
  <si>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</si>
  <si>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</si>
  <si>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</si>
  <si>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</si>
  <si>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</si>
  <si>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</si>
  <si>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</si>
  <si>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</si>
  <si>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</si>
  <si>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</si>
  <si>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</si>
  <si>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</si>
  <si>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</si>
  <si>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</si>
  <si>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</si>
  <si>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</si>
  <si>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</si>
  <si>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</si>
  <si>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</si>
  <si>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</si>
  <si>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</si>
  <si>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</si>
  <si>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</si>
  <si>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</si>
  <si>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</si>
  <si>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</si>
  <si>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</si>
  <si>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</si>
  <si>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</si>
  <si>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</si>
  <si>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</si>
  <si>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</si>
  <si>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</si>
  <si>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</si>
  <si>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</si>
  <si>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</si>
  <si>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</si>
  <si>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</si>
  <si>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</si>
  <si>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</si>
  <si>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</si>
  <si>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</si>
  <si>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</si>
  <si>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</si>
  <si>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</si>
  <si>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</si>
  <si>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</si>
  <si>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</si>
  <si>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</si>
  <si>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</si>
  <si>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</si>
  <si>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</si>
  <si>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</si>
  <si>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</si>
  <si>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</si>
  <si>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</si>
  <si>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</si>
  <si>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</si>
  <si>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</si>
  <si>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</si>
  <si>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</si>
  <si>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</si>
  <si>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</si>
  <si>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</si>
  <si>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</si>
  <si>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</si>
  <si>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</si>
  <si>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</si>
  <si>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</si>
  <si>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</si>
  <si>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</si>
  <si>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</si>
  <si>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</si>
  <si>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</si>
  <si>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</si>
  <si>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</si>
  <si>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</si>
  <si>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</si>
  <si>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</si>
  <si>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</si>
  <si>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</si>
  <si>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</si>
  <si>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</si>
  <si>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</si>
  <si>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</si>
  <si>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</si>
  <si>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</si>
  <si>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</si>
  <si>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</si>
  <si>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</si>
  <si>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</si>
  <si>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</si>
  <si>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</si>
  <si>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</si>
  <si>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</si>
  <si>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</si>
  <si>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</si>
  <si>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</si>
  <si>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</si>
  <si>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</si>
  <si>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</si>
  <si>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</si>
  <si>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</si>
  <si>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</si>
  <si>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</si>
  <si>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</si>
  <si>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</si>
  <si>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</si>
  <si>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</si>
  <si>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</si>
  <si>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</si>
  <si>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</si>
  <si>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</si>
  <si>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</si>
  <si>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</si>
  <si>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</si>
  <si>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</si>
  <si>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</si>
  <si>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</si>
  <si>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</si>
  <si>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</si>
  <si>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</si>
  <si>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</si>
  <si>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</si>
  <si>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</si>
  <si>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</si>
  <si>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</si>
  <si>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</si>
  <si>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</si>
  <si>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</si>
  <si>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</si>
  <si>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</si>
  <si>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</si>
  <si>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</si>
  <si>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</si>
  <si>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</si>
  <si>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</si>
  <si>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</si>
  <si>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</si>
  <si>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</si>
  <si>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</si>
  <si>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</si>
  <si>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</si>
  <si>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</si>
  <si>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</si>
  <si>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</si>
  <si>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</si>
  <si>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</si>
  <si>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</si>
  <si>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</si>
  <si>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</si>
  <si>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</si>
  <si>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</si>
  <si>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</si>
  <si>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</si>
  <si>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</si>
  <si>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</si>
  <si>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</si>
  <si>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</si>
  <si>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</si>
  <si>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</si>
  <si>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</si>
  <si>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</si>
  <si>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</si>
  <si>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</si>
  <si>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</si>
  <si>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</si>
  <si>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</si>
  <si>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</si>
  <si>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</si>
  <si>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</si>
  <si>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</si>
  <si>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</si>
  <si>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</si>
  <si>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</si>
  <si>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</si>
  <si>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</si>
  <si>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</si>
  <si>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</si>
  <si>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</si>
  <si>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</si>
  <si>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</si>
  <si>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</si>
  <si>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</si>
  <si>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</si>
  <si>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</si>
  <si>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</si>
  <si>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</si>
  <si>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</si>
  <si>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</si>
  <si>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</si>
  <si>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</si>
  <si>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</si>
  <si>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</si>
  <si>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</si>
  <si>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</si>
  <si>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</si>
  <si>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</si>
  <si>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</si>
  <si>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</si>
  <si>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</si>
  <si>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</si>
  <si>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</si>
  <si>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</si>
  <si>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</si>
  <si>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</si>
  <si>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</si>
  <si>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</si>
  <si>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</si>
  <si>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</si>
  <si>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</si>
  <si>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</si>
  <si>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</si>
  <si>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</si>
  <si>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</si>
  <si>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</si>
  <si>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</si>
  <si>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</si>
  <si>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</si>
  <si>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</si>
  <si>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</si>
  <si>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</si>
  <si>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</si>
  <si>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</si>
  <si>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</si>
  <si>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</si>
  <si>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</si>
  <si>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</si>
  <si>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</si>
  <si>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</si>
  <si>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</si>
  <si>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</si>
  <si>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</si>
  <si>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</si>
  <si>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</si>
  <si>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</si>
  <si>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</si>
  <si>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</si>
  <si>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</si>
  <si>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</si>
  <si>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</si>
  <si>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</si>
  <si>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</si>
  <si>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</si>
  <si>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</si>
  <si>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</si>
  <si>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</si>
  <si>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</si>
  <si>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</si>
  <si>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</si>
  <si>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</si>
  <si>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</si>
  <si>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</si>
  <si>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</si>
  <si>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</si>
  <si>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</si>
  <si>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</si>
  <si>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</si>
  <si>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</si>
  <si>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</si>
  <si>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</si>
  <si>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</si>
  <si>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</si>
  <si>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</si>
  <si>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</si>
  <si>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</si>
  <si>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</si>
  <si>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</si>
  <si>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</si>
  <si>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</si>
  <si>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</si>
  <si>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</si>
  <si>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</si>
  <si>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</si>
  <si>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</si>
  <si>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</si>
  <si>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</si>
  <si>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</si>
  <si>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</si>
  <si>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</si>
  <si>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</si>
  <si>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</si>
  <si>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</si>
  <si>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</si>
  <si>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</si>
  <si>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</si>
  <si>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</si>
  <si>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</si>
  <si>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</si>
  <si>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</si>
  <si>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</si>
  <si>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</si>
  <si>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</si>
  <si>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</si>
  <si>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</si>
  <si>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</si>
  <si>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</si>
  <si>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</si>
  <si>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</si>
  <si>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</si>
  <si>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</si>
  <si>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</si>
  <si>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</si>
  <si>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</si>
  <si>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</si>
  <si>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</si>
  <si>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</si>
  <si>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</si>
  <si>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</si>
  <si>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</si>
  <si>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</si>
  <si>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</si>
  <si>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</si>
  <si>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</si>
  <si>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</si>
  <si>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</si>
  <si>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</si>
  <si>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</si>
  <si>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</si>
  <si>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</si>
  <si>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</si>
  <si>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</si>
  <si>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</si>
  <si>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</si>
  <si>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</si>
  <si>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</si>
  <si>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</si>
  <si>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</si>
  <si>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</si>
  <si>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</si>
  <si>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</si>
  <si>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</si>
  <si>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</si>
  <si>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</si>
  <si>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</si>
  <si>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</si>
  <si>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</si>
  <si>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</si>
  <si>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</si>
  <si>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</si>
  <si>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</si>
  <si>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</si>
  <si>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</si>
  <si>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</si>
  <si>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</si>
  <si>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</si>
  <si>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</si>
  <si>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</si>
  <si>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</si>
  <si>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</si>
  <si>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</si>
  <si>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</si>
  <si>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</si>
  <si>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</si>
  <si>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</si>
  <si>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</si>
  <si>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</si>
  <si>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</si>
  <si>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</si>
  <si>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</si>
  <si>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</si>
  <si>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</si>
  <si>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</si>
  <si>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</si>
  <si>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</si>
  <si>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</si>
  <si>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</si>
  <si>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</si>
  <si>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</si>
  <si>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</si>
  <si>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</si>
  <si>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</si>
  <si>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</si>
  <si>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</si>
  <si>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</si>
  <si>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</si>
  <si>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</si>
  <si>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</si>
  <si>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</si>
  <si>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</si>
  <si>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</si>
  <si>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</si>
  <si>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</si>
  <si>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</si>
  <si>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</si>
  <si>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</si>
  <si>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</si>
  <si>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</si>
  <si>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</si>
  <si>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</si>
  <si>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</si>
  <si>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</si>
  <si>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</si>
  <si>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</si>
  <si>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</si>
  <si>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</si>
  <si>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</si>
  <si>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</si>
  <si>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</si>
  <si>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</si>
  <si>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</si>
  <si>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</si>
  <si>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</si>
  <si>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</si>
  <si>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</si>
  <si>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</si>
  <si>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</si>
  <si>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</si>
  <si>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</si>
  <si>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</si>
  <si>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</si>
  <si>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</si>
  <si>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</si>
  <si>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</si>
  <si>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</si>
  <si>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</si>
  <si>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</si>
  <si>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</si>
  <si>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</si>
  <si>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</si>
  <si>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</si>
  <si>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</si>
  <si>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</si>
  <si>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</si>
  <si>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</si>
  <si>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</si>
  <si>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</si>
  <si>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</si>
  <si>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</si>
  <si>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</si>
  <si>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</si>
  <si>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</si>
  <si>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</si>
  <si>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</si>
  <si>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</si>
  <si>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</si>
  <si>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</si>
  <si>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</si>
  <si>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</si>
  <si>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</si>
  <si>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</si>
  <si>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</si>
  <si>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</si>
  <si>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</si>
  <si>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</si>
  <si>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</si>
  <si>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</si>
  <si>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</si>
  <si>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</si>
  <si>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</si>
  <si>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</si>
  <si>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</si>
  <si>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</si>
  <si>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</si>
  <si>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</si>
  <si>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</si>
  <si>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</si>
  <si>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</si>
  <si>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</si>
  <si>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</si>
  <si>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</si>
  <si>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</si>
  <si>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</si>
  <si>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</si>
  <si>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</si>
  <si>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</si>
  <si>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</si>
  <si>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</si>
  <si>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</si>
  <si>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</si>
  <si>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</si>
  <si>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</si>
  <si>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</si>
  <si>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</si>
  <si>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</si>
  <si>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</si>
  <si>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</si>
  <si>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</si>
  <si>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</si>
  <si>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</si>
  <si>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</si>
  <si>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</si>
  <si>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</si>
  <si>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</si>
  <si>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</si>
  <si>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</si>
  <si>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</si>
  <si>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</si>
  <si>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</si>
  <si>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</si>
  <si>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</si>
  <si>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</si>
  <si>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</si>
  <si>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</si>
  <si>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</si>
  <si>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</si>
  <si>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</si>
  <si>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</si>
  <si>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</si>
  <si>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</si>
  <si>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</si>
  <si>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</si>
  <si>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</si>
  <si>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</si>
  <si>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</si>
  <si>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</si>
  <si>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</si>
  <si>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</si>
  <si>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</si>
  <si>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</si>
  <si>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</si>
  <si>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</si>
  <si>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</si>
  <si>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</si>
  <si>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</si>
  <si>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</si>
  <si>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</si>
  <si>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</si>
  <si>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</si>
  <si>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</si>
  <si>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</si>
  <si>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</si>
  <si>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</si>
  <si>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</si>
  <si>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</si>
  <si>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</si>
  <si>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</si>
  <si>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</si>
  <si>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</si>
  <si>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</si>
  <si>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</si>
  <si>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</si>
  <si>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</si>
  <si>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</si>
  <si>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</si>
  <si>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</si>
  <si>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</si>
  <si>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</si>
  <si>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</si>
  <si>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</si>
  <si>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</si>
  <si>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</si>
  <si>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</si>
  <si>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</si>
  <si>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</si>
  <si>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</si>
  <si>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</si>
  <si>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</si>
  <si>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</si>
  <si>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</si>
  <si>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</si>
  <si>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</si>
  <si>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</si>
  <si>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</si>
  <si>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</si>
  <si>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</si>
  <si>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</si>
  <si>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</si>
  <si>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</si>
  <si>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</si>
  <si>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</si>
  <si>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</si>
  <si>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</si>
  <si>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</si>
  <si>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</si>
  <si>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</si>
  <si>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</si>
  <si>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</si>
  <si>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</si>
  <si>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</si>
  <si>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</si>
  <si>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</si>
  <si>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</si>
  <si>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</si>
  <si>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</si>
  <si>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</si>
  <si>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</si>
  <si>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</si>
  <si>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</si>
  <si>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</si>
  <si>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</si>
  <si>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</si>
  <si>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</si>
  <si>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</si>
  <si>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</si>
  <si>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</si>
  <si>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</si>
  <si>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</si>
  <si>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</si>
  <si>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</si>
  <si>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</si>
  <si>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</si>
  <si>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</si>
  <si>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</si>
  <si>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</si>
  <si>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</si>
  <si>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</si>
  <si>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</si>
  <si>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</si>
  <si>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</si>
  <si>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</si>
  <si>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</si>
  <si>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</si>
  <si>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</si>
  <si>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</si>
  <si>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</si>
  <si>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</si>
  <si>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</si>
  <si>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</si>
  <si>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</si>
  <si>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</si>
  <si>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</si>
  <si>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</si>
  <si>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</si>
  <si>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</si>
  <si>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</si>
  <si>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</si>
  <si>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</si>
  <si>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</si>
  <si>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</si>
  <si>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</si>
  <si>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</si>
  <si>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</si>
  <si>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</si>
  <si>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</si>
  <si>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</si>
  <si>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</si>
  <si>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</si>
  <si>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</si>
  <si>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</si>
  <si>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</si>
  <si>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</si>
  <si>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</si>
  <si>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</si>
  <si>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</si>
  <si>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</si>
  <si>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</si>
  <si>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</si>
  <si>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</si>
  <si>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</si>
  <si>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</si>
  <si>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</si>
  <si>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</si>
  <si>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</si>
  <si>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</si>
  <si>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</si>
  <si>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</si>
  <si>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</si>
  <si>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</si>
  <si>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</si>
  <si>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</si>
  <si>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</si>
  <si>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</si>
  <si>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</si>
  <si>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</si>
  <si>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</si>
  <si>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</si>
  <si>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</si>
  <si>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</si>
  <si>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</si>
  <si>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</si>
  <si>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</si>
  <si>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</si>
  <si>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</si>
  <si>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</si>
  <si>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</si>
  <si>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</si>
  <si>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</si>
  <si>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</si>
  <si>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</si>
  <si>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</si>
  <si>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</si>
  <si>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</si>
  <si>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</si>
  <si>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</si>
  <si>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</si>
  <si>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</si>
  <si>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</si>
  <si>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</si>
  <si>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</si>
  <si>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</si>
  <si>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</si>
  <si>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</si>
  <si>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</si>
  <si>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</si>
  <si>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</si>
  <si>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</si>
  <si>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</si>
  <si>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</si>
  <si>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</si>
  <si>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</si>
  <si>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</si>
  <si>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</si>
  <si>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</si>
  <si>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</si>
  <si>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</si>
  <si>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</si>
  <si>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</si>
  <si>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</si>
  <si>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</si>
  <si>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</si>
  <si>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</si>
  <si>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</si>
  <si>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</si>
  <si>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</si>
  <si>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</si>
  <si>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</si>
  <si>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</si>
  <si>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</si>
  <si>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</si>
  <si>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</si>
  <si>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</si>
  <si>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</si>
  <si>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</si>
  <si>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</si>
  <si>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</si>
  <si>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</si>
  <si>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</si>
  <si>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</si>
  <si>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</si>
  <si>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</si>
  <si>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</si>
  <si>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</si>
  <si>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</si>
  <si>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</si>
  <si>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</si>
  <si>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</si>
  <si>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</si>
  <si>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</si>
  <si>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</si>
  <si>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</si>
  <si>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</si>
  <si>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</si>
  <si>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</si>
  <si>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</si>
  <si>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</si>
  <si>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</si>
  <si>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</si>
  <si>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</si>
  <si>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</si>
  <si>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</si>
  <si>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</si>
  <si>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</si>
  <si>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</si>
  <si>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</si>
  <si>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</si>
  <si>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</si>
  <si>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</si>
  <si>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</si>
  <si>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</si>
  <si>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</si>
  <si>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</si>
  <si>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</si>
  <si>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</si>
  <si>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</si>
  <si>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</si>
  <si>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</si>
  <si>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</si>
  <si>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</si>
  <si>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</si>
  <si>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</si>
  <si>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</si>
  <si>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</si>
  <si>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</si>
  <si>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</si>
  <si>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</si>
  <si>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</si>
  <si>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</si>
  <si>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</si>
  <si>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</si>
  <si>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</si>
  <si>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</si>
  <si>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</si>
  <si>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</si>
  <si>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</si>
  <si>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</si>
  <si>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</si>
  <si>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</si>
  <si>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</si>
  <si>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</si>
  <si>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</si>
  <si>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</si>
  <si>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</si>
  <si>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</si>
  <si>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</si>
  <si>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</si>
  <si>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</si>
  <si>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</si>
  <si>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</si>
  <si>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</si>
  <si>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</si>
  <si>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</si>
  <si>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</si>
  <si>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</si>
  <si>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</si>
  <si>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</si>
  <si>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</si>
  <si>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</si>
  <si>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</si>
  <si>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</si>
  <si>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</si>
  <si>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</si>
  <si>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</si>
  <si>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</si>
  <si>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</si>
  <si>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</si>
  <si>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</si>
  <si>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</si>
  <si>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</si>
  <si>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</si>
  <si>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</si>
  <si>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</si>
  <si>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</si>
  <si>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</si>
  <si>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</si>
  <si>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</si>
  <si>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</si>
  <si>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</si>
  <si>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</si>
  <si>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</si>
  <si>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</si>
  <si>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</si>
  <si>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</si>
  <si>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</si>
  <si>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</si>
  <si>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</si>
  <si>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</si>
  <si>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</si>
  <si>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</si>
  <si>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</si>
  <si>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</si>
  <si>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</si>
  <si>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</si>
  <si>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</si>
  <si>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</si>
  <si>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</si>
  <si>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</si>
  <si>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</si>
  <si>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</si>
  <si>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</si>
  <si>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</si>
  <si>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</si>
  <si>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</si>
  <si>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</si>
  <si>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</si>
  <si>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</si>
  <si>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</si>
  <si>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</si>
  <si>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</si>
  <si>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</si>
  <si>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</si>
  <si>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</si>
  <si>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</si>
  <si>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</si>
  <si>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</si>
  <si>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</si>
  <si>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</si>
  <si>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</si>
  <si>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</si>
  <si>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</si>
  <si>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</si>
  <si>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</si>
  <si>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</si>
  <si>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</si>
  <si>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</si>
  <si>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</si>
  <si>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</si>
  <si>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</si>
  <si>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</si>
  <si>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</si>
  <si>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</si>
  <si>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</si>
  <si>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</si>
  <si>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</si>
  <si>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</si>
  <si>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</si>
  <si>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</si>
  <si>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</si>
  <si>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</si>
  <si>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</si>
  <si>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</si>
  <si>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</si>
  <si>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</si>
  <si>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</si>
  <si>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</si>
  <si>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</si>
  <si>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</si>
  <si>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</si>
  <si>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</si>
  <si>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</si>
  <si>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</si>
  <si>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</si>
  <si>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</si>
  <si>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</si>
  <si>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</si>
  <si>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</si>
  <si>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</si>
  <si>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</si>
  <si>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</si>
  <si>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</si>
  <si>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</si>
  <si>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</si>
  <si>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</si>
  <si>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</si>
  <si>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</si>
  <si>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</si>
  <si>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</si>
  <si>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</si>
  <si>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</si>
  <si>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</si>
  <si>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</si>
  <si>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</si>
  <si>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</si>
  <si>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</si>
  <si>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</si>
  <si>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</si>
  <si>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</si>
  <si>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</si>
  <si>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</si>
  <si>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</si>
  <si>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</si>
  <si>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</si>
  <si>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</si>
  <si>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</si>
  <si>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</si>
  <si>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</si>
  <si>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</si>
  <si>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</si>
  <si>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</si>
  <si>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</si>
  <si>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</si>
  <si>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</si>
  <si>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</si>
  <si>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</si>
  <si>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</si>
  <si>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</si>
  <si>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</si>
  <si>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</si>
  <si>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</si>
  <si>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</si>
  <si>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</si>
  <si>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</si>
  <si>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</si>
  <si>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</si>
  <si>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</si>
  <si>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</si>
  <si>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</si>
  <si>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</si>
  <si>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</si>
  <si>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</si>
  <si>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</si>
  <si>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</si>
  <si>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</si>
  <si>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</si>
  <si>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</si>
  <si>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</si>
  <si>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</si>
  <si>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</si>
  <si>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</si>
  <si>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</si>
  <si>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</si>
  <si>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</si>
  <si>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</si>
  <si>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</si>
  <si>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</si>
  <si>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</si>
  <si>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</si>
  <si>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</si>
  <si>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</si>
  <si>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</si>
  <si>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</si>
  <si>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</si>
  <si>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</si>
  <si>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</si>
  <si>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</si>
  <si>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</si>
  <si>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</si>
  <si>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</si>
  <si>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</si>
  <si>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</si>
  <si>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</si>
  <si>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</si>
  <si>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</si>
  <si>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</si>
  <si>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</si>
  <si>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</si>
  <si>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</si>
  <si>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</si>
  <si>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</si>
  <si>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</si>
  <si>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</si>
  <si>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</si>
  <si>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</si>
  <si>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</si>
  <si>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</si>
  <si>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</si>
  <si>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</si>
  <si>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</si>
  <si>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</si>
  <si>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</si>
  <si>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</si>
  <si>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</si>
  <si>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</si>
  <si>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</si>
  <si>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</si>
  <si>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</si>
  <si>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</si>
  <si>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</si>
  <si>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</si>
  <si>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</si>
  <si>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</si>
  <si>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</si>
  <si>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</si>
  <si>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</si>
  <si>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</si>
  <si>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</si>
  <si>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</si>
  <si>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</si>
  <si>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</si>
  <si>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</si>
  <si>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</si>
  <si>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</si>
  <si>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</si>
  <si>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</si>
  <si>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</si>
  <si>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</si>
  <si>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</si>
  <si>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</si>
  <si>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</si>
  <si>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</si>
  <si>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</si>
  <si>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</si>
  <si>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</si>
  <si>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</si>
  <si>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</si>
  <si>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</si>
  <si>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</si>
  <si>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</si>
  <si>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</si>
  <si>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</si>
  <si>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</si>
  <si>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</si>
  <si>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</si>
  <si>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</si>
  <si>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</si>
  <si>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</si>
  <si>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</si>
  <si>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</si>
  <si>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</si>
  <si>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</si>
  <si>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</si>
  <si>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</si>
  <si>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</si>
  <si>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</si>
  <si>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</si>
  <si>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</si>
  <si>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</si>
  <si>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</si>
  <si>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</si>
  <si>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</si>
  <si>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</si>
  <si>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</si>
  <si>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</si>
  <si>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</si>
  <si>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</si>
  <si>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</si>
  <si>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</si>
  <si>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</si>
  <si>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</si>
  <si>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</si>
  <si>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</si>
  <si>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</si>
  <si>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</si>
  <si>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</si>
  <si>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</si>
  <si>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</si>
  <si>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</si>
  <si>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</si>
  <si>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</si>
  <si>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</si>
  <si>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</si>
  <si>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</si>
  <si>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</si>
  <si>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</si>
  <si>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</si>
  <si>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</si>
  <si>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</si>
  <si>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</si>
  <si>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</si>
  <si>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</si>
  <si>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</si>
  <si>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</si>
  <si>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</si>
  <si>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</si>
  <si>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</si>
  <si>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</si>
  <si>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</si>
  <si>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</si>
  <si>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</si>
  <si>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</si>
  <si>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</si>
  <si>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</si>
  <si>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</si>
  <si>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</si>
  <si>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</si>
  <si>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</si>
  <si>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</si>
  <si>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</si>
  <si>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</si>
  <si>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</si>
  <si>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</si>
  <si>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</si>
  <si>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</si>
  <si>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</si>
  <si>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</si>
  <si>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</si>
  <si>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</si>
  <si>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</si>
  <si>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</si>
  <si>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</si>
  <si>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</si>
  <si>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</si>
  <si>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</si>
  <si>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</si>
  <si>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</si>
  <si>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</si>
  <si>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</si>
  <si>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</si>
  <si>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</si>
  <si>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</si>
  <si>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</si>
  <si>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</si>
  <si>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</si>
  <si>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</si>
  <si>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</si>
  <si>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</si>
  <si>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</si>
  <si>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</si>
  <si>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</si>
  <si>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</si>
  <si>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</si>
  <si>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</si>
  <si>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</si>
  <si>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</si>
  <si>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</si>
  <si>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</si>
  <si>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</si>
  <si>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</si>
  <si>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</si>
  <si>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</si>
  <si>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</si>
  <si>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</si>
  <si>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</si>
  <si>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</si>
  <si>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</si>
  <si>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</si>
  <si>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</si>
  <si>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</si>
  <si>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</si>
  <si>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</si>
  <si>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</si>
  <si>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</si>
  <si>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</si>
  <si>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</si>
  <si>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</si>
  <si>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</si>
  <si>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</si>
  <si>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</si>
  <si>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</si>
  <si>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</si>
  <si>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</si>
  <si>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</si>
  <si>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</si>
  <si>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</si>
  <si>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</si>
  <si>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</si>
  <si>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</si>
  <si>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</si>
  <si>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</si>
  <si>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</si>
  <si>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</si>
  <si>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</si>
  <si>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</si>
  <si>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</si>
  <si>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</si>
  <si>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</si>
  <si>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</si>
  <si>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</si>
  <si>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</si>
  <si>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</si>
  <si>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</si>
  <si>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</si>
  <si>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</si>
  <si>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</si>
  <si>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</si>
  <si>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</si>
  <si>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</si>
  <si>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</si>
  <si>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</si>
  <si>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</si>
  <si>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</si>
  <si>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</si>
  <si>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</si>
  <si>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</si>
  <si>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</si>
  <si>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</si>
  <si>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</si>
  <si>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</si>
  <si>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</si>
  <si>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</si>
  <si>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</si>
  <si>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</si>
  <si>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</si>
  <si>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</si>
  <si>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</si>
  <si>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</si>
  <si>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</si>
  <si>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</si>
  <si>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</si>
  <si>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</si>
  <si>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</si>
  <si>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</si>
  <si>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</si>
  <si>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</si>
  <si>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</si>
  <si>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</si>
  <si>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</si>
  <si>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</si>
  <si>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</si>
  <si>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</si>
  <si>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</si>
  <si>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</si>
  <si>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</si>
  <si>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</si>
  <si>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</si>
  <si>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</si>
  <si>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</si>
  <si>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</si>
  <si>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</si>
  <si>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</si>
  <si>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</si>
  <si>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</si>
  <si>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</si>
  <si>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</si>
  <si>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</si>
  <si>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</si>
  <si>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</si>
  <si>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</si>
  <si>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</si>
  <si>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</si>
  <si>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</si>
  <si>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</si>
  <si>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</si>
  <si>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</si>
  <si>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</si>
  <si>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</si>
  <si>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</si>
  <si>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</si>
  <si>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</si>
  <si>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</si>
  <si>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</si>
  <si>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</si>
  <si>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</si>
  <si>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</si>
  <si>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</si>
  <si>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</si>
  <si>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</si>
  <si>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</si>
  <si>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</si>
  <si>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</si>
  <si>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</si>
  <si>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</si>
  <si>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</si>
  <si>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</si>
  <si>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</si>
  <si>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</si>
  <si>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</si>
  <si>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</si>
  <si>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</si>
  <si>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</si>
  <si>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</si>
  <si>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</si>
  <si>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</si>
  <si>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</si>
  <si>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</si>
  <si>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</si>
  <si>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</si>
  <si>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</si>
  <si>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</si>
  <si>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</si>
  <si>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</si>
  <si>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</si>
  <si>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</si>
  <si>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</si>
  <si>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</si>
  <si>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</si>
  <si>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</si>
  <si>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</si>
  <si>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</si>
  <si>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</si>
  <si>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</si>
  <si>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</si>
  <si>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</si>
  <si>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</si>
  <si>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</si>
  <si>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</si>
  <si>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</si>
  <si>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</si>
  <si>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</si>
  <si>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</si>
  <si>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</si>
  <si>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</si>
  <si>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</si>
  <si>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</si>
  <si>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</si>
  <si>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</si>
  <si>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</si>
  <si>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</si>
  <si>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</si>
  <si>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</si>
  <si>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</si>
  <si>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</si>
  <si>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</si>
  <si>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</si>
  <si>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</si>
  <si>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</si>
  <si>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</si>
  <si>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</si>
  <si>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</si>
  <si>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</si>
  <si>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</si>
  <si>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</si>
  <si>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</si>
  <si>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</si>
  <si>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</si>
  <si>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</si>
  <si>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</si>
  <si>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</si>
  <si>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</si>
  <si>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</si>
  <si>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</si>
  <si>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</si>
  <si>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</si>
  <si>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</si>
  <si>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</si>
  <si>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</si>
  <si>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</si>
  <si>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</si>
  <si>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</si>
  <si>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</si>
  <si>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</si>
  <si>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</si>
  <si>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</si>
  <si>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</si>
  <si>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</si>
  <si>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</si>
  <si>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</si>
  <si>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</si>
  <si>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</si>
  <si>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</si>
  <si>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</si>
  <si>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</si>
  <si>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</si>
  <si>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</si>
  <si>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</si>
  <si>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</si>
  <si>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</si>
  <si>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</si>
  <si>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</si>
  <si>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</si>
  <si>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</si>
  <si>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</si>
  <si>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</si>
  <si>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</si>
  <si>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</si>
  <si>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</si>
  <si>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</si>
  <si>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</si>
  <si>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</si>
  <si>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</si>
  <si>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</si>
  <si>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</si>
  <si>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</si>
  <si>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</si>
  <si>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</si>
  <si>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</si>
  <si>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</si>
  <si>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</si>
  <si>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</si>
  <si>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</si>
  <si>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</si>
  <si>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</si>
  <si>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</si>
  <si>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</si>
  <si>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</si>
  <si>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</si>
  <si>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</si>
  <si>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</si>
  <si>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</si>
  <si>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</si>
  <si>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</si>
  <si>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</si>
  <si>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</si>
  <si>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</si>
  <si>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</si>
  <si>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</si>
  <si>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</si>
  <si>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</si>
  <si>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</si>
  <si>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</si>
  <si>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</si>
  <si>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</si>
  <si>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</si>
  <si>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</si>
  <si>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</si>
  <si>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</si>
  <si>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</si>
  <si>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</si>
  <si>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</si>
  <si>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</si>
  <si>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</si>
  <si>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</si>
  <si>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</si>
  <si>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</si>
  <si>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</si>
  <si>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</si>
  <si>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</si>
  <si>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</si>
  <si>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</si>
  <si>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</si>
  <si>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</si>
  <si>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</si>
  <si>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</si>
  <si>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</si>
  <si>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</si>
  <si>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</si>
  <si>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</si>
  <si>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</si>
  <si>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</si>
  <si>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</si>
  <si>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</si>
  <si>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</si>
  <si>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</si>
  <si>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</si>
  <si>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</si>
  <si>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</si>
  <si>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</si>
  <si>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</si>
  <si>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</si>
  <si>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</si>
  <si>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</si>
  <si>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</si>
  <si>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</si>
  <si>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</si>
  <si>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</si>
  <si>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</si>
  <si>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</si>
  <si>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</si>
  <si>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</si>
  <si>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</si>
  <si>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</si>
  <si>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</si>
  <si>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</si>
  <si>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</si>
  <si>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</si>
  <si>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</si>
  <si>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</si>
  <si>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</si>
  <si>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</si>
  <si>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</si>
  <si>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</si>
  <si>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</si>
  <si>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</si>
  <si>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</si>
  <si>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</si>
  <si>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</si>
  <si>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</si>
  <si>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</si>
  <si>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</si>
  <si>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</si>
  <si>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</si>
  <si>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</si>
  <si>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</si>
  <si>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</si>
  <si>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</si>
  <si>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</si>
  <si>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</si>
  <si>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</si>
  <si>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</si>
  <si>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</si>
  <si>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</si>
  <si>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</si>
  <si>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</si>
  <si>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</si>
  <si>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</si>
  <si>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</si>
  <si>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</si>
  <si>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</si>
  <si>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</si>
  <si>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</si>
  <si>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</si>
  <si>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</si>
  <si>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</si>
  <si>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</si>
  <si>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</si>
  <si>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</si>
  <si>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</si>
  <si>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</si>
  <si>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</si>
  <si>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</si>
  <si>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</si>
  <si>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</si>
  <si>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</si>
  <si>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</si>
  <si>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</si>
  <si>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</si>
  <si>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</si>
  <si>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</si>
  <si>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</si>
  <si>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</si>
  <si>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</si>
  <si>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</si>
  <si>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</si>
  <si>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</si>
  <si>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</si>
  <si>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</si>
  <si>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</si>
  <si>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</si>
  <si>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</si>
  <si>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</si>
  <si>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</si>
  <si>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</si>
  <si>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</si>
  <si>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</si>
  <si>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</si>
  <si>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</si>
  <si>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</si>
  <si>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</si>
  <si>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</si>
  <si>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</si>
  <si>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</si>
  <si>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</si>
  <si>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</si>
  <si>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</si>
  <si>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</si>
  <si>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</si>
  <si>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</si>
  <si>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</si>
  <si>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</si>
  <si>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</si>
  <si>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</si>
  <si>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</si>
  <si>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</si>
  <si>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</si>
  <si>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</si>
  <si>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</si>
  <si>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</si>
  <si>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</si>
  <si>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</si>
  <si>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</si>
  <si>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</si>
  <si>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</si>
  <si>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</si>
  <si>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</si>
  <si>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</si>
  <si>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</si>
  <si>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</si>
  <si>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</si>
  <si>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</si>
  <si>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</si>
  <si>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</si>
  <si>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</si>
  <si>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</si>
  <si>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</si>
  <si>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</si>
  <si>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</si>
  <si>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</si>
  <si>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</si>
  <si>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</si>
  <si>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</si>
  <si>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</si>
  <si>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</si>
  <si>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</si>
  <si>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</si>
  <si>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</si>
  <si>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</si>
  <si>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</si>
  <si>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</si>
  <si>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</si>
  <si>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</si>
  <si>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</si>
  <si>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</si>
  <si>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</si>
  <si>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</si>
  <si>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</si>
  <si>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</si>
  <si>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</si>
  <si>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</si>
  <si>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</si>
  <si>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</si>
  <si>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</si>
  <si>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</si>
  <si>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</si>
  <si>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</si>
  <si>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</si>
  <si>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</si>
  <si>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</si>
  <si>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</si>
  <si>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</si>
  <si>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</si>
  <si>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</si>
  <si>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</si>
  <si>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</si>
  <si>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</si>
  <si>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</si>
  <si>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</si>
  <si>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</si>
  <si>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</si>
  <si>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</si>
  <si>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</si>
  <si>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</si>
  <si>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</si>
  <si>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</si>
  <si>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</si>
  <si>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</si>
  <si>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</si>
  <si>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</si>
  <si>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</si>
  <si>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</si>
  <si>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</si>
  <si>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</si>
  <si>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</si>
  <si>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</si>
  <si>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</si>
  <si>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</si>
  <si>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</si>
  <si>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</si>
  <si>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</si>
  <si>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</si>
  <si>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</si>
  <si>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</si>
  <si>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</si>
  <si>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</si>
  <si>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</si>
  <si>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</si>
  <si>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</si>
  <si>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</si>
  <si>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</si>
  <si>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</si>
  <si>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</si>
  <si>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</si>
  <si>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</si>
  <si>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</si>
  <si>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</si>
  <si>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</si>
  <si>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</si>
  <si>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</si>
  <si>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</si>
  <si>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</si>
  <si>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</si>
  <si>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</si>
  <si>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</si>
  <si>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</si>
  <si>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</si>
  <si>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</si>
  <si>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</si>
  <si>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</si>
  <si>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</si>
  <si>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</si>
  <si>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</si>
  <si>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</si>
  <si>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</si>
  <si>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</si>
  <si>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</si>
  <si>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</si>
  <si>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</si>
  <si>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</si>
  <si>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</si>
  <si>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</si>
  <si>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</si>
  <si>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</si>
  <si>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</si>
  <si>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</si>
  <si>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</si>
  <si>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</si>
  <si>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</si>
  <si>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</si>
  <si>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</si>
  <si>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</si>
  <si>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</si>
  <si>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</si>
  <si>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</si>
  <si>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</si>
  <si>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</si>
  <si>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</si>
  <si>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</si>
  <si>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</si>
  <si>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</si>
  <si>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</si>
  <si>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</si>
  <si>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</si>
  <si>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</si>
  <si>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</si>
  <si>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</si>
  <si>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</si>
  <si>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</si>
  <si>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</si>
  <si>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</si>
  <si>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</si>
  <si>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</si>
  <si>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</si>
  <si>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</si>
  <si>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</si>
  <si>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</si>
  <si>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</si>
  <si>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</si>
  <si>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</si>
  <si>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</si>
  <si>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</si>
  <si>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</si>
  <si>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</si>
  <si>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</si>
  <si>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</si>
  <si>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</si>
  <si>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</si>
  <si>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</si>
  <si>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</si>
  <si>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</si>
  <si>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</si>
  <si>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</si>
  <si>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</si>
  <si>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</si>
  <si>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</si>
  <si>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</si>
  <si>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</si>
  <si>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</si>
  <si>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</si>
  <si>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</si>
  <si>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</si>
  <si>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</si>
  <si>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</si>
  <si>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</si>
  <si>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</si>
  <si>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</si>
  <si>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</si>
  <si>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</si>
  <si>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</si>
  <si>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</si>
  <si>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</si>
  <si>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</si>
  <si>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</si>
  <si>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</si>
  <si>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</si>
  <si>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</si>
  <si>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</si>
  <si>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</si>
  <si>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</si>
  <si>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</si>
  <si>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</si>
  <si>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</si>
  <si>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</si>
  <si>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</si>
  <si>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</si>
  <si>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</si>
  <si>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</si>
  <si>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</si>
  <si>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</si>
  <si>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</si>
  <si>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</si>
  <si>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</si>
  <si>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</si>
  <si>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</si>
  <si>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</si>
  <si>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</si>
  <si>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</si>
  <si>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</si>
  <si>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</si>
  <si>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</si>
  <si>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</si>
  <si>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</si>
  <si>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</si>
  <si>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</si>
  <si>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</si>
  <si>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</si>
  <si>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</si>
  <si>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</si>
  <si>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</si>
  <si>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</si>
  <si>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</si>
  <si>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</si>
  <si>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</si>
  <si>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</si>
  <si>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</si>
  <si>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</si>
  <si>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</si>
  <si>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</si>
  <si>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</si>
  <si>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</si>
  <si>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</si>
  <si>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</si>
  <si>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</si>
  <si>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</si>
  <si>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</si>
  <si>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</si>
  <si>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</si>
  <si>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</si>
  <si>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</si>
  <si>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</si>
  <si>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</si>
  <si>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</si>
  <si>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</si>
  <si>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</si>
  <si>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</si>
  <si>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</si>
  <si>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</si>
  <si>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</si>
  <si>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</si>
  <si>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</si>
  <si>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</si>
  <si>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</si>
  <si>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</si>
  <si>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</si>
  <si>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</si>
  <si>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</si>
  <si>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</si>
  <si>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</si>
  <si>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</si>
  <si>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</si>
  <si>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</si>
  <si>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</si>
  <si>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</si>
  <si>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</si>
  <si>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</si>
  <si>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</si>
  <si>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</si>
  <si>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</si>
  <si>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</si>
  <si>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</si>
  <si>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</si>
  <si>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</si>
  <si>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</si>
  <si>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</si>
  <si>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</si>
  <si>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</si>
  <si>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</si>
  <si>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</si>
  <si>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</si>
  <si>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</si>
  <si>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</si>
  <si>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</si>
  <si>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</si>
  <si>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</si>
  <si>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</si>
  <si>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</si>
  <si>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</si>
  <si>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</si>
  <si>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</si>
  <si>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</si>
  <si>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</si>
  <si>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</si>
  <si>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</si>
  <si>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</si>
  <si>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</si>
  <si>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</si>
  <si>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</si>
  <si>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</si>
  <si>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</si>
  <si>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</si>
  <si>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</si>
  <si>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</si>
  <si>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</si>
  <si>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</si>
  <si>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</si>
  <si>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</si>
  <si>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</si>
  <si>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</si>
  <si>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</si>
  <si>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</si>
  <si>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</si>
  <si>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</si>
  <si>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</si>
  <si>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</si>
  <si>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</si>
  <si>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</si>
  <si>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</si>
  <si>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</si>
  <si>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</si>
  <si>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</si>
  <si>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</si>
  <si>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</si>
  <si>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</si>
  <si>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</si>
  <si>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</si>
  <si>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</si>
  <si>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</si>
  <si>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</si>
  <si>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</si>
  <si>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</si>
  <si>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</si>
  <si>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</si>
  <si>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</si>
  <si>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</si>
  <si>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</si>
  <si>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</si>
  <si>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</si>
  <si>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</si>
  <si>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</si>
  <si>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</si>
  <si>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</si>
  <si>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</si>
  <si>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</si>
  <si>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</si>
  <si>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</si>
  <si>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</si>
  <si>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</si>
  <si>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</si>
  <si>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</si>
  <si>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</si>
  <si>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</si>
  <si>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</si>
  <si>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</si>
  <si>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</si>
  <si>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</si>
  <si>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</si>
  <si>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</si>
  <si>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</si>
  <si>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</si>
  <si>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</si>
  <si>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</si>
  <si>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</si>
  <si>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</si>
  <si>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</si>
  <si>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</si>
  <si>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</si>
  <si>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</si>
  <si>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</si>
  <si>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</si>
  <si>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</si>
  <si>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</si>
  <si>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</si>
  <si>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</si>
  <si>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</si>
  <si>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</si>
  <si>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</si>
  <si>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</si>
  <si>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</si>
  <si>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</si>
  <si>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</si>
  <si>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</si>
  <si>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</si>
  <si>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</si>
  <si>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</si>
  <si>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</si>
  <si>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</si>
  <si>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</si>
  <si>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</si>
  <si>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</si>
  <si>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</si>
  <si>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</si>
  <si>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</si>
  <si>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</si>
  <si>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</si>
  <si>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</si>
  <si>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</si>
  <si>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</si>
  <si>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</si>
  <si>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</si>
  <si>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</si>
  <si>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</si>
  <si>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</si>
  <si>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</si>
  <si>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</si>
  <si>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</si>
  <si>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</si>
  <si>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</si>
  <si>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</si>
  <si>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</si>
  <si>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</si>
  <si>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</si>
  <si>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</si>
  <si>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</si>
  <si>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</si>
  <si>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</si>
  <si>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</si>
  <si>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</si>
  <si>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</si>
  <si>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</si>
  <si>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</si>
  <si>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</si>
  <si>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</si>
  <si>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</si>
  <si>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</si>
  <si>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</si>
  <si>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</si>
  <si>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</si>
  <si>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</si>
  <si>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</si>
  <si>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</si>
  <si>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</si>
  <si>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</si>
  <si>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</si>
  <si>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</si>
  <si>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</si>
  <si>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</si>
  <si>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</si>
  <si>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</si>
  <si>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</si>
  <si>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</si>
  <si>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</si>
  <si>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</si>
  <si>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</si>
  <si>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</si>
  <si>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</si>
  <si>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</si>
  <si>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</si>
  <si>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</si>
  <si>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</si>
  <si>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</si>
  <si>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</si>
  <si>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</si>
  <si>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</si>
  <si>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</si>
  <si>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</si>
  <si>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</si>
  <si>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</si>
  <si>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</si>
  <si>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</si>
  <si>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</si>
  <si>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</si>
  <si>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</si>
  <si>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</si>
  <si>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</si>
  <si>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</si>
  <si>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</si>
  <si>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</si>
  <si>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</si>
  <si>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</si>
  <si>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</si>
  <si>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</si>
  <si>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</si>
  <si>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</si>
  <si>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</si>
  <si>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</si>
  <si>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</si>
  <si>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</si>
  <si>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</si>
  <si>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</si>
  <si>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</si>
  <si>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</si>
  <si>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</si>
  <si>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</si>
  <si>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</si>
  <si>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</si>
  <si>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</si>
  <si>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</si>
  <si>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</si>
  <si>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</si>
  <si>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</si>
  <si>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</si>
  <si>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</si>
  <si>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</si>
  <si>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</si>
  <si>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</si>
  <si>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</si>
  <si>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</si>
  <si>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</si>
  <si>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</si>
  <si>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</si>
  <si>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</si>
  <si>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</si>
  <si>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</si>
  <si>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</si>
  <si>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</si>
  <si>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</si>
  <si>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</si>
  <si>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</si>
  <si>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</si>
  <si>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</si>
  <si>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</si>
  <si>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</si>
  <si>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</si>
  <si>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</si>
  <si>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</si>
  <si>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</si>
  <si>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</si>
  <si>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</si>
  <si>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</si>
  <si>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</si>
  <si>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</si>
  <si>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</si>
  <si>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</si>
  <si>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</si>
  <si>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</si>
  <si>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</si>
  <si>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</si>
  <si>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</si>
  <si>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</si>
  <si>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</si>
  <si>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</si>
  <si>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</si>
  <si>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</si>
  <si>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</si>
  <si>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</si>
  <si>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</si>
  <si>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</si>
  <si>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</si>
  <si>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</si>
  <si>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</si>
  <si>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</si>
  <si>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</si>
  <si>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</si>
  <si>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</si>
  <si>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</si>
  <si>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</si>
  <si>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</si>
  <si>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</si>
  <si>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</si>
  <si>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</si>
  <si>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</si>
  <si>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</si>
  <si>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</si>
  <si>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</si>
  <si>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</si>
  <si>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</si>
  <si>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</si>
  <si>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</si>
  <si>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</si>
  <si>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</si>
  <si>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</si>
  <si>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</si>
  <si>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</si>
  <si>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</si>
  <si>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</si>
  <si>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</si>
  <si>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</si>
  <si>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</si>
  <si>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</si>
  <si>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</si>
  <si>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</si>
  <si>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</si>
  <si>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</si>
  <si>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</si>
  <si>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</si>
  <si>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</si>
  <si>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</si>
  <si>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</si>
  <si>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</si>
  <si>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</si>
  <si>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</si>
  <si>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</si>
  <si>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</si>
  <si>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</si>
  <si>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</si>
  <si>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</si>
  <si>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</si>
  <si>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</si>
  <si>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</si>
  <si>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</si>
  <si>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</si>
  <si>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</si>
  <si>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</si>
  <si>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</si>
  <si>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</si>
  <si>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</si>
  <si>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</si>
  <si>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</si>
  <si>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</si>
  <si>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</si>
  <si>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</si>
  <si>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</si>
  <si>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</si>
  <si>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</si>
  <si>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</si>
  <si>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</si>
  <si>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</si>
  <si>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</si>
  <si>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</si>
  <si>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</si>
  <si>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</si>
  <si>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</si>
  <si>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</si>
  <si>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</si>
  <si>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</si>
  <si>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</si>
  <si>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</si>
  <si>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</si>
  <si>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</si>
  <si>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</si>
  <si>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</si>
  <si>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</si>
  <si>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</si>
  <si>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</si>
  <si>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</si>
  <si>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</si>
  <si>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</si>
  <si>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</si>
  <si>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</si>
  <si>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</si>
  <si>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</si>
  <si>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</si>
  <si>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</si>
  <si>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</si>
  <si>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</si>
  <si>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</si>
  <si>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</si>
  <si>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</si>
  <si>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</si>
  <si>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</si>
  <si>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</si>
  <si>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</si>
  <si>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</si>
  <si>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</si>
  <si>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</si>
  <si>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</si>
  <si>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</si>
  <si>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</si>
  <si>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</si>
  <si>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</si>
  <si>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</si>
  <si>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</si>
  <si>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</si>
  <si>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</si>
  <si>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</si>
  <si>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</si>
  <si>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</si>
  <si>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</si>
  <si>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</si>
  <si>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</si>
  <si>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</si>
  <si>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</si>
  <si>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</si>
  <si>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</si>
  <si>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</si>
  <si>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</si>
  <si>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</si>
  <si>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</si>
  <si>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</si>
  <si>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</si>
  <si>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</si>
  <si>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</si>
  <si>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</si>
  <si>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</si>
  <si>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</si>
  <si>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</si>
  <si>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</si>
  <si>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</si>
  <si>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</si>
  <si>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</si>
  <si>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</si>
  <si>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</si>
  <si>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</si>
  <si>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</si>
  <si>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</si>
  <si>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</si>
  <si>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</si>
  <si>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</si>
  <si>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</si>
  <si>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</si>
  <si>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</si>
  <si>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</si>
  <si>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</si>
  <si>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</si>
  <si>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</si>
  <si>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</si>
  <si>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</si>
  <si>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</si>
  <si>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</si>
  <si>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</si>
  <si>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</si>
  <si>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</si>
  <si>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</si>
  <si>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</si>
  <si>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</si>
  <si>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</si>
  <si>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</si>
  <si>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</si>
  <si>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</si>
  <si>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</si>
  <si>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</si>
  <si>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</si>
  <si>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</si>
  <si>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</si>
  <si>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</si>
  <si>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</si>
  <si>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</si>
  <si>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</si>
  <si>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</si>
  <si>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</si>
  <si>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</si>
  <si>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</si>
  <si>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</si>
  <si>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</si>
  <si>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</si>
  <si>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</si>
  <si>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</si>
  <si>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</si>
  <si>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</si>
  <si>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</si>
  <si>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</si>
  <si>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</si>
  <si>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</si>
  <si>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</si>
  <si>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</si>
  <si>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</si>
  <si>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</si>
  <si>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</si>
  <si>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</si>
  <si>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</si>
  <si>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</si>
  <si>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</si>
  <si>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</si>
  <si>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</si>
  <si>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</si>
  <si>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</si>
  <si>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</si>
  <si>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</si>
  <si>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</si>
  <si>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</si>
  <si>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</si>
  <si>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</si>
  <si>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</si>
  <si>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</si>
  <si>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</si>
  <si>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</si>
  <si>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</si>
  <si>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</si>
  <si>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</si>
  <si>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</si>
  <si>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</si>
  <si>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</si>
  <si>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</si>
  <si>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</si>
  <si>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</si>
  <si>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</si>
  <si>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</si>
  <si>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</si>
  <si>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</si>
  <si>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</si>
  <si>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</si>
  <si>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</si>
  <si>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</si>
  <si>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</si>
  <si>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</si>
  <si>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</si>
  <si>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</si>
  <si>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</si>
  <si>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</si>
  <si>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</si>
  <si>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</si>
  <si>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</si>
  <si>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</si>
  <si>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</si>
  <si>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</si>
  <si>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</si>
  <si>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</si>
  <si>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</si>
  <si>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t>
    <phoneticPr fontId="229"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</si>
  <si>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</si>
  <si>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</si>
  <si>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</si>
  <si>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</si>
  <si>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</si>
  <si>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</si>
  <si>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</si>
  <si>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</si>
  <si>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</si>
  <si>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</si>
  <si>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</si>
  <si>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</si>
  <si>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</si>
  <si>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</si>
  <si>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</si>
  <si>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</si>
  <si>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</si>
  <si>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</si>
  <si>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</si>
  <si>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</si>
  <si>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</si>
  <si>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</si>
  <si>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</si>
  <si>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</si>
  <si>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</si>
  <si>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</si>
  <si>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</si>
  <si>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</si>
  <si>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</si>
  <si>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地下仓储</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</si>
  <si>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</si>
  <si>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</si>
  <si>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</si>
  <si>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</si>
  <si>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</si>
  <si>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</si>
  <si>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</si>
  <si>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</si>
  <si>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</si>
  <si>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</si>
  <si>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</si>
  <si>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</si>
  <si>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</si>
  <si>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</si>
  <si>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</si>
  <si>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r>
      <t>住宅（5</t>
    </r>
    <r>
      <rPr>
        <sz val="11"/>
        <color theme="1"/>
        <rFont val="宋体"/>
        <family val="3"/>
        <charset val="134"/>
        <scheme val="minor"/>
      </rPr>
      <t>5</t>
    </r>
    <r>
      <rPr>
        <sz val="11"/>
        <color theme="1"/>
        <rFont val="宋体"/>
        <family val="3"/>
        <charset val="134"/>
        <scheme val="minor"/>
      </rPr>
      <t>年</t>
    </r>
    <phoneticPr fontId="277" type="noConversion"/>
  </si>
  <si>
    <t>新总价</t>
    <phoneticPr fontId="229" type="noConversion"/>
  </si>
  <si>
    <t>旧总价</t>
    <phoneticPr fontId="229" type="noConversion"/>
  </si>
  <si>
    <t>市场价格</t>
  </si>
  <si>
    <t>小计</t>
    <phoneticPr fontId="229" type="noConversion"/>
  </si>
  <si>
    <t>政府土地出让收益</t>
    <phoneticPr fontId="229" type="noConversion"/>
  </si>
  <si>
    <t>政府土地出让收益总价</t>
    <phoneticPr fontId="229" type="noConversion"/>
  </si>
  <si>
    <t>合计</t>
    <phoneticPr fontId="229" type="noConversion"/>
  </si>
  <si>
    <t>——</t>
    <phoneticPr fontId="229" type="noConversion"/>
  </si>
  <si>
    <t>地上住宅（55年）</t>
    <phoneticPr fontId="229" type="noConversion"/>
  </si>
  <si>
    <t>地下仓储（35年）</t>
    <phoneticPr fontId="229" type="noConversion"/>
  </si>
  <si>
    <t>基准地价-55住宅</t>
    <phoneticPr fontId="15" type="noConversion"/>
  </si>
  <si>
    <t>不动产收益法</t>
  </si>
  <si>
    <t>钢混</t>
  </si>
  <si>
    <r>
      <t>剩余法</t>
    </r>
    <r>
      <rPr>
        <sz val="11"/>
        <color theme="1"/>
        <rFont val="Arial"/>
        <family val="2"/>
      </rPr>
      <t>-</t>
    </r>
    <r>
      <rPr>
        <sz val="11"/>
        <color theme="1"/>
        <rFont val="宋体"/>
        <family val="3"/>
        <charset val="134"/>
      </rPr>
      <t>待开发仓储</t>
    </r>
    <phoneticPr fontId="15" type="noConversion"/>
  </si>
  <si>
    <t>仓储年期修正系数</t>
    <phoneticPr fontId="229" type="noConversion"/>
  </si>
  <si>
    <t>住宅</t>
    <phoneticPr fontId="229" type="noConversion"/>
  </si>
  <si>
    <t>新增用途</t>
    <phoneticPr fontId="229" type="noConversion"/>
  </si>
  <si>
    <t>（增加）</t>
  </si>
  <si>
    <t>住宅</t>
    <phoneticPr fontId="229" type="noConversion"/>
  </si>
  <si>
    <t>地下仓储</t>
    <phoneticPr fontId="229" type="noConversion"/>
  </si>
  <si>
    <t>楼面政府土地出让收益单价</t>
  </si>
  <si>
    <r>
      <t>（元/</t>
    </r>
    <r>
      <rPr>
        <b/>
        <sz val="12"/>
        <color theme="1"/>
        <rFont val="华文仿宋"/>
        <family val="3"/>
        <charset val="134"/>
      </rPr>
      <t>㎡</t>
    </r>
    <r>
      <rPr>
        <b/>
        <sz val="12"/>
        <color theme="1"/>
        <rFont val="仿宋_GB2312"/>
        <family val="3"/>
        <charset val="134"/>
      </rPr>
      <t>）</t>
    </r>
  </si>
  <si>
    <t>政府土地出让收益总价(万元）</t>
  </si>
  <si>
    <r>
      <t>2364.58</t>
    </r>
    <r>
      <rPr>
        <sz val="12"/>
        <color theme="1"/>
        <rFont val="仿宋_GB2312"/>
        <family val="3"/>
        <charset val="134"/>
      </rPr>
      <t>（增加）</t>
    </r>
  </si>
  <si>
    <r>
      <t>出让建筑面积（</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</si>
  <si>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r>
      <t>政府土地出让收益单价（元/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</si>
  <si>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需补缴地价款(万元）</t>
  </si>
  <si>
    <t>新增</t>
  </si>
  <si>
    <t>楼面熟地</t>
    <phoneticPr fontId="229" type="noConversion"/>
  </si>
  <si>
    <t>单价</t>
    <phoneticPr fontId="229" type="noConversion"/>
  </si>
  <si>
    <r>
      <t>（元/</t>
    </r>
    <r>
      <rPr>
        <b/>
        <sz val="12"/>
        <color rgb="FF000000"/>
        <rFont val="华文仿宋"/>
        <family val="3"/>
        <charset val="134"/>
      </rPr>
      <t>㎡</t>
    </r>
    <r>
      <rPr>
        <b/>
        <sz val="12"/>
        <color theme="1"/>
        <rFont val="仿宋_GB2312"/>
        <family val="3"/>
        <charset val="134"/>
      </rPr>
      <t>）</t>
    </r>
    <phoneticPr fontId="229" type="noConversion"/>
  </si>
  <si>
    <t>楼面熟地单价（元/㎡）</t>
    <phoneticPr fontId="229" type="noConversion"/>
  </si>
  <si>
    <t>按租金收入计税</t>
  </si>
  <si>
    <t>押三</t>
  </si>
  <si>
    <t>基准地价-55住宅</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</si>
</sst>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
      <sz val="12"/>
      <color theme="1"/>
      <name val="宋体"/>
      <family val="3"/>
      <charset val="134"/>
    </font>
    <font>
      <sz val="10.5"/>
      <color theme="1"/>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indexed="64"/>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70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46" fillId="17" borderId="0" xfId="0" applyFont="1" applyFill="1" applyAlignment="1">
      <alignment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xf numFmtId="0" fontId="288" fillId="0" borderId="79" xfId="0" applyFont="1" applyBorder="1" applyAlignment="1">
      <alignment horizontal="center" vertical="center" wrapText="1"/>
    </xf>
    <xf numFmtId="0" fontId="76" fillId="5" borderId="2" xfId="0" applyFont="1" applyFill="1" applyBorder="1" applyAlignment="1" applyProtection="1">
      <alignment horizontal="center" vertical="center"/>
    </xf>
    <xf numFmtId="0" fontId="195" fillId="0" borderId="80" xfId="0" applyFont="1" applyBorder="1" applyAlignment="1">
      <alignment horizontal="center" vertical="center" wrapText="1"/>
    </xf>
    <xf numFmtId="0" fontId="181" fillId="0" borderId="65" xfId="0" applyFont="1" applyBorder="1" applyAlignment="1">
      <alignment vertical="center" wrapText="1"/>
    </xf>
    <xf numFmtId="0" fontId="195" fillId="0" borderId="2" xfId="0" applyFont="1" applyBorder="1" applyAlignment="1">
      <alignment vertical="center" wrapText="1"/>
    </xf>
    <xf numFmtId="0" fontId="177" fillId="0" borderId="2" xfId="0" applyFont="1" applyBorder="1" applyAlignment="1">
      <alignment vertical="center" wrapText="1"/>
    </xf>
    <xf numFmtId="0" fontId="195" fillId="0" borderId="31" xfId="0" applyFont="1" applyBorder="1" applyAlignment="1">
      <alignment vertical="center" wrapText="1"/>
    </xf>
    <xf numFmtId="0" fontId="177" fillId="0" borderId="54" xfId="0" applyFont="1" applyBorder="1" applyAlignment="1">
      <alignment horizontal="center" vertical="center" wrapText="1"/>
    </xf>
    <xf numFmtId="0" fontId="285" fillId="0" borderId="54" xfId="0" applyFont="1" applyBorder="1" applyAlignment="1">
      <alignment vertical="center" wrapText="1"/>
    </xf>
    <xf numFmtId="0" fontId="289" fillId="0" borderId="39" xfId="0" applyFont="1" applyBorder="1" applyAlignment="1">
      <alignment horizontal="center" vertical="center" wrapText="1"/>
    </xf>
    <xf numFmtId="0" fontId="292" fillId="0" borderId="35" xfId="0" applyFont="1" applyBorder="1" applyAlignment="1">
      <alignment vertical="center" wrapText="1"/>
    </xf>
    <xf numFmtId="0" fontId="150" fillId="0" borderId="65" xfId="0" applyFont="1" applyBorder="1" applyAlignment="1">
      <alignment horizontal="center" vertical="center" wrapText="1"/>
    </xf>
    <xf numFmtId="0" fontId="282" fillId="0" borderId="2" xfId="0" applyFont="1" applyFill="1" applyBorder="1" applyAlignment="1">
      <alignment horizontal="center" vertical="center" wrapText="1"/>
    </xf>
    <xf numFmtId="0" fontId="293" fillId="0" borderId="2" xfId="0" applyFont="1" applyFill="1" applyBorder="1" applyAlignment="1">
      <alignment horizontal="center" vertical="center" wrapText="1"/>
    </xf>
    <xf numFmtId="0" fontId="282" fillId="6" borderId="39" xfId="0" applyFont="1" applyFill="1" applyBorder="1" applyAlignment="1">
      <alignment horizontal="center" vertical="center" wrapText="1"/>
    </xf>
    <xf numFmtId="0" fontId="282" fillId="6" borderId="65" xfId="0" applyFont="1" applyFill="1" applyBorder="1" applyAlignment="1">
      <alignment horizontal="center" vertical="center" wrapText="1"/>
    </xf>
    <xf numFmtId="0" fontId="181" fillId="6" borderId="65" xfId="0" applyFont="1" applyFill="1" applyBorder="1" applyAlignment="1">
      <alignment vertical="center" wrapText="1"/>
    </xf>
    <xf numFmtId="0" fontId="177" fillId="6" borderId="2" xfId="0" applyFont="1" applyFill="1" applyBorder="1" applyAlignment="1">
      <alignment vertical="center" wrapText="1"/>
    </xf>
    <xf numFmtId="0" fontId="150" fillId="6" borderId="65" xfId="0" applyFont="1" applyFill="1" applyBorder="1" applyAlignment="1">
      <alignment horizontal="center"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177" fontId="77" fillId="23" borderId="2" xfId="2" applyNumberFormat="1" applyFont="1" applyFill="1" applyBorder="1" applyAlignment="1" applyProtection="1">
      <alignment horizontal="center" vertical="center"/>
      <protection locked="0"/>
    </xf>
    <xf numFmtId="179" fontId="72" fillId="0" borderId="2" xfId="0" applyNumberFormat="1" applyFont="1" applyBorder="1" applyAlignment="1" applyProtection="1">
      <alignment horizontal="center" vertical="center"/>
      <protection locked="0"/>
    </xf>
    <xf numFmtId="9" fontId="77" fillId="23" borderId="5" xfId="0" applyNumberFormat="1" applyFont="1" applyFill="1" applyBorder="1" applyAlignment="1" applyProtection="1">
      <alignment horizontal="center" vertical="center"/>
      <protection locked="0"/>
    </xf>
    <xf numFmtId="0" fontId="164" fillId="23" borderId="2" xfId="0" applyFont="1" applyFill="1" applyBorder="1" applyAlignment="1" applyProtection="1">
      <alignment horizontal="center" vertical="center" wrapText="1"/>
      <protection locked="0"/>
    </xf>
    <xf numFmtId="0" fontId="146" fillId="0" borderId="0" xfId="0" applyFont="1" applyAlignment="1">
      <alignment vertical="center" wrapText="1"/>
    </xf>
    <xf numFmtId="181" fontId="153" fillId="23" borderId="2" xfId="0" applyNumberFormat="1" applyFont="1" applyFill="1" applyBorder="1" applyAlignment="1" applyProtection="1">
      <alignment horizontal="center" vertical="center"/>
      <protection locked="0"/>
    </xf>
    <xf numFmtId="181" fontId="72" fillId="23" borderId="2" xfId="0" applyNumberFormat="1" applyFont="1" applyFill="1" applyBorder="1" applyAlignment="1" applyProtection="1">
      <alignment horizontal="center" vertical="center"/>
      <protection locked="0"/>
    </xf>
    <xf numFmtId="0" fontId="293" fillId="0" borderId="155" xfId="0" applyFont="1" applyBorder="1" applyAlignment="1">
      <alignment vertical="center" wrapText="1"/>
    </xf>
    <xf numFmtId="0" fontId="177"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35" xfId="0" applyFont="1" applyBorder="1" applyAlignment="1">
      <alignment vertical="center" wrapText="1"/>
    </xf>
    <xf numFmtId="0" fontId="195" fillId="0" borderId="79" xfId="0" applyFont="1" applyBorder="1" applyAlignment="1">
      <alignment vertical="center" wrapText="1"/>
    </xf>
    <xf numFmtId="0" fontId="195" fillId="0" borderId="80" xfId="0" applyFont="1" applyBorder="1" applyAlignment="1">
      <alignment vertical="center" wrapText="1"/>
    </xf>
    <xf numFmtId="0" fontId="294" fillId="0" borderId="0" xfId="0" applyFont="1" applyAlignment="1">
      <alignment vertical="center" wrapText="1"/>
    </xf>
    <xf numFmtId="0" fontId="293" fillId="0" borderId="66" xfId="0" applyFont="1" applyBorder="1" applyAlignment="1">
      <alignment horizontal="center" vertical="center" wrapText="1"/>
    </xf>
    <xf numFmtId="0" fontId="177" fillId="0" borderId="156" xfId="0" applyFont="1" applyBorder="1" applyAlignment="1">
      <alignment horizontal="center" vertical="center" wrapText="1"/>
    </xf>
    <xf numFmtId="0" fontId="293" fillId="0" borderId="156" xfId="0" applyFont="1" applyBorder="1" applyAlignment="1">
      <alignment horizontal="center" vertical="center" wrapText="1"/>
    </xf>
    <xf numFmtId="0" fontId="286" fillId="0" borderId="157" xfId="0" applyFont="1" applyBorder="1" applyAlignment="1">
      <alignment horizontal="center" vertical="center"/>
    </xf>
    <xf numFmtId="0" fontId="286" fillId="0" borderId="38" xfId="0" applyFont="1" applyBorder="1" applyAlignment="1">
      <alignment horizontal="center" vertical="center" wrapText="1"/>
    </xf>
    <xf numFmtId="0" fontId="286" fillId="0" borderId="38" xfId="0" applyFont="1" applyBorder="1" applyAlignment="1">
      <alignment vertical="center" wrapText="1"/>
    </xf>
    <xf numFmtId="0" fontId="288" fillId="0" borderId="65" xfId="0" applyFont="1" applyBorder="1" applyAlignment="1">
      <alignment horizontal="center" vertical="center" wrapText="1"/>
    </xf>
    <xf numFmtId="0" fontId="288" fillId="0" borderId="66" xfId="0" applyFont="1" applyBorder="1" applyAlignment="1">
      <alignment horizontal="center" vertical="center" wrapText="1"/>
    </xf>
    <xf numFmtId="179" fontId="86" fillId="5" borderId="21" xfId="0" applyNumberFormat="1" applyFont="1" applyFill="1" applyBorder="1" applyAlignment="1" applyProtection="1">
      <alignment horizontal="center" vertical="center"/>
    </xf>
    <xf numFmtId="179" fontId="77" fillId="5" borderId="10" xfId="0" applyNumberFormat="1" applyFont="1" applyFill="1" applyBorder="1" applyAlignment="1" applyProtection="1">
      <alignment horizontal="center" vertical="center"/>
    </xf>
    <xf numFmtId="179" fontId="77" fillId="5" borderId="21" xfId="0" applyNumberFormat="1" applyFont="1" applyFill="1" applyBorder="1" applyAlignment="1" applyProtection="1">
      <alignment horizontal="center" vertical="center"/>
    </xf>
    <xf numFmtId="179" fontId="77" fillId="5" borderId="71" xfId="0" applyNumberFormat="1" applyFont="1" applyFill="1" applyBorder="1" applyAlignment="1" applyProtection="1">
      <alignment horizontal="center" vertical="center"/>
    </xf>
    <xf numFmtId="176" fontId="153" fillId="0" borderId="10" xfId="0" applyNumberFormat="1" applyFont="1" applyFill="1" applyBorder="1" applyAlignment="1" applyProtection="1">
      <alignment horizontal="center" vertical="center"/>
      <protection locked="0"/>
    </xf>
    <xf numFmtId="176" fontId="77" fillId="5" borderId="2" xfId="0" applyNumberFormat="1" applyFont="1" applyFill="1" applyBorder="1" applyAlignment="1" applyProtection="1">
      <alignment horizontal="center" vertical="center"/>
    </xf>
    <xf numFmtId="176" fontId="77" fillId="5" borderId="2" xfId="2" applyNumberFormat="1" applyFont="1" applyFill="1" applyBorder="1" applyAlignment="1" applyProtection="1">
      <alignment horizontal="center"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wrapText="1"/>
    </xf>
    <xf numFmtId="179" fontId="77" fillId="5" borderId="44" xfId="0" applyNumberFormat="1"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94" fillId="0" borderId="31" xfId="0" applyFont="1" applyBorder="1" applyAlignment="1">
      <alignment vertical="center" wrapText="1"/>
    </xf>
    <xf numFmtId="0" fontId="178" fillId="0" borderId="35" xfId="0" applyFont="1" applyBorder="1" applyAlignment="1">
      <alignment horizontal="center" vertical="center" wrapText="1"/>
    </xf>
    <xf numFmtId="0" fontId="178" fillId="0" borderId="80" xfId="0" applyFont="1" applyBorder="1" applyAlignment="1">
      <alignment horizontal="center" vertical="center" wrapText="1"/>
    </xf>
    <xf numFmtId="0" fontId="286" fillId="0" borderId="159" xfId="0" applyFont="1" applyBorder="1" applyAlignment="1">
      <alignment horizontal="center" vertical="center" wrapText="1"/>
    </xf>
    <xf numFmtId="0" fontId="286" fillId="0" borderId="158" xfId="0" applyFont="1" applyBorder="1" applyAlignment="1">
      <alignment horizontal="center" vertical="center" wrapText="1"/>
    </xf>
    <xf numFmtId="0" fontId="288" fillId="0" borderId="155" xfId="0" applyFont="1" applyBorder="1" applyAlignment="1">
      <alignment horizontal="center" vertical="center" wrapText="1"/>
    </xf>
    <xf numFmtId="0" fontId="288" fillId="0" borderId="80" xfId="0" applyFont="1" applyBorder="1" applyAlignment="1">
      <alignment horizontal="center" vertical="center" wrapText="1"/>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161" fillId="0" borderId="26" xfId="0" applyFont="1" applyBorder="1" applyAlignment="1">
      <alignment horizontal="center" vertical="center" wrapText="1"/>
    </xf>
    <xf numFmtId="0" fontId="161" fillId="0" borderId="39"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195" fillId="0" borderId="2"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78" fillId="0" borderId="61"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0" fillId="6" borderId="9"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18" borderId="10" xfId="0" applyFill="1" applyBorder="1" applyAlignment="1">
      <alignment horizontal="center" vertical="center"/>
    </xf>
    <xf numFmtId="0" fontId="0" fillId="18" borderId="21"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9" xfId="0" applyFont="1" applyFill="1" applyBorder="1" applyAlignment="1">
      <alignment horizontal="center" vertical="center"/>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18" borderId="3" xfId="0" applyFill="1" applyBorder="1" applyAlignment="1">
      <alignment horizontal="center" vertical="center"/>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282" fillId="0" borderId="80" xfId="0" applyFont="1" applyBorder="1" applyAlignment="1">
      <alignment horizontal="center" vertical="center" wrapText="1"/>
    </xf>
    <xf numFmtId="0" fontId="195" fillId="0" borderId="154" xfId="0" applyFont="1" applyBorder="1" applyAlignment="1">
      <alignment horizontal="center" vertical="center" wrapText="1"/>
    </xf>
    <xf numFmtId="0" fontId="178" fillId="0" borderId="79" xfId="0" applyFont="1" applyBorder="1" applyAlignment="1">
      <alignment horizontal="center" vertical="center" wrapText="1"/>
    </xf>
    <xf numFmtId="0" fontId="178" fillId="0" borderId="154" xfId="0" applyFont="1" applyBorder="1" applyAlignment="1">
      <alignment horizontal="center" vertical="center" wrapText="1"/>
    </xf>
    <xf numFmtId="0" fontId="178" fillId="0" borderId="155" xfId="0" applyFont="1" applyBorder="1" applyAlignment="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180975</xdr:colOff>
      <xdr:row>23</xdr:row>
      <xdr:rowOff>70329</xdr:rowOff>
    </xdr:to>
    <xdr:pic>
      <xdr:nvPicPr>
        <xdr:cNvPr id="829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24775" cy="4013679"/>
        </a:xfrm>
        <a:prstGeom prst="rect">
          <a:avLst/>
        </a:prstGeom>
        <a:noFill/>
        <a:ln w="1">
          <a:noFill/>
          <a:miter lim="800000"/>
          <a:headEnd/>
          <a:tailEnd type="none" w="med" len="med"/>
        </a:ln>
        <a:effectLst/>
      </xdr:spPr>
    </xdr:pic>
    <xdr:clientData/>
  </xdr:twoCellAnchor>
  <xdr:twoCellAnchor editAs="oneCell">
    <xdr:from>
      <xdr:col>8</xdr:col>
      <xdr:colOff>171450</xdr:colOff>
      <xdr:row>0</xdr:row>
      <xdr:rowOff>66675</xdr:rowOff>
    </xdr:from>
    <xdr:to>
      <xdr:col>18</xdr:col>
      <xdr:colOff>581025</xdr:colOff>
      <xdr:row>5</xdr:row>
      <xdr:rowOff>66675</xdr:rowOff>
    </xdr:to>
    <xdr:pic>
      <xdr:nvPicPr>
        <xdr:cNvPr id="829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57850" y="66675"/>
          <a:ext cx="7267575" cy="8572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104775</xdr:rowOff>
    </xdr:from>
    <xdr:to>
      <xdr:col>11</xdr:col>
      <xdr:colOff>52279</xdr:colOff>
      <xdr:row>46</xdr:row>
      <xdr:rowOff>47624</xdr:rowOff>
    </xdr:to>
    <xdr:pic>
      <xdr:nvPicPr>
        <xdr:cNvPr id="8294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19575"/>
          <a:ext cx="7596079" cy="3714749"/>
        </a:xfrm>
        <a:prstGeom prst="rect">
          <a:avLst/>
        </a:prstGeom>
        <a:noFill/>
        <a:ln w="1">
          <a:noFill/>
          <a:miter lim="800000"/>
          <a:headEnd/>
          <a:tailEnd type="none" w="med" len="med"/>
        </a:ln>
        <a:effectLst/>
      </xdr:spPr>
    </xdr:pic>
    <xdr:clientData/>
  </xdr:twoCellAnchor>
  <xdr:twoCellAnchor editAs="oneCell">
    <xdr:from>
      <xdr:col>6</xdr:col>
      <xdr:colOff>219075</xdr:colOff>
      <xdr:row>23</xdr:row>
      <xdr:rowOff>161925</xdr:rowOff>
    </xdr:from>
    <xdr:to>
      <xdr:col>14</xdr:col>
      <xdr:colOff>666750</xdr:colOff>
      <xdr:row>27</xdr:row>
      <xdr:rowOff>142875</xdr:rowOff>
    </xdr:to>
    <xdr:pic>
      <xdr:nvPicPr>
        <xdr:cNvPr id="8294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333875" y="4105275"/>
          <a:ext cx="5934075" cy="6667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66675</xdr:rowOff>
    </xdr:from>
    <xdr:to>
      <xdr:col>10</xdr:col>
      <xdr:colOff>334952</xdr:colOff>
      <xdr:row>68</xdr:row>
      <xdr:rowOff>66675</xdr:rowOff>
    </xdr:to>
    <xdr:pic>
      <xdr:nvPicPr>
        <xdr:cNvPr id="8294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124825"/>
          <a:ext cx="7192952" cy="36004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19656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北京市出让国有建设用地使用权市场价格预评估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受贵公司委托，我公司对北京市出让国有建设用地使用权市场价格进行了预评估。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v>
      </c>
    </row>
    <row r="20" spans="1:48" s="2853" customFormat="1">
      <c r="A20" s="2854" t="s">
        <v>2673</v>
      </c>
      <c r="B20" s="2855" t="str">
        <f>'预评函-1'!A27</f>
        <v>——</v>
      </c>
    </row>
    <row r="21" spans="1:48" s="2869" customFormat="1" ht="15" thickBot="1">
      <c r="A21" s="2876" t="s">
        <v>2674</v>
      </c>
      <c r="B21" s="2877" t="str">
        <f>'预评函-1'!A28</f>
        <v>——</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28169</v>
      </c>
    </row>
    <row r="47" spans="1:2">
      <c r="A47" s="2854" t="s">
        <v>2724</v>
      </c>
      <c r="B47" s="2855">
        <f ca="1">'预评函-2'!Q5</f>
        <v>17617</v>
      </c>
    </row>
    <row r="48" spans="1:2">
      <c r="A48" s="2854" t="s">
        <v>2725</v>
      </c>
      <c r="B48" s="2855">
        <f ca="1">'预评函-2'!R5</f>
        <v>193641</v>
      </c>
    </row>
    <row r="49" spans="1:2">
      <c r="A49" s="2854" t="s">
        <v>2741</v>
      </c>
      <c r="B49" s="2855" t="str">
        <f>'预评函-2'!A6</f>
        <v>——</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A26" sqref="A26"/>
    </sheetView>
  </sheetViews>
  <sheetFormatPr defaultColWidth="10" defaultRowHeight="14.25"/>
  <cols>
    <col min="1" max="1" width="15.375" style="1688" customWidth="1"/>
    <col min="2" max="2" width="13.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71" t="str">
        <f>IF(B10="北京市","北京市",C10)&amp;F10&amp;B16&amp;"国有建设用地使用权"&amp;B9&amp;"预评估"</f>
        <v>北京市出让国有建设用地使用权市场价格预评估</v>
      </c>
      <c r="C1" s="3372"/>
      <c r="D1" s="3372"/>
      <c r="E1" s="3372"/>
      <c r="F1" s="3372"/>
      <c r="G1" s="3372"/>
      <c r="H1" s="3372"/>
      <c r="I1" s="3373"/>
      <c r="J1" s="1691"/>
      <c r="K1" s="2432"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77"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3166</v>
      </c>
      <c r="C9" s="1672"/>
      <c r="D9" s="3378"/>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74"/>
      <c r="C12" s="3375"/>
      <c r="D12" s="3376"/>
      <c r="E12" s="1696" t="s">
        <v>2061</v>
      </c>
      <c r="F12" s="3392" t="s">
        <v>2888</v>
      </c>
      <c r="G12" s="3393"/>
      <c r="H12" s="3393"/>
      <c r="I12" s="3394"/>
      <c r="J12" s="1691"/>
      <c r="K12" s="1771"/>
      <c r="L12" s="1720"/>
      <c r="M12" s="1720"/>
      <c r="N12" s="1691"/>
      <c r="O12" s="1692"/>
      <c r="P12" s="1691"/>
      <c r="Q12" s="1691"/>
      <c r="R12" s="1691"/>
      <c r="S12" s="1691"/>
      <c r="T12" s="1691"/>
      <c r="U12" s="1691"/>
    </row>
    <row r="13" spans="1:21">
      <c r="A13" s="1684" t="s">
        <v>2059</v>
      </c>
      <c r="B13" s="3374"/>
      <c r="C13" s="3375"/>
      <c r="D13" s="3376"/>
      <c r="E13" s="1696" t="s">
        <v>2061</v>
      </c>
      <c r="F13" s="3392" t="s">
        <v>2889</v>
      </c>
      <c r="G13" s="3393"/>
      <c r="H13" s="3393"/>
      <c r="I13" s="3394"/>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住宅2074年3月6日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地下仓储2054年3月6日</v>
      </c>
      <c r="T16" s="1696" t="str">
        <f>IF(OR(S16="",U16=""),"","、")</f>
        <v/>
      </c>
      <c r="U16" s="2433" t="str">
        <f>IF(I17="","",I16&amp;TEXT(I17,"yyyy年m月d日;;"))</f>
        <v/>
      </c>
    </row>
    <row r="17" spans="1:21">
      <c r="A17" s="1760"/>
      <c r="B17" s="1679"/>
      <c r="C17" s="1680" t="s">
        <v>1955</v>
      </c>
      <c r="D17" s="1697">
        <v>63619</v>
      </c>
      <c r="E17" s="1697">
        <v>52662</v>
      </c>
      <c r="F17" s="1697"/>
      <c r="G17" s="1697">
        <v>56314</v>
      </c>
      <c r="H17" s="1697">
        <v>56314</v>
      </c>
      <c r="I17" s="1697"/>
      <c r="J17" s="1691"/>
      <c r="K17" s="2432" t="str">
        <f>CONCATENATE(K16,L16,M16,N16,O16,P16,Q16,R16,S16,T16,,U16)</f>
        <v>住宅2074年3月6日、商业2044年3月6日地下车库2054年3月6日、地下仓储2054年3月6日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55.04</v>
      </c>
      <c r="E19" s="1682">
        <f>IF(B16="出让",IF(E17="","",ROUNDDOWN(MIN((E17-$D$3)/365,E18),2)),E18)</f>
        <v>25.02</v>
      </c>
      <c r="F19" s="1682" t="str">
        <f>IF(B16="出让",IF(F17="","",ROUNDDOWN(MIN((F17-$D$3)/365,F18),2)),F18)</f>
        <v/>
      </c>
      <c r="G19" s="1682">
        <f>IF(B16="出让",IF(G17="","",ROUNDDOWN(MIN((G17-$D$3)/365,G18),2)),G18)</f>
        <v>35.03</v>
      </c>
      <c r="H19" s="1682">
        <f>IF(B16="出让",IF(H17="","",ROUNDDOWN(MIN((H17-$D$3)/365,H18),2)),H18)</f>
        <v>35.03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89"/>
      <c r="E20" s="3390"/>
      <c r="F20" s="3390"/>
      <c r="G20" s="3390"/>
      <c r="H20" s="3390"/>
      <c r="I20" s="3391"/>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79" t="s">
        <v>1998</v>
      </c>
      <c r="F21" s="3380"/>
      <c r="G21" s="3380"/>
      <c r="H21" s="3380"/>
      <c r="I21" s="3381"/>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79" t="s">
        <v>2890</v>
      </c>
      <c r="F22" s="3380"/>
      <c r="G22" s="3380"/>
      <c r="H22" s="3380"/>
      <c r="I22" s="3381"/>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82" t="s">
        <v>1966</v>
      </c>
      <c r="C24" s="3383"/>
      <c r="D24" s="3384" t="s">
        <v>1967</v>
      </c>
      <c r="E24" s="3385"/>
      <c r="F24" s="1705" t="s">
        <v>1968</v>
      </c>
      <c r="G24" s="1691"/>
      <c r="H24" s="1691"/>
      <c r="I24" s="1704"/>
      <c r="J24" s="1691"/>
      <c r="K24" s="3370"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70"/>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70"/>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56" t="s">
        <v>2001</v>
      </c>
      <c r="B31" s="1761" t="s">
        <v>2002</v>
      </c>
      <c r="C31" s="3395"/>
      <c r="D31" s="3396"/>
      <c r="E31" s="1691"/>
      <c r="F31" s="1691"/>
      <c r="G31" s="1691"/>
      <c r="H31" s="1691"/>
      <c r="I31" s="1704"/>
      <c r="J31" s="1691"/>
      <c r="K31" s="2435"/>
      <c r="L31" s="1691"/>
      <c r="M31" s="1691"/>
      <c r="N31" s="1691"/>
      <c r="O31" s="1691"/>
      <c r="P31" s="1691"/>
      <c r="Q31" s="1691"/>
      <c r="R31" s="1691"/>
      <c r="S31" s="1691"/>
      <c r="T31" s="1691"/>
      <c r="U31" s="1691"/>
    </row>
    <row r="32" spans="1:21">
      <c r="A32" s="3356"/>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56"/>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57"/>
      <c r="B34" s="1658" t="s">
        <v>2005</v>
      </c>
      <c r="C34" s="3358"/>
      <c r="D34" s="3359"/>
      <c r="E34" s="1691"/>
      <c r="F34" s="1691"/>
      <c r="G34" s="1691"/>
      <c r="H34" s="1691"/>
      <c r="I34" s="1704"/>
      <c r="J34" s="1691"/>
      <c r="K34" s="2435"/>
      <c r="L34" s="1691"/>
      <c r="M34" s="1691"/>
      <c r="N34" s="1691"/>
      <c r="O34" s="1691"/>
      <c r="P34" s="1691"/>
      <c r="Q34" s="1691"/>
      <c r="R34" s="1691"/>
      <c r="S34" s="1691"/>
      <c r="T34" s="1691"/>
      <c r="U34" s="1691"/>
    </row>
    <row r="35" spans="1:21">
      <c r="A35" s="3360" t="s">
        <v>846</v>
      </c>
      <c r="B35" s="1719"/>
      <c r="C35" s="1773" t="str">
        <f>IF(B35="场地平整","——","具体情况：")</f>
        <v>具体情况：</v>
      </c>
      <c r="D35" s="3362"/>
      <c r="E35" s="3363"/>
      <c r="F35" s="3363"/>
      <c r="G35" s="3363"/>
      <c r="H35" s="3363"/>
      <c r="I35" s="3364"/>
      <c r="J35" s="1691"/>
      <c r="K35" s="1772"/>
      <c r="L35" s="1720"/>
      <c r="M35" s="1720"/>
      <c r="N35" s="1691"/>
      <c r="O35" s="1692"/>
      <c r="P35" s="1691"/>
      <c r="Q35" s="1691"/>
      <c r="R35" s="1691"/>
      <c r="S35" s="1691"/>
      <c r="T35" s="1691"/>
      <c r="U35" s="1691"/>
    </row>
    <row r="36" spans="1:21">
      <c r="A36" s="3356"/>
      <c r="B36" s="3365" t="s">
        <v>2054</v>
      </c>
      <c r="C36" s="3366"/>
      <c r="D36" s="1789"/>
      <c r="E36" s="3367"/>
      <c r="F36" s="3367"/>
      <c r="G36" s="1684" t="str">
        <f>IF(B35="场地未平整","估价结果处理","")</f>
        <v/>
      </c>
      <c r="H36" s="3368"/>
      <c r="I36" s="3368"/>
      <c r="J36" s="1691"/>
      <c r="K36" s="1772"/>
      <c r="L36" s="1720"/>
      <c r="M36" s="1720"/>
      <c r="N36" s="1691"/>
      <c r="O36" s="1692"/>
      <c r="P36" s="1691"/>
      <c r="Q36" s="1691"/>
      <c r="R36" s="1691"/>
      <c r="S36" s="1691"/>
      <c r="T36" s="1691"/>
      <c r="U36" s="1691"/>
    </row>
    <row r="37" spans="1:21" ht="28.5">
      <c r="A37" s="3356"/>
      <c r="B37" s="3386"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56"/>
      <c r="B38" s="3387"/>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57"/>
      <c r="B39" s="338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69" t="s">
        <v>1985</v>
      </c>
      <c r="T40" s="1728" t="str">
        <f>NUMBERSTRING(7-K40,1)&amp;"通"</f>
        <v>七通</v>
      </c>
      <c r="U40" s="1691"/>
    </row>
    <row r="41" spans="1:21">
      <c r="A41" s="1660"/>
      <c r="B41" s="3361" t="s">
        <v>1721</v>
      </c>
      <c r="C41" s="3361"/>
      <c r="D41" s="3361"/>
      <c r="E41" s="3361"/>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69"/>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7" t="s">
        <v>0</v>
      </c>
      <c r="B1" s="3397" t="s">
        <v>4</v>
      </c>
      <c r="C1" s="3397" t="s">
        <v>5</v>
      </c>
      <c r="D1" s="3398" t="s">
        <v>40</v>
      </c>
      <c r="E1" s="3398" t="s">
        <v>41</v>
      </c>
      <c r="F1" s="3398"/>
      <c r="G1" s="3398"/>
      <c r="H1" s="3398"/>
      <c r="I1" s="3398"/>
      <c r="J1" s="3398"/>
      <c r="K1" s="3398"/>
      <c r="L1" s="3398"/>
      <c r="M1" s="3398"/>
    </row>
    <row r="2" spans="1:13" ht="27" customHeight="1">
      <c r="A2" s="3397"/>
      <c r="B2" s="3397"/>
      <c r="C2" s="3397"/>
      <c r="D2" s="3398"/>
      <c r="E2" s="3398" t="s">
        <v>24</v>
      </c>
      <c r="F2" s="3398" t="s">
        <v>25</v>
      </c>
      <c r="G2" s="3398"/>
      <c r="H2" s="3398"/>
      <c r="I2" s="3398"/>
      <c r="J2" s="3398" t="s">
        <v>26</v>
      </c>
      <c r="K2" s="3398"/>
      <c r="L2" s="3398"/>
      <c r="M2" s="3398"/>
    </row>
    <row r="3" spans="1:13" ht="28.5">
      <c r="A3" s="3397"/>
      <c r="B3" s="3397"/>
      <c r="C3" s="3397"/>
      <c r="D3" s="3398"/>
      <c r="E3" s="33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8" t="s">
        <v>42</v>
      </c>
      <c r="B9" s="3398"/>
      <c r="C9" s="33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N10" sqref="N1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408" t="s">
        <v>202</v>
      </c>
      <c r="B2" s="3408"/>
      <c r="C2" s="3408"/>
      <c r="D2" s="1973" t="s">
        <v>203</v>
      </c>
      <c r="E2" s="106" t="s">
        <v>204</v>
      </c>
      <c r="F2" s="1982"/>
      <c r="G2" s="1197"/>
      <c r="H2" s="1198"/>
      <c r="I2" s="1199" t="s">
        <v>856</v>
      </c>
      <c r="J2" s="1982"/>
      <c r="K2" s="1982"/>
      <c r="L2" s="1982"/>
    </row>
    <row r="3" spans="1:16" ht="15.75" thickBot="1">
      <c r="A3" s="3409" t="s">
        <v>205</v>
      </c>
      <c r="B3" s="3409"/>
      <c r="C3" s="3409"/>
      <c r="D3" s="107">
        <f>'数据-基础表'!AY6</f>
        <v>68743.19</v>
      </c>
      <c r="E3" s="107">
        <f>'数据-基础表'!AZ5</f>
        <v>109920</v>
      </c>
      <c r="F3" s="1982"/>
      <c r="G3" s="280" t="s">
        <v>857</v>
      </c>
      <c r="H3" s="275" t="s">
        <v>858</v>
      </c>
      <c r="I3" s="1974">
        <f>ROUND('数据-基础表'!B3/'数据-基础表'!A3,2)</f>
        <v>1.6</v>
      </c>
      <c r="J3" s="1982"/>
      <c r="K3" s="1982"/>
      <c r="L3" s="1982"/>
    </row>
    <row r="4" spans="1:16" ht="15">
      <c r="A4" s="3410"/>
      <c r="B4" s="3411"/>
      <c r="C4" s="3412"/>
      <c r="D4" s="108" t="s">
        <v>203</v>
      </c>
      <c r="E4" s="109" t="s">
        <v>204</v>
      </c>
      <c r="F4" s="1982"/>
      <c r="G4" s="1200"/>
      <c r="H4" s="275" t="s">
        <v>859</v>
      </c>
      <c r="I4" s="1974">
        <f>ROUND(SUMIF('数据-基础表'!I9:AS9,"地上",'数据-基础表'!I5:AS5)/'数据-基础表'!A3,2)</f>
        <v>1.44</v>
      </c>
      <c r="J4" s="1982"/>
      <c r="K4" s="1982"/>
      <c r="L4" s="1982"/>
    </row>
    <row r="5" spans="1:16">
      <c r="A5" s="110" t="s">
        <v>206</v>
      </c>
      <c r="B5" s="3413" t="s">
        <v>229</v>
      </c>
      <c r="C5" s="3413"/>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413" t="s">
        <v>207</v>
      </c>
      <c r="C6" s="3413"/>
      <c r="D6" s="111">
        <f>ROUND($D$3*E6/$E$3,2)</f>
        <v>16680.59</v>
      </c>
      <c r="E6" s="112">
        <f>E3-E5</f>
        <v>26672.179999999993</v>
      </c>
      <c r="F6" s="1982"/>
      <c r="G6" s="1200"/>
      <c r="H6" s="275" t="s">
        <v>859</v>
      </c>
      <c r="I6" s="1974">
        <f>ROUND(F31/D31,2)</f>
        <v>1.44</v>
      </c>
      <c r="J6" s="1982"/>
      <c r="K6" s="1982"/>
      <c r="L6" s="1982"/>
    </row>
    <row r="7" spans="1:16" ht="15">
      <c r="A7" s="3405"/>
      <c r="B7" s="3406"/>
      <c r="C7" s="3407"/>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99" t="s">
        <v>2566</v>
      </c>
      <c r="L16" s="3400"/>
      <c r="M16" s="3400"/>
      <c r="N16" s="3400"/>
      <c r="O16" s="3400"/>
      <c r="P16" s="3401"/>
    </row>
    <row r="17" spans="1:19" ht="15">
      <c r="A17" s="121" t="s">
        <v>215</v>
      </c>
      <c r="B17" s="122" t="s">
        <v>216</v>
      </c>
      <c r="C17" s="2296" t="s">
        <v>2313</v>
      </c>
      <c r="D17" s="108" t="s">
        <v>203</v>
      </c>
      <c r="E17" s="124" t="s">
        <v>204</v>
      </c>
      <c r="F17" s="125"/>
      <c r="G17" s="1364"/>
      <c r="H17" s="969" t="s">
        <v>217</v>
      </c>
      <c r="I17" s="970" t="s">
        <v>2312</v>
      </c>
      <c r="J17" s="1982"/>
      <c r="K17" s="3402" t="s">
        <v>2567</v>
      </c>
      <c r="L17" s="3403"/>
      <c r="M17" s="3404"/>
      <c r="N17" s="3402" t="s">
        <v>2568</v>
      </c>
      <c r="O17" s="3403"/>
      <c r="P17" s="3404"/>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63619</v>
      </c>
      <c r="F6" s="174">
        <f>SUMIF(项目基本情况!D$15:I$15,C6,项目基本情况!D$19:I$19)</f>
        <v>55.04</v>
      </c>
      <c r="G6" s="175">
        <f>IF(ISERROR(ROUND(POWER(1+H6,D6-F6)*(POWER(1+H6,F6)-1)/(POWER(1+H6,D6)-1),3)),0,ROUND(POWER(1+H6,D6-F6)*(POWER(1+H6,F6)-1)/(POWER(1+H6,D6)-1),3))</f>
        <v>0.94499999999999995</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0.88500000000000001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hidden="1">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56314</v>
      </c>
      <c r="F8" s="174">
        <f>SUMIF(项目基本情况!D$15:I$15,C8,项目基本情况!D$19:I$19)</f>
        <v>35.03</v>
      </c>
      <c r="G8" s="175">
        <f t="shared" si="2"/>
        <v>0.83599999999999997</v>
      </c>
      <c r="H8" s="3298">
        <v>0.03</v>
      </c>
      <c r="I8" s="3298">
        <v>3.5000000000000003E-2</v>
      </c>
      <c r="J8" s="3299">
        <v>4.4999999999999998E-2</v>
      </c>
      <c r="K8" s="179">
        <f>SUMIF('数据-汇总表'!C$19:C$33,'数据-取费表'!A8,'数据-汇总表'!E$19:E$33)</f>
        <v>2364.58</v>
      </c>
      <c r="L8" s="3293">
        <v>1800</v>
      </c>
      <c r="M8" s="177">
        <f>ROUND(K8*L8/10000,2)</f>
        <v>425.62</v>
      </c>
      <c r="N8" s="3001">
        <v>0</v>
      </c>
      <c r="O8" s="177">
        <f t="shared" si="3"/>
        <v>0</v>
      </c>
      <c r="P8" s="178">
        <f t="shared" si="4"/>
        <v>425.62</v>
      </c>
      <c r="Q8" s="3295">
        <v>0.12</v>
      </c>
      <c r="R8" s="179">
        <f>SUMIF('数据-汇总表'!C$19:C$33,A8,'数据-汇总表'!R$19:R$33)</f>
        <v>1478.79</v>
      </c>
      <c r="S8" s="132">
        <f>IF('数据-汇总表'!$I$17="按面积比例",SUMIF('数据-汇总表'!C$19:C$33,A8,'数据-汇总表'!K$19:K$33),SUMIF('数据-汇总表'!C$19:C$33,A8,'数据-汇总表'!N$19:N$33))</f>
        <v>0</v>
      </c>
      <c r="T8" s="2232" t="str">
        <f t="shared" si="5"/>
        <v>0</v>
      </c>
      <c r="U8" s="180">
        <v>1.5</v>
      </c>
      <c r="V8" s="181">
        <v>0.01</v>
      </c>
      <c r="W8" s="181">
        <v>0.1</v>
      </c>
      <c r="X8" s="2319"/>
      <c r="Y8" s="182">
        <v>1</v>
      </c>
      <c r="Z8" s="183"/>
      <c r="AA8" s="176"/>
      <c r="AB8" s="176"/>
      <c r="AC8" s="2322"/>
      <c r="AD8" s="184"/>
      <c r="AE8" s="971">
        <f t="shared" ca="1" si="6"/>
        <v>35.03</v>
      </c>
      <c r="AF8" s="3294">
        <f>F8</f>
        <v>35.03</v>
      </c>
      <c r="AG8" s="1212">
        <f t="shared" ca="1" si="7"/>
        <v>0</v>
      </c>
      <c r="AH8" s="141">
        <f>'数据-基础表'!M15</f>
        <v>2364.58</v>
      </c>
      <c r="AI8" s="187">
        <v>365</v>
      </c>
      <c r="AJ8" s="188"/>
      <c r="AK8" s="189">
        <v>0.01</v>
      </c>
      <c r="AL8" s="190">
        <v>1E-3</v>
      </c>
      <c r="AM8" s="2367">
        <v>0.01</v>
      </c>
      <c r="AN8" s="2369" t="s">
        <v>3175</v>
      </c>
      <c r="AO8" s="1998"/>
      <c r="AP8" s="1203">
        <f t="shared" si="8"/>
        <v>0.64500000000000002</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0.91600000000000004</v>
      </c>
      <c r="H16" s="203">
        <f>ROUND(SUMPRODUCT(H6:H13,K6:K13)/SUMPRODUCT((H6:H13&gt;0)*(K6:K13)),3)</f>
        <v>0.04</v>
      </c>
      <c r="I16" s="204"/>
      <c r="J16" s="204"/>
      <c r="K16" s="205">
        <f>SUM(K6:K15)</f>
        <v>109920</v>
      </c>
      <c r="L16" s="206">
        <f>ROUND(M16*10000/SUM(K6:K14),0)</f>
        <v>2562</v>
      </c>
      <c r="M16" s="206">
        <f>SUM(M6:M14)</f>
        <v>28164.62</v>
      </c>
      <c r="N16" s="207">
        <f>ROUND(SUMPRODUCT(M6:M14,N6:N14)/M16,3)</f>
        <v>0</v>
      </c>
      <c r="O16" s="206">
        <f>SUM(O6:O14)</f>
        <v>0</v>
      </c>
      <c r="P16" s="206">
        <f>SUM(P6:P14)</f>
        <v>28164.62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0.83399999999999996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0.01</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0.01</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193641</v>
      </c>
      <c r="C5" s="3019">
        <f ca="1">ROUND(B5*10000/$B$1,0)</f>
        <v>17617</v>
      </c>
      <c r="D5" s="3019">
        <f ca="1">ROUND(B5*10000/$B$2,0)</f>
        <v>28169</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193641</v>
      </c>
      <c r="E14" s="3023">
        <f ca="1">ROUND(D14*10000/B14,0)</f>
        <v>17617</v>
      </c>
      <c r="F14" s="3023">
        <f ca="1">ROUND(D14*10000/C14,0)</f>
        <v>28169</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450" t="str">
        <f>项目基本情况!K2</f>
        <v>北京市出让国有建设用地使用权</v>
      </c>
      <c r="B2" s="3451"/>
      <c r="C2" s="3452"/>
      <c r="D2" s="3452"/>
      <c r="E2" s="3452"/>
      <c r="F2" s="3452"/>
      <c r="G2" s="3451"/>
      <c r="H2" s="3451"/>
      <c r="I2" s="3453"/>
      <c r="J2" s="2028"/>
      <c r="K2" s="2027"/>
      <c r="L2" s="2027"/>
      <c r="M2" s="2027"/>
      <c r="N2" s="2027"/>
      <c r="O2" s="2027"/>
      <c r="P2" s="2027"/>
      <c r="Q2" s="2027"/>
      <c r="R2" s="2027"/>
      <c r="S2" s="2027"/>
      <c r="T2" s="2027"/>
      <c r="U2" s="2027"/>
      <c r="V2" s="2027"/>
    </row>
    <row r="3" spans="1:22" ht="14.25">
      <c r="A3" s="3443" t="s">
        <v>297</v>
      </c>
      <c r="B3" s="3444"/>
      <c r="C3" s="3444"/>
      <c r="D3" s="3444"/>
      <c r="E3" s="3444"/>
      <c r="F3" s="3444"/>
      <c r="G3" s="3444"/>
      <c r="H3" s="3444"/>
      <c r="I3" s="3444"/>
      <c r="J3" s="2028"/>
      <c r="K3" s="2027"/>
      <c r="L3" s="2027"/>
      <c r="M3" s="2027"/>
      <c r="N3" s="2027"/>
      <c r="O3" s="2027"/>
      <c r="P3" s="2027"/>
      <c r="Q3" s="2027"/>
      <c r="R3" s="2027"/>
      <c r="S3" s="2027"/>
      <c r="T3" s="2027"/>
      <c r="U3" s="2027"/>
      <c r="V3" s="2027"/>
    </row>
    <row r="4" spans="1:22" ht="14.25">
      <c r="A4" s="258" t="s">
        <v>298</v>
      </c>
      <c r="B4" s="259" t="s">
        <v>299</v>
      </c>
      <c r="C4" s="260" t="s">
        <v>3025</v>
      </c>
      <c r="D4" s="260" t="s">
        <v>3198</v>
      </c>
      <c r="E4" s="3415" t="s">
        <v>300</v>
      </c>
      <c r="F4" s="3416"/>
      <c r="G4" s="3416"/>
      <c r="H4" s="3416"/>
      <c r="I4" s="3445"/>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14" t="s">
        <v>301</v>
      </c>
      <c r="B5" s="3440">
        <v>25</v>
      </c>
      <c r="C5" s="3438">
        <v>0.5</v>
      </c>
      <c r="D5" s="3442">
        <v>0.5</v>
      </c>
      <c r="E5" s="261" t="s">
        <v>302</v>
      </c>
      <c r="F5" s="262"/>
      <c r="G5" s="262"/>
      <c r="H5" s="262"/>
      <c r="I5" s="263"/>
      <c r="J5" s="2028"/>
      <c r="K5" s="2027"/>
      <c r="L5" s="2027"/>
      <c r="M5" s="2027"/>
      <c r="N5" s="2027"/>
      <c r="O5" s="2027"/>
      <c r="P5" s="2027"/>
      <c r="Q5" s="2027"/>
      <c r="R5" s="2027"/>
      <c r="S5" s="2027"/>
      <c r="T5" s="2027"/>
      <c r="U5" s="2027"/>
      <c r="V5" s="2027"/>
    </row>
    <row r="6" spans="1:22" ht="14.25">
      <c r="A6" s="3414"/>
      <c r="B6" s="3440"/>
      <c r="C6" s="3441"/>
      <c r="D6" s="3442"/>
      <c r="E6" s="261" t="s">
        <v>303</v>
      </c>
      <c r="F6" s="262"/>
      <c r="G6" s="262"/>
      <c r="H6" s="262"/>
      <c r="I6" s="263"/>
      <c r="J6" s="2028"/>
      <c r="K6" s="2027"/>
      <c r="L6" s="2027"/>
      <c r="M6" s="2027"/>
      <c r="N6" s="2027"/>
      <c r="O6" s="2027"/>
      <c r="P6" s="2027"/>
      <c r="Q6" s="2027"/>
      <c r="R6" s="2027"/>
      <c r="S6" s="2027"/>
      <c r="T6" s="2027"/>
      <c r="U6" s="2027"/>
      <c r="V6" s="2027"/>
    </row>
    <row r="7" spans="1:22" ht="14.25">
      <c r="A7" s="3414"/>
      <c r="B7" s="3440"/>
      <c r="C7" s="3439"/>
      <c r="D7" s="3442"/>
      <c r="E7" s="261" t="s">
        <v>304</v>
      </c>
      <c r="F7" s="262"/>
      <c r="G7" s="262"/>
      <c r="H7" s="262"/>
      <c r="I7" s="263"/>
      <c r="J7" s="2028"/>
      <c r="K7" s="2027"/>
      <c r="L7" s="2027"/>
      <c r="M7" s="2027"/>
      <c r="N7" s="2027"/>
      <c r="O7" s="2027"/>
      <c r="P7" s="2027"/>
      <c r="Q7" s="2027"/>
      <c r="R7" s="2027"/>
      <c r="S7" s="2027"/>
      <c r="T7" s="2027"/>
      <c r="U7" s="2027"/>
      <c r="V7" s="2027"/>
    </row>
    <row r="8" spans="1:22" ht="14.25">
      <c r="A8" s="3414" t="s">
        <v>305</v>
      </c>
      <c r="B8" s="3440">
        <v>15</v>
      </c>
      <c r="C8" s="3438"/>
      <c r="D8" s="3442"/>
      <c r="E8" s="261" t="s">
        <v>306</v>
      </c>
      <c r="F8" s="262"/>
      <c r="G8" s="262"/>
      <c r="H8" s="262"/>
      <c r="I8" s="263"/>
      <c r="J8" s="2028"/>
      <c r="K8" s="2027"/>
      <c r="L8" s="2027"/>
      <c r="M8" s="2027"/>
      <c r="N8" s="2027"/>
      <c r="O8" s="2027"/>
      <c r="P8" s="2027"/>
      <c r="Q8" s="2027"/>
      <c r="R8" s="2027"/>
      <c r="S8" s="2027"/>
      <c r="T8" s="2027"/>
      <c r="U8" s="2027"/>
      <c r="V8" s="2027"/>
    </row>
    <row r="9" spans="1:22" ht="14.25">
      <c r="A9" s="3414"/>
      <c r="B9" s="3440"/>
      <c r="C9" s="3439"/>
      <c r="D9" s="3442"/>
      <c r="E9" s="261" t="s">
        <v>307</v>
      </c>
      <c r="F9" s="262"/>
      <c r="G9" s="262"/>
      <c r="H9" s="262"/>
      <c r="I9" s="263"/>
      <c r="J9" s="2028"/>
      <c r="K9" s="2027"/>
      <c r="L9" s="2027"/>
      <c r="M9" s="2027"/>
      <c r="N9" s="2027"/>
      <c r="O9" s="2027"/>
      <c r="P9" s="2027"/>
      <c r="Q9" s="2027"/>
      <c r="R9" s="2027"/>
      <c r="S9" s="2027"/>
      <c r="T9" s="2027"/>
      <c r="U9" s="2027"/>
      <c r="V9" s="2027"/>
    </row>
    <row r="10" spans="1:22" ht="14.25">
      <c r="A10" s="3414" t="s">
        <v>308</v>
      </c>
      <c r="B10" s="3440">
        <v>15</v>
      </c>
      <c r="C10" s="3438"/>
      <c r="D10" s="3442"/>
      <c r="E10" s="261" t="s">
        <v>309</v>
      </c>
      <c r="F10" s="262"/>
      <c r="G10" s="262"/>
      <c r="H10" s="262"/>
      <c r="I10" s="263"/>
      <c r="J10" s="2028"/>
      <c r="K10" s="2027"/>
      <c r="L10" s="2027"/>
      <c r="M10" s="2027"/>
      <c r="N10" s="2027"/>
      <c r="O10" s="2027"/>
      <c r="P10" s="2027"/>
      <c r="Q10" s="2027"/>
      <c r="R10" s="2027"/>
      <c r="S10" s="2027"/>
      <c r="T10" s="2027"/>
      <c r="U10" s="2027"/>
      <c r="V10" s="2027"/>
    </row>
    <row r="11" spans="1:22" ht="14.25">
      <c r="A11" s="3414"/>
      <c r="B11" s="3440"/>
      <c r="C11" s="3439"/>
      <c r="D11" s="3442"/>
      <c r="E11" s="261" t="s">
        <v>310</v>
      </c>
      <c r="F11" s="262"/>
      <c r="G11" s="262"/>
      <c r="H11" s="262"/>
      <c r="I11" s="263"/>
      <c r="J11" s="2028"/>
      <c r="K11" s="2027"/>
      <c r="L11" s="2027"/>
      <c r="M11" s="2027"/>
      <c r="N11" s="2027"/>
      <c r="O11" s="2027"/>
      <c r="P11" s="2027"/>
      <c r="Q11" s="2027"/>
      <c r="R11" s="2027"/>
      <c r="S11" s="2027"/>
      <c r="T11" s="2027"/>
      <c r="U11" s="2027"/>
      <c r="V11" s="2027"/>
    </row>
    <row r="12" spans="1:22" ht="14.25">
      <c r="A12" s="3414" t="s">
        <v>311</v>
      </c>
      <c r="B12" s="3440">
        <v>15</v>
      </c>
      <c r="C12" s="3438"/>
      <c r="D12" s="3442"/>
      <c r="E12" s="261" t="s">
        <v>312</v>
      </c>
      <c r="F12" s="262"/>
      <c r="G12" s="262"/>
      <c r="H12" s="262"/>
      <c r="I12" s="263"/>
      <c r="J12" s="2028"/>
      <c r="K12" s="2027"/>
      <c r="L12" s="2027"/>
      <c r="M12" s="2027"/>
      <c r="N12" s="2027"/>
      <c r="O12" s="2027"/>
      <c r="P12" s="2027"/>
      <c r="Q12" s="2027"/>
      <c r="R12" s="2027"/>
      <c r="S12" s="2027"/>
      <c r="T12" s="2027"/>
      <c r="U12" s="2027"/>
      <c r="V12" s="2027"/>
    </row>
    <row r="13" spans="1:22" ht="14.25">
      <c r="A13" s="3414"/>
      <c r="B13" s="3440"/>
      <c r="C13" s="3439"/>
      <c r="D13" s="3442"/>
      <c r="E13" s="261" t="s">
        <v>313</v>
      </c>
      <c r="F13" s="262"/>
      <c r="G13" s="262"/>
      <c r="H13" s="262"/>
      <c r="I13" s="263"/>
      <c r="J13" s="2028"/>
      <c r="K13" s="2027"/>
      <c r="L13" s="2027"/>
      <c r="M13" s="2027"/>
      <c r="N13" s="2027"/>
      <c r="O13" s="2027"/>
      <c r="P13" s="2027"/>
      <c r="Q13" s="2027"/>
      <c r="R13" s="2027"/>
      <c r="S13" s="2027"/>
      <c r="T13" s="2027"/>
      <c r="U13" s="2027"/>
      <c r="V13" s="2027"/>
    </row>
    <row r="14" spans="1:22" ht="14.25">
      <c r="A14" s="3414" t="s">
        <v>314</v>
      </c>
      <c r="B14" s="3440">
        <v>30</v>
      </c>
      <c r="C14" s="3438"/>
      <c r="D14" s="3442"/>
      <c r="E14" s="261" t="s">
        <v>315</v>
      </c>
      <c r="F14" s="262"/>
      <c r="G14" s="262"/>
      <c r="H14" s="262"/>
      <c r="I14" s="263"/>
      <c r="J14" s="2028"/>
      <c r="K14" s="2027"/>
      <c r="L14" s="2027"/>
      <c r="M14" s="2027"/>
      <c r="N14" s="2027"/>
      <c r="O14" s="2027"/>
      <c r="P14" s="2027"/>
      <c r="Q14" s="2027"/>
      <c r="R14" s="2027"/>
      <c r="S14" s="2027"/>
      <c r="T14" s="2027"/>
      <c r="U14" s="2027"/>
      <c r="V14" s="2027"/>
    </row>
    <row r="15" spans="1:22" ht="14.25">
      <c r="A15" s="3414"/>
      <c r="B15" s="3440"/>
      <c r="C15" s="3441"/>
      <c r="D15" s="3442"/>
      <c r="E15" s="261" t="s">
        <v>316</v>
      </c>
      <c r="F15" s="262"/>
      <c r="G15" s="262"/>
      <c r="H15" s="262"/>
      <c r="I15" s="263"/>
      <c r="J15" s="2028"/>
      <c r="K15" s="2027"/>
      <c r="L15" s="2027"/>
      <c r="M15" s="2027"/>
      <c r="N15" s="2027"/>
      <c r="O15" s="2027"/>
      <c r="P15" s="2027"/>
      <c r="Q15" s="2027"/>
      <c r="R15" s="2027"/>
      <c r="S15" s="2027"/>
      <c r="T15" s="2027"/>
      <c r="U15" s="2027"/>
      <c r="V15" s="2027"/>
    </row>
    <row r="16" spans="1:22" ht="14.25">
      <c r="A16" s="3414"/>
      <c r="B16" s="3440"/>
      <c r="C16" s="3439"/>
      <c r="D16" s="3442"/>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229339</v>
      </c>
      <c r="D19" s="271">
        <f ca="1">SUMIF(INDIRECT("'"&amp;D4&amp;"'"&amp;"!A:A"),结果表!B19,INDIRECT("'"&amp;D4&amp;"'"&amp;"!B:B"))</f>
        <v>157943</v>
      </c>
      <c r="E19" s="268" t="s">
        <v>322</v>
      </c>
      <c r="F19" s="269" t="s">
        <v>321</v>
      </c>
      <c r="G19" s="272">
        <f ca="1">ROUND(C19*$C$18+D19*$D$18,0)</f>
        <v>193641</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27549</v>
      </c>
      <c r="D20" s="277">
        <f ca="1">SUMIF(INDIRECT("'"&amp;D4&amp;"'"&amp;"!A:A"),结果表!B20,INDIRECT("'"&amp;D4&amp;"'"&amp;"!B:B"))</f>
        <v>16519</v>
      </c>
      <c r="E20" s="274"/>
      <c r="F20" s="275" t="s">
        <v>324</v>
      </c>
      <c r="G20" s="278">
        <f ca="1">ROUND(C20*$C$18+D20*$D$18,0)</f>
        <v>22034</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44051</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0.45203649417827951</v>
      </c>
      <c r="E22" s="284"/>
      <c r="F22" s="285"/>
      <c r="G22" s="286">
        <f ca="1">ROUND(G19/('数据-汇总表'!D3/666.67),0)</f>
        <v>1878</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420"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421"/>
      <c r="B25" s="1320" t="s">
        <v>330</v>
      </c>
      <c r="C25" s="290">
        <f>IF(B30=0,0,C30)</f>
        <v>0</v>
      </c>
      <c r="D25" s="291"/>
      <c r="E25" s="311"/>
      <c r="F25" s="311"/>
      <c r="G25" s="311"/>
      <c r="H25" s="311"/>
      <c r="I25" s="311"/>
      <c r="J25" s="2027"/>
      <c r="K25" s="1254" t="str">
        <f ca="1">项目基本情况!B16&amp;"国有建设用地使用权价格："&amp;O38&amp;"万元"</f>
        <v>出让国有建设用地使用权价格：193641万元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大写金额：人民币壹拾玖亿叁仟陆佰肆拾壹万元整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单位面积地价：28169元/平方米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楼面地价：17617元/平方米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193641</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17617</v>
      </c>
      <c r="D33" s="1384" t="s">
        <v>1691</v>
      </c>
      <c r="E33" s="3420"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28169</v>
      </c>
      <c r="D34" s="1386" t="s">
        <v>1691</v>
      </c>
      <c r="E34" s="3461"/>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1878</v>
      </c>
      <c r="D35" s="1389" t="s">
        <v>1693</v>
      </c>
      <c r="E35" s="3462"/>
      <c r="F35" s="301" t="s">
        <v>341</v>
      </c>
      <c r="G35" s="981"/>
      <c r="H35" s="980" t="s">
        <v>342</v>
      </c>
      <c r="I35" s="311"/>
      <c r="J35" s="2027"/>
      <c r="K35" s="3435" t="s">
        <v>349</v>
      </c>
      <c r="L35" s="3435" t="s">
        <v>350</v>
      </c>
      <c r="M35" s="1263" t="s">
        <v>351</v>
      </c>
      <c r="N35" s="3435" t="s">
        <v>352</v>
      </c>
      <c r="O35" s="3435" t="s">
        <v>353</v>
      </c>
      <c r="P35" s="2027"/>
      <c r="V35" s="2027"/>
    </row>
    <row r="36" spans="1:26" ht="16.5" customHeight="1">
      <c r="A36" s="303" t="s">
        <v>343</v>
      </c>
      <c r="B36" s="304" t="s">
        <v>332</v>
      </c>
      <c r="C36" s="305" t="s">
        <v>344</v>
      </c>
      <c r="D36" s="305" t="s">
        <v>345</v>
      </c>
      <c r="E36" s="306" t="s">
        <v>346</v>
      </c>
      <c r="F36" s="311"/>
      <c r="G36" s="311"/>
      <c r="H36" s="311"/>
      <c r="I36" s="311"/>
      <c r="J36" s="2029"/>
      <c r="K36" s="3436"/>
      <c r="L36" s="3436"/>
      <c r="M36" s="1265" t="s">
        <v>354</v>
      </c>
      <c r="N36" s="3436"/>
      <c r="O36" s="3436"/>
      <c r="P36" s="2027"/>
      <c r="V36" s="2027"/>
    </row>
    <row r="37" spans="1:26" ht="16.5" customHeight="1" thickBot="1">
      <c r="A37" s="1259" t="s">
        <v>347</v>
      </c>
      <c r="B37" s="307"/>
      <c r="C37" s="294"/>
      <c r="D37" s="294"/>
      <c r="E37" s="295"/>
      <c r="F37" s="311"/>
      <c r="G37" s="311"/>
      <c r="H37" s="311"/>
      <c r="I37" s="311"/>
      <c r="J37" s="2029"/>
      <c r="K37" s="3437"/>
      <c r="L37" s="3437"/>
      <c r="M37" s="1266"/>
      <c r="N37" s="3437"/>
      <c r="O37" s="3437"/>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28169</v>
      </c>
      <c r="N38" s="1268">
        <f ca="1">C33</f>
        <v>17617</v>
      </c>
      <c r="O38" s="1269">
        <f ca="1">C32</f>
        <v>193641</v>
      </c>
      <c r="P38" s="2027"/>
      <c r="V38" s="2027"/>
    </row>
    <row r="39" spans="1:26" ht="16.5" customHeight="1" thickBot="1">
      <c r="A39" s="1264"/>
      <c r="B39" s="308"/>
      <c r="C39" s="309"/>
      <c r="D39" s="309"/>
      <c r="E39" s="310"/>
      <c r="F39" s="311"/>
      <c r="G39" s="311"/>
      <c r="H39" s="311"/>
      <c r="I39" s="311"/>
      <c r="J39" s="2029"/>
      <c r="K39" s="3480" t="str">
        <f>MID(A44,3,LEN(A44)-2)</f>
        <v/>
      </c>
      <c r="L39" s="3481"/>
      <c r="M39" s="3481"/>
      <c r="N39" s="3482"/>
      <c r="O39" s="1391" t="str">
        <f>C44</f>
        <v>——</v>
      </c>
      <c r="P39" s="2027"/>
      <c r="V39" s="2027"/>
    </row>
    <row r="40" spans="1:26" ht="19.5" thickBot="1">
      <c r="A40" s="104" t="s">
        <v>872</v>
      </c>
      <c r="B40" s="311"/>
      <c r="C40" s="311"/>
      <c r="D40" s="311"/>
      <c r="E40" s="311"/>
      <c r="F40" s="311"/>
      <c r="G40" s="311"/>
      <c r="H40" s="311"/>
      <c r="I40" s="311"/>
      <c r="J40" s="2029"/>
      <c r="K40" s="3480" t="str">
        <f t="shared" ref="K40:K41" si="0">MID(A45,3,LEN(A45)-2)</f>
        <v/>
      </c>
      <c r="L40" s="3481"/>
      <c r="M40" s="3481"/>
      <c r="N40" s="3482"/>
      <c r="O40" s="1391" t="str">
        <f>C45</f>
        <v>——</v>
      </c>
      <c r="P40" s="2027"/>
      <c r="V40" s="2027"/>
    </row>
    <row r="41" spans="1:26" ht="16.5" thickBot="1">
      <c r="A41" s="312" t="s">
        <v>355</v>
      </c>
      <c r="B41" s="313"/>
      <c r="C41" s="314" t="s">
        <v>356</v>
      </c>
      <c r="D41" s="315" t="s">
        <v>357</v>
      </c>
      <c r="E41" s="315" t="s">
        <v>358</v>
      </c>
      <c r="F41" s="316" t="s">
        <v>359</v>
      </c>
      <c r="G41" s="311"/>
      <c r="H41" s="311"/>
      <c r="I41" s="311"/>
      <c r="J41" s="2029"/>
      <c r="K41" s="3480" t="str">
        <f t="shared" si="0"/>
        <v/>
      </c>
      <c r="L41" s="3481"/>
      <c r="M41" s="3481"/>
      <c r="N41" s="3482"/>
      <c r="O41" s="1391" t="str">
        <f>C46</f>
        <v>——</v>
      </c>
      <c r="P41" s="2027"/>
      <c r="V41" s="2027"/>
    </row>
    <row r="42" spans="1:26" ht="29.25">
      <c r="A42" s="3422" t="s">
        <v>2067</v>
      </c>
      <c r="B42" s="3423"/>
      <c r="C42" s="264">
        <f ca="1">C32</f>
        <v>193641</v>
      </c>
      <c r="D42" s="317">
        <f ca="1">C33</f>
        <v>17617</v>
      </c>
      <c r="E42" s="317">
        <f ca="1">C34</f>
        <v>28169</v>
      </c>
      <c r="F42" s="318">
        <f ca="1">C35</f>
        <v>1878</v>
      </c>
      <c r="G42" s="311"/>
      <c r="H42" s="311"/>
      <c r="I42" s="319"/>
      <c r="J42" s="2029"/>
      <c r="K42" s="1270" t="s">
        <v>360</v>
      </c>
      <c r="L42" s="2046" t="s">
        <v>361</v>
      </c>
      <c r="M42" s="1271" t="s">
        <v>362</v>
      </c>
      <c r="N42" s="2047" t="s">
        <v>363</v>
      </c>
      <c r="O42" s="2048" t="s">
        <v>364</v>
      </c>
      <c r="P42" s="2027"/>
      <c r="V42" s="2027"/>
    </row>
    <row r="43" spans="1:26" ht="30">
      <c r="A43" s="3433" t="s">
        <v>2730</v>
      </c>
      <c r="B43" s="3434"/>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229339</v>
      </c>
      <c r="M43" s="1274">
        <f>C18</f>
        <v>0.5</v>
      </c>
      <c r="N43" s="1275">
        <f ca="1">IF(N42="测算结果/万元",G19,G20)</f>
        <v>193641</v>
      </c>
      <c r="O43" s="1276">
        <f ca="1">IF(O42="最终结果/万元",C32,C33)</f>
        <v>193641</v>
      </c>
      <c r="P43" s="2027"/>
      <c r="V43" s="2027"/>
    </row>
    <row r="44" spans="1:26" ht="30.75" thickBot="1">
      <c r="A44" s="3422" t="str">
        <f>IF(OR(项目基本情况!E8="抵押价格",项目基本情况!E8="已注销及未注销"),"3.抵押价格","——")</f>
        <v>——</v>
      </c>
      <c r="B44" s="3423"/>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基准地价-55住宅</v>
      </c>
      <c r="L44" s="1278">
        <f ca="1">IF(L42="估价结果/万元",D19,D20)</f>
        <v>157943</v>
      </c>
      <c r="M44" s="1279">
        <f>D18</f>
        <v>0.5</v>
      </c>
      <c r="N44" s="1280"/>
      <c r="O44" s="1281"/>
      <c r="P44" s="2027"/>
      <c r="V44" s="2027"/>
    </row>
    <row r="45" spans="1:26" ht="15">
      <c r="A45" s="3428" t="str">
        <f>IF(项目基本情况!E8="已注销及未注销","4.抵押担保权已注销时的抵押价格",IF(项目基本情况!E8="已注销","3.抵押担保权已注销时的抵押价格","——"))</f>
        <v>——</v>
      </c>
      <c r="B45" s="342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24" t="str">
        <f>IF(项目基本情况!E9="抵押净值",IF(A45="——","4.抵押净值","5.抵押净值"),"——")</f>
        <v>——</v>
      </c>
      <c r="B46" s="342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69" t="s">
        <v>373</v>
      </c>
      <c r="B63" s="3470"/>
      <c r="C63" s="3471"/>
      <c r="D63" s="341">
        <f ca="1">ROUND(C42*F63,0)</f>
        <v>116185</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30" t="s">
        <v>377</v>
      </c>
      <c r="B64" s="3431"/>
      <c r="C64" s="3431"/>
      <c r="D64" s="3431"/>
      <c r="E64" s="3431"/>
      <c r="F64" s="3431"/>
      <c r="G64" s="3432"/>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26" t="s">
        <v>385</v>
      </c>
      <c r="B66" s="3427"/>
      <c r="C66" s="3427"/>
      <c r="D66" s="261">
        <f ca="1">IF(H66="情况1",0,IF(H66="情况2",D70,IF(H66="情况3",D71,IF(H66="情况4",D72))))</f>
        <v>6197</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84" t="s">
        <v>384</v>
      </c>
      <c r="M66" s="3485"/>
      <c r="N66" s="2436"/>
      <c r="O66" s="2437"/>
      <c r="P66" s="2438"/>
      <c r="Q66" s="2027"/>
      <c r="R66" s="2027"/>
      <c r="S66" s="2027"/>
      <c r="T66" s="2027"/>
      <c r="U66" s="2027"/>
      <c r="V66" s="2027"/>
    </row>
    <row r="67" spans="1:22" ht="25.5" customHeight="1">
      <c r="A67" s="352" t="s">
        <v>389</v>
      </c>
      <c r="B67" s="3417" t="s">
        <v>390</v>
      </c>
      <c r="C67" s="3417"/>
      <c r="D67" s="353">
        <v>0</v>
      </c>
      <c r="E67" s="41" t="s">
        <v>391</v>
      </c>
      <c r="F67" s="62" t="s">
        <v>21</v>
      </c>
      <c r="G67" s="3472"/>
      <c r="H67" s="311"/>
      <c r="I67" s="1291"/>
      <c r="J67" s="2034"/>
      <c r="K67" s="1975">
        <v>2</v>
      </c>
      <c r="L67" s="3483" t="s">
        <v>388</v>
      </c>
      <c r="M67" s="3483"/>
      <c r="N67" s="1324">
        <f>'数据-取费表'!B2</f>
        <v>43528</v>
      </c>
      <c r="O67" s="1324"/>
      <c r="P67" s="1324"/>
      <c r="Q67" s="2027"/>
      <c r="R67" s="2027"/>
      <c r="S67" s="2027"/>
      <c r="T67" s="2027"/>
      <c r="U67" s="2027"/>
      <c r="V67" s="2027"/>
    </row>
    <row r="68" spans="1:22" ht="25.5" customHeight="1">
      <c r="A68" s="354"/>
      <c r="B68" s="3417" t="s">
        <v>393</v>
      </c>
      <c r="C68" s="3417"/>
      <c r="D68" s="355"/>
      <c r="E68" s="77"/>
      <c r="F68" s="356"/>
      <c r="G68" s="3473"/>
      <c r="H68" s="311"/>
      <c r="I68" s="1291"/>
      <c r="J68" s="2034"/>
      <c r="K68" s="1975">
        <v>3</v>
      </c>
      <c r="L68" s="3483" t="s">
        <v>392</v>
      </c>
      <c r="M68" s="3483"/>
      <c r="N68" s="1292">
        <f ca="1">C42</f>
        <v>193641</v>
      </c>
      <c r="O68" s="1292"/>
      <c r="P68" s="1292"/>
      <c r="Q68" s="2027"/>
      <c r="R68" s="2027"/>
      <c r="S68" s="2027"/>
      <c r="T68" s="2027"/>
      <c r="U68" s="2027"/>
      <c r="V68" s="2027"/>
    </row>
    <row r="69" spans="1:22" ht="12" customHeight="1">
      <c r="A69" s="357"/>
      <c r="B69" s="3417" t="s">
        <v>394</v>
      </c>
      <c r="C69" s="3417"/>
      <c r="D69" s="358"/>
      <c r="E69" s="73"/>
      <c r="F69" s="356"/>
      <c r="G69" s="3474"/>
      <c r="H69" s="311"/>
      <c r="I69" s="1291"/>
      <c r="J69" s="2034"/>
      <c r="K69" s="1293">
        <v>4</v>
      </c>
      <c r="L69" s="3488" t="s">
        <v>2882</v>
      </c>
      <c r="M69" s="3489"/>
      <c r="N69" s="1294" t="str">
        <f>C44</f>
        <v>——</v>
      </c>
      <c r="O69" s="1294"/>
      <c r="P69" s="1294"/>
      <c r="Q69" s="2027"/>
      <c r="R69" s="2027"/>
      <c r="S69" s="2027"/>
      <c r="T69" s="2027"/>
      <c r="U69" s="2027"/>
      <c r="V69" s="2027"/>
    </row>
    <row r="70" spans="1:22" ht="24" customHeight="1">
      <c r="A70" s="359" t="s">
        <v>395</v>
      </c>
      <c r="B70" s="3417" t="s">
        <v>396</v>
      </c>
      <c r="C70" s="3417"/>
      <c r="D70" s="358">
        <f ca="1">ROUND(D63*'数据-取费表'!B41/(1+'数据-取费表'!C42),0)</f>
        <v>6197</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418" t="s">
        <v>404</v>
      </c>
      <c r="C71" s="3419"/>
      <c r="D71" s="358">
        <f ca="1">ROUND(D63*'数据-取费表'!B41/(1+'数据-取费表'!C42),0)</f>
        <v>6197</v>
      </c>
      <c r="E71" s="17" t="s">
        <v>397</v>
      </c>
      <c r="F71" s="360">
        <f>'数据-取费表'!B41</f>
        <v>5.6000000000000001E-2</v>
      </c>
      <c r="G71" s="361"/>
      <c r="H71" s="311"/>
      <c r="I71" s="1291"/>
      <c r="J71" s="2034"/>
      <c r="K71" s="3035" t="s">
        <v>398</v>
      </c>
      <c r="L71" s="3490" t="s">
        <v>399</v>
      </c>
      <c r="M71" s="3490"/>
      <c r="N71" s="3035" t="s">
        <v>400</v>
      </c>
      <c r="O71" s="3035" t="s">
        <v>401</v>
      </c>
      <c r="P71" s="3035" t="s">
        <v>402</v>
      </c>
      <c r="Q71" s="2027"/>
      <c r="R71" s="2027"/>
      <c r="S71" s="2027"/>
      <c r="T71" s="2027"/>
      <c r="U71" s="2027"/>
      <c r="V71" s="2027"/>
    </row>
    <row r="72" spans="1:22" ht="12" customHeight="1">
      <c r="A72" s="359" t="s">
        <v>406</v>
      </c>
      <c r="B72" s="3418" t="s">
        <v>407</v>
      </c>
      <c r="C72" s="3419"/>
      <c r="D72" s="358">
        <f ca="1">C86</f>
        <v>6085</v>
      </c>
      <c r="E72" s="73" t="s">
        <v>408</v>
      </c>
      <c r="F72" s="360">
        <f>'数据-取费表'!B41</f>
        <v>5.6000000000000001E-2</v>
      </c>
      <c r="G72" s="361"/>
      <c r="H72" s="1297"/>
      <c r="I72" s="1291"/>
      <c r="J72" s="2034"/>
      <c r="K72" s="1975">
        <v>1</v>
      </c>
      <c r="L72" s="3465" t="s">
        <v>405</v>
      </c>
      <c r="M72" s="3465"/>
      <c r="N72" s="1295">
        <f ca="1">D66</f>
        <v>6197</v>
      </c>
      <c r="O72" s="1858" t="str">
        <f>E66</f>
        <v>销售额×税（费）率</v>
      </c>
      <c r="P72" s="1296">
        <f>F66</f>
        <v>5.6000000000000001E-2</v>
      </c>
      <c r="Q72" s="2027"/>
      <c r="R72" s="2027"/>
      <c r="S72" s="2027"/>
      <c r="T72" s="2027"/>
      <c r="U72" s="2027"/>
      <c r="V72" s="2027"/>
    </row>
    <row r="73" spans="1:22" ht="24" customHeight="1">
      <c r="A73" s="3459" t="s">
        <v>410</v>
      </c>
      <c r="B73" s="3427"/>
      <c r="C73" s="3427"/>
      <c r="D73" s="362">
        <f>IF(H73="个人住宅",0,ROUND(D63*I73,0))</f>
        <v>0</v>
      </c>
      <c r="E73" s="17" t="s">
        <v>411</v>
      </c>
      <c r="F73" s="360" t="str">
        <f>IF(H73="正常",I73,"免征")</f>
        <v>免征</v>
      </c>
      <c r="G73" s="361"/>
      <c r="H73" s="191" t="s">
        <v>2455</v>
      </c>
      <c r="I73" s="360">
        <f>'数据-取费表'!B49</f>
        <v>5.0000000000000001E-4</v>
      </c>
      <c r="J73" s="2034"/>
      <c r="K73" s="1975">
        <v>2</v>
      </c>
      <c r="L73" s="3465" t="s">
        <v>409</v>
      </c>
      <c r="M73" s="3465"/>
      <c r="N73" s="1295">
        <f t="shared" ref="N73:P74" si="1">D73</f>
        <v>0</v>
      </c>
      <c r="O73" s="1858" t="str">
        <f t="shared" si="1"/>
        <v>销售额×税（费）率</v>
      </c>
      <c r="P73" s="1296" t="str">
        <f t="shared" si="1"/>
        <v>免征</v>
      </c>
      <c r="Q73" s="2027"/>
      <c r="R73" s="2027"/>
      <c r="S73" s="2027"/>
      <c r="T73" s="2027"/>
      <c r="U73" s="2027"/>
      <c r="V73" s="2027"/>
    </row>
    <row r="74" spans="1:22" ht="24.75">
      <c r="A74" s="3459" t="s">
        <v>414</v>
      </c>
      <c r="B74" s="3427"/>
      <c r="C74" s="3427"/>
      <c r="D74" s="362">
        <f ca="1">IF(H74="个人住宅",D75,D76)</f>
        <v>65105</v>
      </c>
      <c r="E74" s="17" t="s">
        <v>415</v>
      </c>
      <c r="F74" s="360" t="str">
        <f>IF(H74="正常",F76,"免征")</f>
        <v>——</v>
      </c>
      <c r="G74" s="982" t="s">
        <v>416</v>
      </c>
      <c r="H74" s="363" t="s">
        <v>412</v>
      </c>
      <c r="I74" s="42"/>
      <c r="J74" s="2034"/>
      <c r="K74" s="1975">
        <v>3</v>
      </c>
      <c r="L74" s="3465" t="s">
        <v>413</v>
      </c>
      <c r="M74" s="3465"/>
      <c r="N74" s="1295">
        <f t="shared" ca="1" si="1"/>
        <v>65105</v>
      </c>
      <c r="O74" s="1858" t="str">
        <f t="shared" si="1"/>
        <v>增值额×税（费）率</v>
      </c>
      <c r="P74" s="1298" t="str">
        <f t="shared" si="1"/>
        <v>——</v>
      </c>
      <c r="Q74" s="2027"/>
      <c r="R74" s="2027"/>
      <c r="S74" s="2027"/>
      <c r="T74" s="2027"/>
      <c r="U74" s="2027"/>
      <c r="V74" s="2027"/>
    </row>
    <row r="75" spans="1:22" ht="24">
      <c r="A75" s="359" t="s">
        <v>417</v>
      </c>
      <c r="B75" s="3415" t="s">
        <v>418</v>
      </c>
      <c r="C75" s="3445"/>
      <c r="D75" s="364">
        <v>0</v>
      </c>
      <c r="E75" s="41" t="s">
        <v>419</v>
      </c>
      <c r="F75" s="365"/>
      <c r="G75" s="361"/>
      <c r="H75" s="42"/>
      <c r="I75" s="42"/>
      <c r="J75" s="2034"/>
      <c r="K75" s="3028">
        <f>IF(H77="非个人房产","",4)</f>
        <v>4</v>
      </c>
      <c r="L75" s="3465" t="str">
        <f>IF(H77="非个人房产","——","个人所得税")</f>
        <v>个人所得税</v>
      </c>
      <c r="M75" s="3465"/>
      <c r="N75" s="1299">
        <f ca="1">D77</f>
        <v>1162</v>
      </c>
      <c r="O75" s="1871" t="str">
        <f>E77</f>
        <v>销售额×税（费）率</v>
      </c>
      <c r="P75" s="1300">
        <f>F77</f>
        <v>0.01</v>
      </c>
      <c r="Q75" s="2027"/>
      <c r="R75" s="2027"/>
      <c r="S75" s="2027"/>
      <c r="T75" s="2027"/>
      <c r="U75" s="2027"/>
      <c r="V75" s="2027"/>
    </row>
    <row r="76" spans="1:22" ht="24.75">
      <c r="A76" s="359" t="s">
        <v>395</v>
      </c>
      <c r="B76" s="3415" t="s">
        <v>421</v>
      </c>
      <c r="C76" s="3416"/>
      <c r="D76" s="362">
        <f ca="1">IF(H76="转让取得",C99,C115)</f>
        <v>65105</v>
      </c>
      <c r="E76" s="17" t="s">
        <v>422</v>
      </c>
      <c r="F76" s="53" t="s">
        <v>21</v>
      </c>
      <c r="G76" s="361"/>
      <c r="H76" s="363" t="s">
        <v>423</v>
      </c>
      <c r="I76" s="42"/>
      <c r="J76" s="2034"/>
      <c r="K76" s="3028" t="str">
        <f>IF(项目基本情况!K6="上海银行",IF(K75="",4,K75+1),"")</f>
        <v/>
      </c>
      <c r="L76" s="3476" t="str">
        <f>IF(项目基本情况!K6="上海银行","其他处置费用","")</f>
        <v/>
      </c>
      <c r="M76" s="3477"/>
      <c r="N76" s="1295" t="str">
        <f>IF(项目基本情况!K6="上海银行",N89,"")</f>
        <v/>
      </c>
      <c r="O76" s="3478" t="str">
        <f>IF(项目基本情况!K6="上海银行","包含处置中涉及的律师、诉讼、拍卖、评估等费用","")</f>
        <v/>
      </c>
      <c r="P76" s="3479"/>
      <c r="Q76" s="2027"/>
      <c r="R76" s="2027"/>
      <c r="S76" s="2027"/>
      <c r="T76" s="2027"/>
      <c r="U76" s="2027"/>
      <c r="V76" s="2027"/>
    </row>
    <row r="77" spans="1:22" ht="26.25" thickBot="1">
      <c r="A77" s="3467" t="s">
        <v>425</v>
      </c>
      <c r="B77" s="3468"/>
      <c r="C77" s="3468"/>
      <c r="D77" s="366">
        <f ca="1">IF(H77="非个人房产","——",IF(H77="个人住宅",0,ROUND(D63*I77,0)))</f>
        <v>1162</v>
      </c>
      <c r="E77" s="367" t="str">
        <f>IF(H77="非个人房产","——","销售额×税（费）率")</f>
        <v>销售额×税（费）率</v>
      </c>
      <c r="F77" s="368">
        <f>IF(H77="非个人房产","——",IF(H77="个人住宅","免征",I77))</f>
        <v>0.01</v>
      </c>
      <c r="G77" s="983" t="s">
        <v>416</v>
      </c>
      <c r="H77" s="363" t="s">
        <v>2883</v>
      </c>
      <c r="I77" s="369">
        <v>0.01</v>
      </c>
      <c r="J77" s="2034"/>
      <c r="K77" s="3466">
        <f>IF(AND(K75="",K76=""),4,IF(项目基本情况!K6="上海银行",K76+1,K75+1))</f>
        <v>5</v>
      </c>
      <c r="L77" s="3465" t="s">
        <v>2884</v>
      </c>
      <c r="M77" s="3034" t="s">
        <v>420</v>
      </c>
      <c r="N77" s="1301"/>
      <c r="O77" s="1302">
        <f ca="1">SUMIF(N72:N76,"&lt;9e307")</f>
        <v>72464</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466"/>
      <c r="L78" s="3465"/>
      <c r="M78" s="3034" t="s">
        <v>424</v>
      </c>
      <c r="N78" s="1301"/>
      <c r="O78" s="1302" t="str">
        <f ca="1">NUMBERSTRING(INT(O77*10000),2)&amp;"元整"</f>
        <v>柒亿贰仟肆佰陆拾肆万元整</v>
      </c>
      <c r="P78" s="1303"/>
      <c r="Q78" s="2027"/>
      <c r="R78" s="2027"/>
      <c r="S78" s="2027"/>
      <c r="T78" s="2027"/>
      <c r="U78" s="2027"/>
      <c r="V78" s="2027"/>
    </row>
    <row r="79" spans="1:22" ht="13.5" thickBot="1">
      <c r="A79" s="3460" t="s">
        <v>426</v>
      </c>
      <c r="B79" s="3460"/>
      <c r="C79" s="3460"/>
      <c r="D79" s="3460"/>
      <c r="E79" s="3460"/>
      <c r="F79" s="42"/>
      <c r="G79" s="42"/>
      <c r="H79" s="1002"/>
      <c r="I79" s="311"/>
      <c r="J79" s="2034"/>
      <c r="K79" s="3486">
        <f>K77+1</f>
        <v>6</v>
      </c>
      <c r="L79" s="3465" t="s">
        <v>2885</v>
      </c>
      <c r="M79" s="3034" t="s">
        <v>420</v>
      </c>
      <c r="N79" s="1301"/>
      <c r="O79" s="1302" t="e">
        <f ca="1">N69-O77</f>
        <v>#VALUE!</v>
      </c>
      <c r="P79" s="1303"/>
      <c r="Q79" s="2027"/>
      <c r="R79" s="2027"/>
      <c r="S79" s="2027"/>
      <c r="T79" s="2027"/>
      <c r="U79" s="2027"/>
      <c r="V79" s="2027"/>
    </row>
    <row r="80" spans="1:22" ht="12.75">
      <c r="A80" s="3455" t="s">
        <v>427</v>
      </c>
      <c r="B80" s="3456"/>
      <c r="C80" s="993"/>
      <c r="D80" s="993" t="s">
        <v>428</v>
      </c>
      <c r="E80" s="370" t="s">
        <v>429</v>
      </c>
      <c r="F80" s="42"/>
      <c r="G80" s="42"/>
      <c r="H80" s="1002"/>
      <c r="I80" s="311"/>
      <c r="J80" s="2027"/>
      <c r="K80" s="3487"/>
      <c r="L80" s="3465"/>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110652</v>
      </c>
      <c r="D81" s="373"/>
      <c r="E81" s="374"/>
      <c r="F81" s="42"/>
      <c r="G81" s="42"/>
      <c r="H81" s="1002"/>
      <c r="I81" s="311"/>
      <c r="J81" s="2027"/>
      <c r="K81" s="3028">
        <f>K79+1</f>
        <v>7</v>
      </c>
      <c r="L81" s="3463" t="s">
        <v>2886</v>
      </c>
      <c r="M81" s="3464"/>
      <c r="N81" s="1305"/>
      <c r="O81" s="1306" t="e">
        <f ca="1">ROUND(O79*10000/'数据-汇总表'!E3,0)</f>
        <v>#VALUE!</v>
      </c>
      <c r="P81" s="1307"/>
      <c r="Q81" s="2027"/>
      <c r="R81" s="2027"/>
      <c r="S81" s="2027"/>
      <c r="T81" s="2027"/>
      <c r="U81" s="2027"/>
      <c r="V81" s="2027"/>
    </row>
    <row r="82" spans="1:26" ht="13.5" thickTop="1">
      <c r="A82" s="375" t="s">
        <v>1824</v>
      </c>
      <c r="B82" s="376" t="s">
        <v>431</v>
      </c>
      <c r="C82" s="377">
        <f ca="1">D63</f>
        <v>116185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475"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475"/>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108652</v>
      </c>
      <c r="D85" s="378" t="s">
        <v>19</v>
      </c>
      <c r="E85" s="379"/>
      <c r="F85" s="42"/>
      <c r="G85" s="42"/>
      <c r="H85" s="1002"/>
      <c r="I85" s="311"/>
      <c r="J85" s="2027"/>
      <c r="K85" s="3475"/>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6085</v>
      </c>
      <c r="D86" s="389">
        <f>'数据-取费表'!B41</f>
        <v>5.6000000000000001E-2</v>
      </c>
      <c r="E86" s="390"/>
      <c r="F86" s="42"/>
      <c r="G86" s="42"/>
      <c r="H86" s="1002"/>
      <c r="I86" s="311"/>
      <c r="J86" s="2027"/>
      <c r="K86" s="3475"/>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75"/>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57" t="s">
        <v>436</v>
      </c>
      <c r="B88" s="3458"/>
      <c r="C88" s="3458"/>
      <c r="D88" s="3458"/>
      <c r="E88" s="3458"/>
      <c r="F88" s="3458"/>
      <c r="G88" s="3458"/>
      <c r="H88" s="3458"/>
      <c r="I88" s="1314"/>
      <c r="J88" s="2035"/>
      <c r="K88" s="3475"/>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455" t="s">
        <v>427</v>
      </c>
      <c r="B89" s="3456"/>
      <c r="C89" s="993"/>
      <c r="D89" s="993" t="s">
        <v>428</v>
      </c>
      <c r="E89" s="391" t="s">
        <v>437</v>
      </c>
      <c r="F89" s="392"/>
      <c r="G89" s="392"/>
      <c r="H89" s="393"/>
      <c r="I89" s="1315"/>
      <c r="J89" s="2037"/>
      <c r="K89" s="3475"/>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110652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3225</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418" t="s">
        <v>446</v>
      </c>
      <c r="F94" s="3417"/>
      <c r="G94" s="3417"/>
      <c r="H94" s="3454"/>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664</v>
      </c>
      <c r="D96" s="406">
        <f>'数据-取费表'!B43</f>
        <v>6.000000000000001E-3</v>
      </c>
      <c r="E96" s="3446" t="s">
        <v>2428</v>
      </c>
      <c r="F96" s="3447"/>
      <c r="G96" s="3447"/>
      <c r="H96" s="344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107427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33.310697674418606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63327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57" t="s">
        <v>453</v>
      </c>
      <c r="B101" s="3458"/>
      <c r="C101" s="3458"/>
      <c r="D101" s="3458"/>
      <c r="E101" s="3458"/>
      <c r="F101" s="3458"/>
      <c r="G101" s="3458"/>
      <c r="H101" s="3458"/>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55" t="s">
        <v>427</v>
      </c>
      <c r="B102" s="3456"/>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110652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1354</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449" t="s">
        <v>461</v>
      </c>
      <c r="F109" s="3447"/>
      <c r="G109" s="3447"/>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449" t="s">
        <v>463</v>
      </c>
      <c r="F110" s="3447"/>
      <c r="G110" s="3447"/>
      <c r="H110" s="344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664</v>
      </c>
      <c r="D111" s="406">
        <f>'数据-取费表'!B43</f>
        <v>6.000000000000001E-3</v>
      </c>
      <c r="E111" s="3446" t="s">
        <v>2428</v>
      </c>
      <c r="F111" s="3447"/>
      <c r="G111" s="3447"/>
      <c r="H111" s="344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449" t="s">
        <v>2453</v>
      </c>
      <c r="F112" s="3447"/>
      <c r="G112" s="3447"/>
      <c r="H112" s="344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109298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80.722304283604132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65105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U54"/>
  <sheetViews>
    <sheetView tabSelected="1" topLeftCell="A11" workbookViewId="0">
      <selection activeCell="L11" sqref="L11"/>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0.125" customWidth="1"/>
    <col min="19" max="19" width="14.125" customWidth="1"/>
    <col min="20" max="20" width="16.125" customWidth="1"/>
  </cols>
  <sheetData>
    <row r="1" spans="1:11" ht="15.75" customHeight="1" thickBot="1">
      <c r="A1" s="3552" t="s">
        <v>3003</v>
      </c>
      <c r="B1" s="3552"/>
      <c r="C1" s="3552"/>
      <c r="E1" s="3552" t="s">
        <v>3004</v>
      </c>
      <c r="F1" s="3552"/>
      <c r="G1" s="3553"/>
      <c r="I1" s="3191" t="s">
        <v>3137</v>
      </c>
    </row>
    <row r="2" spans="1:11" ht="14.25" thickBot="1">
      <c r="A2" s="3528" t="s">
        <v>2993</v>
      </c>
      <c r="B2" s="3183" t="s">
        <v>3000</v>
      </c>
      <c r="C2" s="3192">
        <v>83247.820000000007</v>
      </c>
      <c r="E2" s="3528" t="s">
        <v>2993</v>
      </c>
      <c r="F2" s="3183" t="s">
        <v>3000</v>
      </c>
      <c r="G2" s="3184">
        <v>83884.960000000006</v>
      </c>
      <c r="I2" s="3220">
        <f>C2-G2</f>
        <v>-637.13999999999942</v>
      </c>
      <c r="J2" s="3182" t="s">
        <v>3005</v>
      </c>
    </row>
    <row r="3" spans="1:11" ht="14.25" thickBot="1">
      <c r="A3" s="3529"/>
      <c r="B3" s="3183" t="s">
        <v>2994</v>
      </c>
      <c r="C3" s="3189">
        <v>15426.7</v>
      </c>
      <c r="E3" s="3529"/>
      <c r="F3" s="3183" t="s">
        <v>2994</v>
      </c>
      <c r="G3" s="3184">
        <v>15502</v>
      </c>
      <c r="I3" s="3220">
        <f>C3-G3</f>
        <v>-75.299999999999272</v>
      </c>
      <c r="J3" s="3182" t="s">
        <v>3006</v>
      </c>
    </row>
    <row r="4" spans="1:11" ht="14.25" thickBot="1">
      <c r="A4" s="3530" t="s">
        <v>2995</v>
      </c>
      <c r="B4" s="3554"/>
      <c r="C4" s="3185">
        <f>SUM(C2:C3)</f>
        <v>98674.52</v>
      </c>
      <c r="D4" s="3191" t="s">
        <v>3001</v>
      </c>
      <c r="E4" s="3530" t="s">
        <v>2995</v>
      </c>
      <c r="F4" s="3554"/>
      <c r="G4" s="3185">
        <f>G2+G3</f>
        <v>99386.96</v>
      </c>
      <c r="H4" s="3191" t="s">
        <v>3002</v>
      </c>
      <c r="I4" s="3222"/>
    </row>
    <row r="5" spans="1:11" ht="14.25" thickBot="1">
      <c r="A5" s="3528" t="s">
        <v>2996</v>
      </c>
      <c r="B5" s="3183" t="s">
        <v>2998</v>
      </c>
      <c r="C5" s="3188">
        <v>2364.58</v>
      </c>
      <c r="E5" s="3528" t="s">
        <v>2996</v>
      </c>
      <c r="F5" s="3183"/>
      <c r="G5" s="3184">
        <f>G7-G6</f>
        <v>4632</v>
      </c>
      <c r="I5" s="3222">
        <f>C5</f>
        <v>2364.58</v>
      </c>
      <c r="J5" s="3182" t="s">
        <v>3008</v>
      </c>
    </row>
    <row r="6" spans="1:11" ht="14.25" thickBot="1">
      <c r="A6" s="3529"/>
      <c r="B6" s="3183" t="s">
        <v>2997</v>
      </c>
      <c r="C6" s="3189">
        <v>8880.9</v>
      </c>
      <c r="E6" s="3529"/>
      <c r="F6" s="3183" t="s">
        <v>2997</v>
      </c>
      <c r="G6" s="3184">
        <v>8880.9</v>
      </c>
      <c r="I6" s="3221">
        <f>C6-G6</f>
        <v>0</v>
      </c>
      <c r="J6" s="3182" t="s">
        <v>3007</v>
      </c>
    </row>
    <row r="7" spans="1:11">
      <c r="A7" s="3530" t="s">
        <v>2995</v>
      </c>
      <c r="B7" s="3531"/>
      <c r="C7" s="3185">
        <f>SUM(C5:C6)</f>
        <v>11245.48</v>
      </c>
      <c r="E7" s="3530" t="s">
        <v>2995</v>
      </c>
      <c r="F7" s="3531"/>
      <c r="G7" s="3185">
        <v>13512.9</v>
      </c>
    </row>
    <row r="8" spans="1:11">
      <c r="A8" s="3186" t="s">
        <v>2999</v>
      </c>
      <c r="B8" s="3187"/>
      <c r="C8" s="3187">
        <f>C4+C7</f>
        <v>109920</v>
      </c>
      <c r="E8" s="3186" t="s">
        <v>2999</v>
      </c>
      <c r="F8" s="3187"/>
      <c r="G8" s="3187">
        <f>G4+G7</f>
        <v>112899.86</v>
      </c>
    </row>
    <row r="9" spans="1:11">
      <c r="B9">
        <f>(C2+C3)/'数据-基础表'!A3</f>
        <v>1.4354079291345077</v>
      </c>
      <c r="F9">
        <f>(G2+G3)/'数据-基础表'!A3</f>
        <v>1.4457717193514006</v>
      </c>
    </row>
    <row r="10" spans="1:11" ht="14.25" thickBot="1"/>
    <row r="11" spans="1:11" ht="72" thickBot="1">
      <c r="A11" s="3209" t="s">
        <v>3074</v>
      </c>
      <c r="B11" s="3209" t="s">
        <v>3075</v>
      </c>
      <c r="C11" s="3209" t="s">
        <v>3076</v>
      </c>
      <c r="D11" s="3209" t="s">
        <v>3077</v>
      </c>
      <c r="E11" s="3209" t="s">
        <v>3132</v>
      </c>
      <c r="F11" s="3225" t="s">
        <v>3134</v>
      </c>
      <c r="G11" s="3226" t="s">
        <v>3135</v>
      </c>
      <c r="H11" s="3227" t="s">
        <v>3133</v>
      </c>
      <c r="I11" s="3228" t="s">
        <v>3136</v>
      </c>
    </row>
    <row r="12" spans="1:11">
      <c r="A12" s="3546" t="s">
        <v>3172</v>
      </c>
      <c r="B12" s="3265" t="s">
        <v>3078</v>
      </c>
      <c r="C12" s="3266">
        <f ca="1">'基准地价-55住宅'!C29</f>
        <v>18864</v>
      </c>
      <c r="D12" s="3266">
        <v>0.5</v>
      </c>
      <c r="E12" s="3548">
        <f ca="1">ROUND(C12*D12+C13*D13,0)</f>
        <v>22704</v>
      </c>
      <c r="F12" s="3540">
        <f ca="1">E12*C2/10000</f>
        <v>189005.85052800001</v>
      </c>
      <c r="G12" s="3540">
        <f ca="1">ROUND(E12/4,0)</f>
        <v>5676</v>
      </c>
      <c r="H12" s="3565">
        <f ca="1">G12*C2/10000</f>
        <v>47251.462632000002</v>
      </c>
      <c r="I12" s="3565">
        <f ca="1">ROUND(E12/1.44,0)</f>
        <v>15767</v>
      </c>
    </row>
    <row r="13" spans="1:11">
      <c r="A13" s="3547"/>
      <c r="B13" s="3265" t="s">
        <v>3079</v>
      </c>
      <c r="C13" s="3266">
        <f ca="1">ROUND('剩余法-待开发住宅'!B3*'基准地价-55住宅'!C20,0)</f>
        <v>26543</v>
      </c>
      <c r="D13" s="3266">
        <f>1-D12</f>
        <v>0.5</v>
      </c>
      <c r="E13" s="3549"/>
      <c r="F13" s="3541"/>
      <c r="G13" s="3541"/>
      <c r="H13" s="3541"/>
      <c r="I13" s="3541"/>
    </row>
    <row r="14" spans="1:11">
      <c r="A14" s="3557" t="s">
        <v>3173</v>
      </c>
      <c r="B14" s="3212" t="s">
        <v>3078</v>
      </c>
      <c r="C14" s="3213">
        <f ca="1">'基准地价-55住宅'!C38</f>
        <v>3823</v>
      </c>
      <c r="D14" s="3213">
        <v>0.5</v>
      </c>
      <c r="E14" s="3559">
        <f ca="1">ROUND(C14*D14+C15*D15,0)</f>
        <v>3885</v>
      </c>
      <c r="F14" s="3538">
        <f ca="1">ROUND(E14*C5/10000,4)</f>
        <v>918.63930000000005</v>
      </c>
      <c r="G14" s="3538">
        <f ca="1">ROUND(E14/4,0)</f>
        <v>971</v>
      </c>
      <c r="H14" s="3538">
        <f ca="1">ROUND(G14*C5/10000,4)</f>
        <v>229.60069999999999</v>
      </c>
      <c r="I14" s="3538">
        <f t="shared" ref="I14" ca="1" si="0">ROUND(E14/1.44,0)</f>
        <v>2698</v>
      </c>
      <c r="J14">
        <f ca="1">ROUND(C14*0.25,0)</f>
        <v>956</v>
      </c>
    </row>
    <row r="15" spans="1:11">
      <c r="A15" s="3558"/>
      <c r="B15" s="3212" t="s">
        <v>3079</v>
      </c>
      <c r="C15" s="3213">
        <f ca="1">ROUND('剩余法-待开发仓储'!B3*'基准地价-55住宅'!C41,0)</f>
        <v>3947</v>
      </c>
      <c r="D15" s="3213">
        <f>1-D14</f>
        <v>0.5</v>
      </c>
      <c r="E15" s="3560"/>
      <c r="F15" s="3539"/>
      <c r="G15" s="3539"/>
      <c r="H15" s="3539"/>
      <c r="I15" s="3539"/>
      <c r="J15">
        <f t="shared" ref="J15:J21" ca="1" si="1">ROUND(C15*0.25,0)</f>
        <v>987</v>
      </c>
      <c r="K15">
        <f ca="1">J14*D14+J15*D15</f>
        <v>971.5</v>
      </c>
    </row>
    <row r="16" spans="1:11" hidden="1">
      <c r="A16" s="3550" t="s">
        <v>3117</v>
      </c>
      <c r="B16" s="3214" t="s">
        <v>3078</v>
      </c>
      <c r="C16" s="3215">
        <f ca="1">ROUND(C12*B24,0)</f>
        <v>18175</v>
      </c>
      <c r="D16" s="3215">
        <f>D12</f>
        <v>0.5</v>
      </c>
      <c r="E16" s="3555">
        <f ca="1">ROUND(C16*D16+C17*D17,0)</f>
        <v>21875</v>
      </c>
      <c r="F16" s="3536">
        <f ca="1">ROUND(E16*C2/10000,4)</f>
        <v>182104.60630000001</v>
      </c>
      <c r="G16" s="3536">
        <f t="shared" ref="G16" ca="1" si="2">ROUND(E16/4,0)</f>
        <v>5469</v>
      </c>
      <c r="H16" s="3536"/>
      <c r="I16" s="3536">
        <f t="shared" ref="I16" ca="1" si="3">ROUND(E16/1.44,0)</f>
        <v>15191</v>
      </c>
      <c r="J16">
        <f t="shared" ca="1" si="1"/>
        <v>4544</v>
      </c>
    </row>
    <row r="17" spans="1:21" hidden="1">
      <c r="A17" s="3551"/>
      <c r="B17" s="3214" t="s">
        <v>3079</v>
      </c>
      <c r="C17" s="3215">
        <f ca="1">ROUND(C13*B24,0)</f>
        <v>25574</v>
      </c>
      <c r="D17" s="3215">
        <f>1-D16</f>
        <v>0.5</v>
      </c>
      <c r="E17" s="3556"/>
      <c r="F17" s="3537"/>
      <c r="G17" s="3537"/>
      <c r="H17" s="3537"/>
      <c r="I17" s="3537"/>
      <c r="J17">
        <f t="shared" ca="1" si="1"/>
        <v>6394</v>
      </c>
    </row>
    <row r="18" spans="1:21" hidden="1">
      <c r="A18" s="3542" t="s">
        <v>3080</v>
      </c>
      <c r="B18" s="3216" t="s">
        <v>3078</v>
      </c>
      <c r="C18" s="3264">
        <f>'[1]基准地价-住宅'!$C$39</f>
        <v>3187</v>
      </c>
      <c r="D18" s="3217">
        <f>D12</f>
        <v>0.5</v>
      </c>
      <c r="E18" s="3544">
        <f ca="1">ROUND(C18*D18+C19*D19,0)</f>
        <v>4151</v>
      </c>
      <c r="F18" s="3534">
        <f ca="1">ROUND(E18*C6/10000,4)</f>
        <v>3686.4616000000001</v>
      </c>
      <c r="G18" s="3534">
        <f t="shared" ref="G18" ca="1" si="4">ROUND(E18/4,0)</f>
        <v>1038</v>
      </c>
      <c r="H18" s="3534"/>
      <c r="I18" s="3534">
        <f t="shared" ref="I18:I20" ca="1" si="5">ROUND(E18/1.44,0)</f>
        <v>2883</v>
      </c>
      <c r="J18">
        <f t="shared" si="1"/>
        <v>797</v>
      </c>
    </row>
    <row r="19" spans="1:21" hidden="1">
      <c r="A19" s="3543"/>
      <c r="B19" s="3216" t="s">
        <v>3079</v>
      </c>
      <c r="C19" s="3217">
        <f ca="1">ROUND(C17*0.2,0)</f>
        <v>5115</v>
      </c>
      <c r="D19" s="3217">
        <f>1-D18</f>
        <v>0.5</v>
      </c>
      <c r="E19" s="3545"/>
      <c r="F19" s="3535"/>
      <c r="G19" s="3535"/>
      <c r="H19" s="3535"/>
      <c r="I19" s="3535"/>
      <c r="J19">
        <f t="shared" ca="1" si="1"/>
        <v>1279</v>
      </c>
    </row>
    <row r="20" spans="1:21" hidden="1">
      <c r="A20" s="3561" t="s">
        <v>3081</v>
      </c>
      <c r="B20" s="3210" t="s">
        <v>3078</v>
      </c>
      <c r="C20" s="3211">
        <f ca="1">'基准地价-商业'!C29</f>
        <v>14769</v>
      </c>
      <c r="D20" s="3211">
        <f>D12</f>
        <v>0.5</v>
      </c>
      <c r="E20" s="3563">
        <f ca="1">ROUND(C20*D20+C21*D21,0)</f>
        <v>14674</v>
      </c>
      <c r="F20" s="3532">
        <f ca="1">E20*C3/10000</f>
        <v>22637.139580000003</v>
      </c>
      <c r="G20" s="3532">
        <f t="shared" ref="G20" ca="1" si="6">ROUND(E20/4,0)</f>
        <v>3669</v>
      </c>
      <c r="H20" s="3532"/>
      <c r="I20" s="3532">
        <f t="shared" ca="1" si="5"/>
        <v>10190</v>
      </c>
      <c r="J20">
        <f t="shared" ca="1" si="1"/>
        <v>3692</v>
      </c>
    </row>
    <row r="21" spans="1:21" hidden="1">
      <c r="A21" s="3562"/>
      <c r="B21" s="3210" t="s">
        <v>3079</v>
      </c>
      <c r="C21" s="3247">
        <f ca="1">ROUND('剩余法-待开发商业'!B3*'基准地价-商业'!C20,0)</f>
        <v>14578</v>
      </c>
      <c r="D21" s="3211">
        <f>1-D20</f>
        <v>0.5</v>
      </c>
      <c r="E21" s="3564"/>
      <c r="F21" s="3533"/>
      <c r="G21" s="3533"/>
      <c r="H21" s="3533"/>
      <c r="I21" s="3533"/>
      <c r="J21">
        <f t="shared" ca="1" si="1"/>
        <v>3645</v>
      </c>
    </row>
    <row r="23" spans="1:21" hidden="1"/>
    <row r="24" spans="1:21" ht="24" customHeight="1">
      <c r="A24" s="3262" t="s">
        <v>3152</v>
      </c>
      <c r="B24" s="3187">
        <f ca="1">'基准地价-55住宅'!C20</f>
        <v>0.96350000000000002</v>
      </c>
      <c r="C24" s="3297" t="s">
        <v>3178</v>
      </c>
      <c r="D24" s="3190">
        <f ca="1">'基准地价-55住宅'!C41</f>
        <v>0.8972</v>
      </c>
    </row>
    <row r="27" spans="1:21" ht="19.5" thickBot="1">
      <c r="A27" s="3208" t="s">
        <v>3119</v>
      </c>
      <c r="D27"/>
      <c r="H27" s="3527" t="s">
        <v>3120</v>
      </c>
      <c r="I27" s="3527"/>
      <c r="J27" s="3527"/>
      <c r="N27" s="3506" t="s">
        <v>3149</v>
      </c>
      <c r="O27" s="3507"/>
      <c r="P27" s="3507"/>
      <c r="Q27" s="3507"/>
      <c r="R27" s="3507"/>
      <c r="S27" s="3507"/>
      <c r="T27" s="3507"/>
      <c r="U27" s="3507"/>
    </row>
    <row r="28" spans="1:21" s="3182" customFormat="1" ht="34.5" hidden="1" customHeight="1">
      <c r="A28" s="3508" t="s">
        <v>3121</v>
      </c>
      <c r="B28" s="3508" t="s">
        <v>3122</v>
      </c>
      <c r="C28" s="3229" t="s">
        <v>3123</v>
      </c>
      <c r="D28" s="3229" t="s">
        <v>3124</v>
      </c>
      <c r="E28" s="3229" t="s">
        <v>3125</v>
      </c>
      <c r="F28" s="3286" t="s">
        <v>3126</v>
      </c>
      <c r="G28" s="2858"/>
      <c r="H28" s="3508" t="s">
        <v>3121</v>
      </c>
      <c r="I28" s="3508" t="s">
        <v>3122</v>
      </c>
      <c r="J28" s="3229" t="s">
        <v>3127</v>
      </c>
      <c r="K28" s="3229" t="s">
        <v>3131</v>
      </c>
      <c r="L28" s="3508" t="s">
        <v>3133</v>
      </c>
      <c r="M28" s="3218"/>
      <c r="N28" s="3524" t="s">
        <v>3121</v>
      </c>
      <c r="O28" s="3491" t="s">
        <v>3122</v>
      </c>
      <c r="P28" s="3492"/>
      <c r="Q28" s="3248" t="s">
        <v>3127</v>
      </c>
      <c r="R28" s="3291"/>
      <c r="S28" s="3248" t="s">
        <v>3143</v>
      </c>
      <c r="T28" s="3248" t="s">
        <v>3145</v>
      </c>
      <c r="U28" s="3248" t="s">
        <v>3126</v>
      </c>
    </row>
    <row r="29" spans="1:21" s="3182" customFormat="1" ht="35.25" hidden="1" customHeight="1" thickBot="1">
      <c r="A29" s="3509"/>
      <c r="B29" s="3509"/>
      <c r="C29" s="3230" t="s">
        <v>3128</v>
      </c>
      <c r="D29" s="3230" t="s">
        <v>3129</v>
      </c>
      <c r="E29" s="3230" t="s">
        <v>3130</v>
      </c>
      <c r="F29" s="3287" t="s">
        <v>3138</v>
      </c>
      <c r="G29" s="2858"/>
      <c r="H29" s="3516"/>
      <c r="I29" s="3516"/>
      <c r="J29" s="3231" t="s">
        <v>3139</v>
      </c>
      <c r="K29" s="3231" t="s">
        <v>3141</v>
      </c>
      <c r="L29" s="3516"/>
      <c r="M29" s="3218"/>
      <c r="N29" s="3525"/>
      <c r="O29" s="3493"/>
      <c r="P29" s="3494"/>
      <c r="Q29" s="3249" t="s">
        <v>3142</v>
      </c>
      <c r="R29" s="3292"/>
      <c r="S29" s="3249" t="s">
        <v>3144</v>
      </c>
      <c r="T29" s="3249" t="s">
        <v>3125</v>
      </c>
      <c r="U29" s="3249" t="s">
        <v>3146</v>
      </c>
    </row>
    <row r="30" spans="1:21" s="3182" customFormat="1" ht="35.25" hidden="1" customHeight="1" thickBot="1">
      <c r="A30" s="3509"/>
      <c r="B30" s="3509"/>
      <c r="C30" s="3230" t="s">
        <v>3140</v>
      </c>
      <c r="D30" s="3230" t="s">
        <v>3138</v>
      </c>
      <c r="E30" s="3275"/>
      <c r="F30" s="3288"/>
      <c r="G30" s="2858"/>
      <c r="H30" s="3517" t="s">
        <v>3009</v>
      </c>
      <c r="I30" s="3232" t="s">
        <v>3179</v>
      </c>
      <c r="J30" s="3233">
        <f>C2</f>
        <v>83247.820000000007</v>
      </c>
      <c r="K30" s="3234">
        <f ca="1">ROUND(E12/4,0)</f>
        <v>5676</v>
      </c>
      <c r="L30" s="3235">
        <f ca="1">ROUND(J30*K30/10000,2)</f>
        <v>47251.46</v>
      </c>
      <c r="M30" s="3218"/>
      <c r="N30" s="3526"/>
      <c r="O30" s="3495"/>
      <c r="P30" s="3496"/>
      <c r="Q30" s="3250"/>
      <c r="R30" s="3250"/>
      <c r="S30" s="3250"/>
      <c r="T30" s="3251" t="s">
        <v>3130</v>
      </c>
      <c r="U30" s="3250"/>
    </row>
    <row r="31" spans="1:21" s="3182" customFormat="1" ht="41.25" hidden="1" customHeight="1" thickBot="1">
      <c r="A31" s="3276" t="s">
        <v>3009</v>
      </c>
      <c r="B31" s="3276" t="s">
        <v>3000</v>
      </c>
      <c r="C31" s="3277">
        <f>C2</f>
        <v>83247.820000000007</v>
      </c>
      <c r="D31" s="3277">
        <f ca="1">E12</f>
        <v>22704</v>
      </c>
      <c r="E31" s="3277">
        <f ca="1">D31*C31/10000</f>
        <v>189005.85052800001</v>
      </c>
      <c r="F31" s="3289">
        <f ca="1">ROUND(D31/1.44,0)</f>
        <v>15767</v>
      </c>
      <c r="G31" s="2858"/>
      <c r="H31" s="3518"/>
      <c r="I31" s="3236"/>
      <c r="J31" s="3237"/>
      <c r="K31" s="3300"/>
      <c r="L31" s="3235"/>
      <c r="M31" s="3219"/>
      <c r="N31" s="3497"/>
      <c r="O31" s="3497"/>
      <c r="P31" s="3252"/>
      <c r="Q31" s="3261"/>
      <c r="R31" s="3261"/>
      <c r="S31" s="3258" t="s">
        <v>3162</v>
      </c>
      <c r="T31" s="3259"/>
      <c r="U31" s="3259" t="s">
        <v>2817</v>
      </c>
    </row>
    <row r="32" spans="1:21" s="3182" customFormat="1" ht="16.5" hidden="1" thickBot="1">
      <c r="A32" s="3515" t="s">
        <v>3167</v>
      </c>
      <c r="B32" s="3515"/>
      <c r="C32" s="3277">
        <f>C31</f>
        <v>83247.820000000007</v>
      </c>
      <c r="D32" s="3277">
        <f ca="1">D31</f>
        <v>22704</v>
      </c>
      <c r="E32" s="3277">
        <f ca="1">E31</f>
        <v>189005.85052800001</v>
      </c>
      <c r="F32" s="3289">
        <f ca="1">F31</f>
        <v>15767</v>
      </c>
      <c r="G32" s="2858"/>
      <c r="H32" s="3519" t="s">
        <v>3010</v>
      </c>
      <c r="I32" s="3238" t="s">
        <v>2998</v>
      </c>
      <c r="J32" s="3239">
        <f>C5</f>
        <v>2364.58</v>
      </c>
      <c r="K32" s="3240">
        <f ca="1">ROUND(E14/4,0)</f>
        <v>971</v>
      </c>
      <c r="L32" s="3241">
        <f t="shared" ref="L32" ca="1" si="7">ROUND(J32*K32/10000,2)</f>
        <v>229.6</v>
      </c>
      <c r="M32" s="3218"/>
      <c r="N32" s="3498"/>
      <c r="O32" s="3498"/>
      <c r="P32" s="3256"/>
      <c r="Q32" s="3260"/>
      <c r="R32" s="3281"/>
      <c r="S32" s="3229"/>
      <c r="T32" s="3263"/>
      <c r="U32" s="3259"/>
    </row>
    <row r="33" spans="1:21" s="3182" customFormat="1" ht="43.5" hidden="1" thickBot="1">
      <c r="A33" s="3508" t="s">
        <v>3121</v>
      </c>
      <c r="B33" s="3508" t="s">
        <v>3122</v>
      </c>
      <c r="C33" s="3229" t="s">
        <v>3123</v>
      </c>
      <c r="D33" s="3229" t="s">
        <v>3168</v>
      </c>
      <c r="E33" s="3229" t="s">
        <v>3169</v>
      </c>
      <c r="F33" s="3286" t="s">
        <v>3126</v>
      </c>
      <c r="G33" s="2858"/>
      <c r="H33" s="3520"/>
      <c r="I33" s="3278"/>
      <c r="J33" s="3279"/>
      <c r="K33" s="3280"/>
      <c r="L33" s="3244"/>
      <c r="M33" s="3218"/>
      <c r="N33" s="3272"/>
      <c r="O33" s="3272"/>
      <c r="P33" s="3252"/>
      <c r="Q33" s="3281"/>
      <c r="R33" s="3281"/>
      <c r="S33" s="3255"/>
      <c r="T33" s="3282"/>
      <c r="U33" s="3253"/>
    </row>
    <row r="34" spans="1:21" s="3182" customFormat="1" ht="29.25" hidden="1" customHeight="1" thickBot="1">
      <c r="A34" s="3509"/>
      <c r="B34" s="3509"/>
      <c r="C34" s="3230" t="s">
        <v>3128</v>
      </c>
      <c r="D34" s="3230" t="s">
        <v>3129</v>
      </c>
      <c r="E34" s="3230" t="s">
        <v>3130</v>
      </c>
      <c r="F34" s="3287" t="s">
        <v>3138</v>
      </c>
      <c r="G34" s="2858"/>
      <c r="H34" s="3518"/>
      <c r="I34" s="3242"/>
      <c r="J34" s="3243"/>
      <c r="K34" s="3243"/>
      <c r="L34" s="3244"/>
      <c r="M34" s="3218"/>
      <c r="N34" s="3252" t="s">
        <v>3010</v>
      </c>
      <c r="O34" s="3252" t="s">
        <v>3180</v>
      </c>
      <c r="P34" s="3252" t="s">
        <v>3147</v>
      </c>
      <c r="Q34" s="3254">
        <f>I5</f>
        <v>2364.58</v>
      </c>
      <c r="R34" s="3254"/>
      <c r="S34" s="3255" t="s">
        <v>3162</v>
      </c>
      <c r="T34" s="3253">
        <f ca="1">L32</f>
        <v>229.6</v>
      </c>
      <c r="U34" s="3253" t="s">
        <v>2817</v>
      </c>
    </row>
    <row r="35" spans="1:21" s="3182" customFormat="1" ht="28.5" hidden="1" customHeight="1" thickBot="1">
      <c r="A35" s="3509"/>
      <c r="B35" s="3509"/>
      <c r="C35" s="3230" t="s">
        <v>3140</v>
      </c>
      <c r="D35" s="3230" t="s">
        <v>3138</v>
      </c>
      <c r="E35" s="3275"/>
      <c r="F35" s="3288"/>
      <c r="G35" s="2858"/>
      <c r="H35" s="3512" t="s">
        <v>24</v>
      </c>
      <c r="I35" s="3513"/>
      <c r="J35" s="3513"/>
      <c r="K35" s="3514"/>
      <c r="L35" s="3245"/>
      <c r="M35" s="3219"/>
      <c r="N35" s="3521" t="s">
        <v>3148</v>
      </c>
      <c r="O35" s="3522"/>
      <c r="P35" s="3523"/>
      <c r="Q35" s="3257"/>
      <c r="R35" s="3257"/>
      <c r="S35" s="3258"/>
      <c r="T35" s="3263">
        <f ca="1">SUM(T31:T34)</f>
        <v>229.6</v>
      </c>
      <c r="U35" s="3259"/>
    </row>
    <row r="36" spans="1:21" s="3182" customFormat="1" ht="24.75" hidden="1" customHeight="1">
      <c r="A36" s="3510" t="s">
        <v>3167</v>
      </c>
      <c r="B36" s="3511"/>
      <c r="C36" s="3283">
        <f>C5</f>
        <v>2364.58</v>
      </c>
      <c r="D36" s="3283">
        <f ca="1">G14</f>
        <v>971</v>
      </c>
      <c r="E36" s="3283">
        <f ca="1">ROUND(D36*C36/10000,4)</f>
        <v>229.60069999999999</v>
      </c>
      <c r="F36" s="3290" t="s">
        <v>2817</v>
      </c>
      <c r="M36" s="3218"/>
      <c r="P36"/>
      <c r="Q36"/>
      <c r="R36"/>
      <c r="S36"/>
    </row>
    <row r="37" spans="1:21" ht="25.5" hidden="1" customHeight="1">
      <c r="A37" s="3183" t="s">
        <v>3170</v>
      </c>
      <c r="B37" s="3184"/>
      <c r="C37" s="3285">
        <f>C31+C36</f>
        <v>85612.400000000009</v>
      </c>
      <c r="D37" s="3284" t="s">
        <v>3171</v>
      </c>
      <c r="E37" s="3184">
        <f ca="1">E32+E36</f>
        <v>189235.45122800002</v>
      </c>
      <c r="F37" s="3185"/>
      <c r="I37" s="3190"/>
      <c r="J37" s="3190"/>
      <c r="K37" s="3190"/>
      <c r="L37" s="3190"/>
    </row>
    <row r="38" spans="1:21" hidden="1"/>
    <row r="39" spans="1:21" hidden="1"/>
    <row r="40" spans="1:21" ht="14.25" hidden="1" thickBot="1"/>
    <row r="41" spans="1:21" ht="46.5" thickBot="1">
      <c r="A41" s="3508" t="s">
        <v>3121</v>
      </c>
      <c r="B41" s="3508" t="s">
        <v>3122</v>
      </c>
      <c r="C41" s="3229" t="s">
        <v>3123</v>
      </c>
      <c r="D41" s="3229" t="s">
        <v>3192</v>
      </c>
      <c r="E41" s="3229" t="s">
        <v>3125</v>
      </c>
      <c r="F41" s="3229" t="s">
        <v>3126</v>
      </c>
      <c r="H41" s="3508" t="s">
        <v>3121</v>
      </c>
      <c r="I41" s="3508" t="s">
        <v>3122</v>
      </c>
      <c r="J41" s="3229" t="s">
        <v>3127</v>
      </c>
      <c r="K41" s="3229" t="s">
        <v>3184</v>
      </c>
      <c r="L41" s="3508" t="s">
        <v>3186</v>
      </c>
      <c r="M41" s="3499"/>
      <c r="N41" s="3310" t="s">
        <v>3121</v>
      </c>
      <c r="O41" s="3502" t="s">
        <v>3122</v>
      </c>
      <c r="P41" s="3503"/>
      <c r="Q41" s="3311" t="s">
        <v>3188</v>
      </c>
      <c r="R41" s="3311" t="s">
        <v>3195</v>
      </c>
      <c r="S41" s="3312" t="s">
        <v>3189</v>
      </c>
      <c r="T41" s="3311" t="s">
        <v>3190</v>
      </c>
    </row>
    <row r="42" spans="1:21" ht="18" thickBot="1">
      <c r="A42" s="3509"/>
      <c r="B42" s="3509"/>
      <c r="C42" s="3230" t="s">
        <v>3128</v>
      </c>
      <c r="D42" s="3230" t="s">
        <v>3193</v>
      </c>
      <c r="E42" s="3230" t="s">
        <v>3130</v>
      </c>
      <c r="F42" s="3230" t="s">
        <v>3138</v>
      </c>
      <c r="H42" s="3516"/>
      <c r="I42" s="3568"/>
      <c r="J42" s="3231" t="s">
        <v>3139</v>
      </c>
      <c r="K42" s="3231" t="s">
        <v>3185</v>
      </c>
      <c r="L42" s="3516"/>
      <c r="M42" s="3499"/>
      <c r="N42" s="3504" t="s">
        <v>3010</v>
      </c>
      <c r="O42" s="3313" t="s">
        <v>3191</v>
      </c>
      <c r="P42" s="3313" t="s">
        <v>3010</v>
      </c>
      <c r="Q42" s="3500">
        <f>C5</f>
        <v>2364.58</v>
      </c>
      <c r="R42" s="3500">
        <f ca="1">E14</f>
        <v>3885</v>
      </c>
      <c r="S42" s="3500">
        <f ca="1">G14</f>
        <v>971</v>
      </c>
      <c r="T42" s="3566">
        <f ca="1">H14</f>
        <v>229.60069999999999</v>
      </c>
    </row>
    <row r="43" spans="1:21" ht="32.25" thickBot="1">
      <c r="A43" s="3568"/>
      <c r="B43" s="3568"/>
      <c r="C43" s="3231" t="s">
        <v>3140</v>
      </c>
      <c r="D43" s="3231" t="s">
        <v>3194</v>
      </c>
      <c r="E43" s="3250"/>
      <c r="F43" s="3250"/>
      <c r="H43" s="3274" t="s">
        <v>3009</v>
      </c>
      <c r="I43" s="3302" t="s">
        <v>922</v>
      </c>
      <c r="J43" s="3307" t="s">
        <v>951</v>
      </c>
      <c r="K43" s="3308">
        <f ca="1">G12</f>
        <v>5676</v>
      </c>
      <c r="L43" s="3309" t="s">
        <v>951</v>
      </c>
      <c r="M43" s="3306"/>
      <c r="N43" s="3505"/>
      <c r="O43" s="3314" t="s">
        <v>3122</v>
      </c>
      <c r="P43" s="3314" t="s">
        <v>3011</v>
      </c>
      <c r="Q43" s="3501"/>
      <c r="R43" s="3501"/>
      <c r="S43" s="3501"/>
      <c r="T43" s="3567"/>
    </row>
    <row r="44" spans="1:21" ht="15" customHeight="1">
      <c r="A44" s="3303" t="s">
        <v>3009</v>
      </c>
      <c r="B44" s="3519" t="s">
        <v>3182</v>
      </c>
      <c r="C44" s="3566">
        <f>C2</f>
        <v>83247.820000000007</v>
      </c>
      <c r="D44" s="3566">
        <f ca="1">E12</f>
        <v>22704</v>
      </c>
      <c r="E44" s="3566">
        <f ca="1">F12</f>
        <v>189005.85052800001</v>
      </c>
      <c r="F44" s="3566">
        <f ca="1">ROUND(D44/1.44,0)</f>
        <v>15767</v>
      </c>
      <c r="H44" s="3519" t="s">
        <v>3010</v>
      </c>
      <c r="I44" s="3519" t="s">
        <v>3016</v>
      </c>
      <c r="J44" s="3500" t="s">
        <v>3187</v>
      </c>
      <c r="K44" s="3572">
        <f ca="1">G14</f>
        <v>971</v>
      </c>
      <c r="L44" s="3572">
        <f ca="1">H14</f>
        <v>229.60069999999999</v>
      </c>
      <c r="M44" s="3306"/>
    </row>
    <row r="45" spans="1:21" ht="15" thickBot="1">
      <c r="A45" s="3304"/>
      <c r="B45" s="3518"/>
      <c r="C45" s="3567"/>
      <c r="D45" s="3567"/>
      <c r="E45" s="3567"/>
      <c r="F45" s="3567"/>
      <c r="H45" s="3520"/>
      <c r="I45" s="3520"/>
      <c r="J45" s="3570"/>
      <c r="K45" s="3570"/>
      <c r="L45" s="3570"/>
      <c r="M45" s="3306"/>
    </row>
    <row r="46" spans="1:21" ht="15.75" thickBot="1">
      <c r="A46" s="3303" t="s">
        <v>3010</v>
      </c>
      <c r="B46" s="3519" t="s">
        <v>3183</v>
      </c>
      <c r="C46" s="3301">
        <f>C5</f>
        <v>2364.58</v>
      </c>
      <c r="D46" s="3566">
        <f ca="1">E14</f>
        <v>3885</v>
      </c>
      <c r="E46" s="3566">
        <f ca="1">F14</f>
        <v>918.63930000000005</v>
      </c>
      <c r="F46" s="3566"/>
      <c r="H46" s="3569"/>
      <c r="I46" s="3569"/>
      <c r="J46" s="3571"/>
      <c r="K46" s="3571"/>
      <c r="L46" s="3571"/>
      <c r="M46" s="3306"/>
    </row>
    <row r="47" spans="1:21" ht="15" customHeight="1" thickBot="1">
      <c r="A47" s="3305"/>
      <c r="B47" s="3518"/>
      <c r="C47" s="3302" t="s">
        <v>3181</v>
      </c>
      <c r="D47" s="3567"/>
      <c r="E47" s="3567"/>
      <c r="F47" s="3567"/>
    </row>
    <row r="48" spans="1:21" ht="15.75" thickBot="1">
      <c r="A48" s="3512" t="s">
        <v>24</v>
      </c>
      <c r="B48" s="3514"/>
      <c r="C48" s="3233"/>
      <c r="D48" s="3233" t="s">
        <v>2817</v>
      </c>
      <c r="E48" s="3233">
        <f ca="1">E44+E46</f>
        <v>189924.48982800002</v>
      </c>
      <c r="F48" s="3233" t="s">
        <v>2817</v>
      </c>
    </row>
    <row r="54" ht="12" customHeight="1"/>
  </sheetData>
  <mergeCells count="86">
    <mergeCell ref="S42:S43"/>
    <mergeCell ref="T42:T43"/>
    <mergeCell ref="I44:I46"/>
    <mergeCell ref="J44:J46"/>
    <mergeCell ref="K44:K46"/>
    <mergeCell ref="L44:L46"/>
    <mergeCell ref="R42:R43"/>
    <mergeCell ref="A48:B48"/>
    <mergeCell ref="C44:C45"/>
    <mergeCell ref="H41:H42"/>
    <mergeCell ref="I41:I42"/>
    <mergeCell ref="L41:L42"/>
    <mergeCell ref="F46:F47"/>
    <mergeCell ref="B46:B47"/>
    <mergeCell ref="D46:D47"/>
    <mergeCell ref="E46:E47"/>
    <mergeCell ref="E44:E45"/>
    <mergeCell ref="F44:F45"/>
    <mergeCell ref="A41:A43"/>
    <mergeCell ref="B41:B43"/>
    <mergeCell ref="B44:B45"/>
    <mergeCell ref="D44:D45"/>
    <mergeCell ref="H44:H46"/>
    <mergeCell ref="I12:I13"/>
    <mergeCell ref="I14:I15"/>
    <mergeCell ref="I16:I17"/>
    <mergeCell ref="I18:I19"/>
    <mergeCell ref="I20:I21"/>
    <mergeCell ref="H12:H13"/>
    <mergeCell ref="G16:G17"/>
    <mergeCell ref="H16:H17"/>
    <mergeCell ref="G14:G15"/>
    <mergeCell ref="H14:H15"/>
    <mergeCell ref="G18:G19"/>
    <mergeCell ref="H18:H19"/>
    <mergeCell ref="G20:G21"/>
    <mergeCell ref="A14:A15"/>
    <mergeCell ref="E14:E15"/>
    <mergeCell ref="A20:A21"/>
    <mergeCell ref="E20:E21"/>
    <mergeCell ref="A16:A17"/>
    <mergeCell ref="E1:G1"/>
    <mergeCell ref="A1:C1"/>
    <mergeCell ref="A2:A3"/>
    <mergeCell ref="A4:B4"/>
    <mergeCell ref="E4:F4"/>
    <mergeCell ref="E16:E17"/>
    <mergeCell ref="G12:G13"/>
    <mergeCell ref="H27:J27"/>
    <mergeCell ref="E2:E3"/>
    <mergeCell ref="E7:F7"/>
    <mergeCell ref="E5:E6"/>
    <mergeCell ref="A5:A6"/>
    <mergeCell ref="A7:B7"/>
    <mergeCell ref="F20:F21"/>
    <mergeCell ref="F18:F19"/>
    <mergeCell ref="F16:F17"/>
    <mergeCell ref="F14:F15"/>
    <mergeCell ref="F12:F13"/>
    <mergeCell ref="A18:A19"/>
    <mergeCell ref="E18:E19"/>
    <mergeCell ref="H20:H21"/>
    <mergeCell ref="A12:A13"/>
    <mergeCell ref="E12:E13"/>
    <mergeCell ref="N27:U27"/>
    <mergeCell ref="A33:A35"/>
    <mergeCell ref="A36:B36"/>
    <mergeCell ref="H35:K35"/>
    <mergeCell ref="A32:B32"/>
    <mergeCell ref="A28:A30"/>
    <mergeCell ref="B28:B30"/>
    <mergeCell ref="H28:H29"/>
    <mergeCell ref="I28:I29"/>
    <mergeCell ref="H30:H31"/>
    <mergeCell ref="B33:B35"/>
    <mergeCell ref="H32:H34"/>
    <mergeCell ref="L28:L29"/>
    <mergeCell ref="O31:O32"/>
    <mergeCell ref="N35:P35"/>
    <mergeCell ref="N28:N30"/>
    <mergeCell ref="O28:P30"/>
    <mergeCell ref="N31:N32"/>
    <mergeCell ref="M41:M42"/>
    <mergeCell ref="Q42:Q43"/>
    <mergeCell ref="O41:P41"/>
    <mergeCell ref="N42:N43"/>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9" sqref="C19"/>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229339</v>
      </c>
      <c r="C2" s="2103"/>
      <c r="D2" s="2103"/>
      <c r="E2" s="2103"/>
      <c r="F2" s="2103"/>
      <c r="G2" s="2103"/>
      <c r="H2" s="2103"/>
      <c r="I2" s="2103"/>
      <c r="J2" s="2103"/>
      <c r="K2" s="2103"/>
    </row>
    <row r="3" spans="1:31" s="2040" customFormat="1" ht="18" customHeight="1">
      <c r="A3" s="2105" t="s">
        <v>1684</v>
      </c>
      <c r="B3" s="2106">
        <f ca="1">ROUND(B2*10000/IF(B1="",'数据-汇总表'!E3,INDIRECT("'数据-取费表'!K"&amp;$K$1)),0)</f>
        <v>27549</v>
      </c>
      <c r="C3" s="2103"/>
      <c r="D3" s="2103"/>
      <c r="E3" s="2103"/>
      <c r="F3" s="2103"/>
      <c r="G3" s="2103"/>
      <c r="H3" s="2103"/>
      <c r="I3" s="2103"/>
      <c r="J3" s="2103"/>
      <c r="K3" s="2103"/>
    </row>
    <row r="4" spans="1:31" s="2040" customFormat="1" ht="18" customHeight="1">
      <c r="A4" s="426" t="s">
        <v>467</v>
      </c>
      <c r="B4" s="427">
        <f ca="1">ROUND(B2*10000/IF(B1="",'数据-汇总表'!D3,INDIRECT("'数据-取费表'!R"&amp;$K$1)),0)</f>
        <v>44051</v>
      </c>
      <c r="C4" s="428"/>
      <c r="D4" s="422"/>
      <c r="E4" s="422"/>
      <c r="F4" s="422"/>
      <c r="G4" s="422"/>
      <c r="H4" s="422"/>
      <c r="I4" s="422"/>
      <c r="J4" s="422"/>
      <c r="K4" s="422"/>
    </row>
    <row r="5" spans="1:31" s="2040" customFormat="1" ht="18" customHeight="1" thickBot="1">
      <c r="A5" s="429"/>
      <c r="B5" s="430">
        <f ca="1">ROUND(B2/(IF(B1="",'数据-汇总表'!D3,INDIRECT("'数据-取费表'!R"&amp;$K$1))/666.67),0)</f>
        <v>2937</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278</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2829">
        <f>ROUND(C6*F24,0)</f>
        <v>3871</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1131</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1131</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53704</v>
      </c>
      <c r="D30" s="477">
        <f ca="1">C32</f>
        <v>0.1032</v>
      </c>
      <c r="E30" s="469" t="s">
        <v>494</v>
      </c>
      <c r="F30" s="471"/>
      <c r="G30" s="2797" t="s">
        <v>2968</v>
      </c>
      <c r="H30" s="2790"/>
      <c r="I30" s="2790"/>
      <c r="J30" s="2790"/>
      <c r="K30" s="2791"/>
    </row>
    <row r="31" spans="1:14" s="2119" customFormat="1" ht="13.5" customHeight="1">
      <c r="A31" s="803" t="s">
        <v>1856</v>
      </c>
      <c r="B31" s="2835"/>
      <c r="C31" s="450">
        <f ca="1">C18+C19+C20+C23+C24+C26+C29</f>
        <v>53704</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478">
        <f ca="1">C35</f>
        <v>9578</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9578</v>
      </c>
      <c r="D35" s="1628"/>
      <c r="E35" s="2841"/>
      <c r="F35" s="1629"/>
      <c r="G35" s="2799"/>
      <c r="H35" s="2800"/>
      <c r="I35" s="2800"/>
      <c r="J35" s="2800"/>
      <c r="K35" s="2801"/>
    </row>
    <row r="36" spans="1:11" s="2084" customFormat="1" ht="13.5" customHeight="1" thickBot="1">
      <c r="A36" s="284" t="s">
        <v>1844</v>
      </c>
      <c r="B36" s="2803"/>
      <c r="C36" s="2842">
        <f ca="1">ROUND((C6-C30-C33)/(1+D30+D33),0)</f>
        <v>229339</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264</v>
      </c>
      <c r="D19" s="462"/>
      <c r="E19" s="462"/>
      <c r="F19" s="466">
        <f>'数据-取费表'!B37</f>
        <v>0.01</v>
      </c>
      <c r="G19" s="444" t="s">
        <v>502</v>
      </c>
      <c r="H19" s="447"/>
      <c r="I19" s="447"/>
      <c r="J19" s="447"/>
      <c r="K19" s="448"/>
      <c r="L19" s="2120"/>
      <c r="M19" s="2120"/>
      <c r="N19" s="2120"/>
    </row>
    <row r="20" spans="1:14" s="2118" customFormat="1" ht="13.5" customHeight="1">
      <c r="A20" s="1633" t="s">
        <v>1855</v>
      </c>
      <c r="B20" s="459" t="s">
        <v>503</v>
      </c>
      <c r="C20" s="3004">
        <f>F20</f>
        <v>0.01</v>
      </c>
      <c r="D20" s="469" t="s">
        <v>504</v>
      </c>
      <c r="E20" s="469"/>
      <c r="F20" s="486">
        <f>'数据-取费表'!B38</f>
        <v>0.01</v>
      </c>
      <c r="G20" s="1326" t="s">
        <v>505</v>
      </c>
      <c r="H20" s="447"/>
      <c r="I20" s="447"/>
      <c r="J20" s="447"/>
      <c r="K20" s="448"/>
      <c r="L20" s="2120"/>
      <c r="M20" s="2120"/>
      <c r="N20" s="2120"/>
    </row>
    <row r="21" spans="1:14" s="2120" customFormat="1" ht="13.5" customHeight="1">
      <c r="A21" s="1633" t="s">
        <v>1858</v>
      </c>
      <c r="B21" s="461" t="s">
        <v>493</v>
      </c>
      <c r="C21" s="470">
        <f ca="1">C22</f>
        <v>946</v>
      </c>
      <c r="D21" s="467">
        <f ca="1">C23</f>
        <v>4.0000000000000002E-4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946</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4.0000000000000002E-4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8013</v>
      </c>
      <c r="D24" s="489">
        <f ca="1">C26</f>
        <v>3.0000000000000001E-3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8013</v>
      </c>
      <c r="D25" s="472"/>
      <c r="E25" s="473"/>
      <c r="F25" s="480"/>
      <c r="G25" s="1325" t="s">
        <v>2433</v>
      </c>
      <c r="H25" s="457"/>
      <c r="I25" s="457"/>
      <c r="J25" s="457"/>
      <c r="K25" s="458"/>
    </row>
    <row r="26" spans="1:14" s="2119" customFormat="1" ht="13.5" customHeight="1">
      <c r="A26" s="1632" t="s">
        <v>1849</v>
      </c>
      <c r="B26" s="1327" t="s">
        <v>508</v>
      </c>
      <c r="C26" s="491">
        <f ca="1">ROUND(F20*F24,4)</f>
        <v>3.0000000000000001E-3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38219</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328" t="str">
        <f>项目基本情况!B1</f>
        <v>北京市出让国有建设用地使用权市场价格预评估</v>
      </c>
      <c r="C37" s="3328"/>
      <c r="D37" s="3328"/>
      <c r="E37" s="3328"/>
      <c r="F37" s="3328"/>
      <c r="G37" s="3328"/>
      <c r="H37" s="3328"/>
      <c r="I37" s="3328"/>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82" t="s">
        <v>521</v>
      </c>
      <c r="D6" s="3583"/>
      <c r="E6" s="3582" t="s">
        <v>522</v>
      </c>
      <c r="F6" s="3583"/>
      <c r="G6" s="3582" t="s">
        <v>523</v>
      </c>
      <c r="H6" s="3583"/>
      <c r="I6" s="3582" t="s">
        <v>524</v>
      </c>
      <c r="J6" s="3583"/>
      <c r="K6" s="514" t="s">
        <v>525</v>
      </c>
      <c r="L6" s="2132"/>
      <c r="M6" s="2131"/>
      <c r="N6" s="2131"/>
      <c r="O6" s="2133"/>
      <c r="P6" s="3584" t="s">
        <v>526</v>
      </c>
      <c r="Q6" s="3585"/>
      <c r="R6" s="3590" t="s">
        <v>522</v>
      </c>
      <c r="S6" s="3591"/>
      <c r="T6" s="3590" t="s">
        <v>523</v>
      </c>
      <c r="U6" s="3591"/>
      <c r="V6" s="3577" t="s">
        <v>524</v>
      </c>
      <c r="W6" s="3577"/>
      <c r="X6" s="1566"/>
      <c r="Y6" s="3590" t="s">
        <v>526</v>
      </c>
      <c r="Z6" s="3591"/>
      <c r="AA6" s="3579" t="s">
        <v>522</v>
      </c>
      <c r="AB6" s="3580" t="s">
        <v>523</v>
      </c>
      <c r="AC6" s="3579" t="s">
        <v>524</v>
      </c>
    </row>
    <row r="7" spans="1:30" ht="20.25">
      <c r="A7" s="515"/>
      <c r="B7" s="516"/>
      <c r="C7" s="3598" t="s">
        <v>2925</v>
      </c>
      <c r="D7" s="3599"/>
      <c r="E7" s="3598" t="s">
        <v>2926</v>
      </c>
      <c r="F7" s="3599"/>
      <c r="G7" s="3598" t="s">
        <v>2927</v>
      </c>
      <c r="H7" s="3599"/>
      <c r="I7" s="3598" t="s">
        <v>2928</v>
      </c>
      <c r="J7" s="3599"/>
      <c r="K7" s="514"/>
      <c r="L7" s="2132"/>
      <c r="M7" s="2131"/>
      <c r="N7" s="2131"/>
      <c r="O7" s="2133"/>
      <c r="P7" s="3586"/>
      <c r="Q7" s="3587"/>
      <c r="R7" s="3592"/>
      <c r="S7" s="3593"/>
      <c r="T7" s="3592"/>
      <c r="U7" s="3593"/>
      <c r="V7" s="3577"/>
      <c r="W7" s="3577"/>
      <c r="X7" s="1566"/>
      <c r="Y7" s="3592"/>
      <c r="Z7" s="3593"/>
      <c r="AA7" s="3580"/>
      <c r="AB7" s="3580"/>
      <c r="AC7" s="3580"/>
    </row>
    <row r="8" spans="1:30" ht="21" thickBot="1">
      <c r="A8" s="515"/>
      <c r="B8" s="516"/>
      <c r="C8" s="3600" t="s">
        <v>2929</v>
      </c>
      <c r="D8" s="3601"/>
      <c r="E8" s="3600" t="s">
        <v>2929</v>
      </c>
      <c r="F8" s="3601"/>
      <c r="G8" s="3596" t="s">
        <v>2929</v>
      </c>
      <c r="H8" s="3597"/>
      <c r="I8" s="3596" t="s">
        <v>2929</v>
      </c>
      <c r="J8" s="3597"/>
      <c r="K8" s="514" t="s">
        <v>527</v>
      </c>
      <c r="L8" s="2132"/>
      <c r="M8" s="2131"/>
      <c r="N8" s="2131"/>
      <c r="O8" s="2133"/>
      <c r="P8" s="3588"/>
      <c r="Q8" s="3589"/>
      <c r="R8" s="3592"/>
      <c r="S8" s="3593"/>
      <c r="T8" s="3594"/>
      <c r="U8" s="3595"/>
      <c r="V8" s="3577"/>
      <c r="W8" s="3577"/>
      <c r="X8" s="1566"/>
      <c r="Y8" s="3594"/>
      <c r="Z8" s="3595"/>
      <c r="AA8" s="3581"/>
      <c r="AB8" s="3581"/>
      <c r="AC8" s="3581"/>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607" t="s">
        <v>529</v>
      </c>
      <c r="Q9" s="3609"/>
      <c r="R9" s="1567" t="s">
        <v>8</v>
      </c>
      <c r="S9" s="1568">
        <f t="shared" ref="S9:S17" si="0">F9</f>
        <v>0</v>
      </c>
      <c r="T9" s="1567" t="s">
        <v>8</v>
      </c>
      <c r="U9" s="1568">
        <f t="shared" ref="U9:U17" si="1">H9</f>
        <v>0</v>
      </c>
      <c r="V9" s="1567" t="s">
        <v>8</v>
      </c>
      <c r="W9" s="1568">
        <f t="shared" ref="W9:W17" si="2">J9</f>
        <v>0</v>
      </c>
      <c r="X9" s="1569"/>
      <c r="Y9" s="3607" t="s">
        <v>529</v>
      </c>
      <c r="Z9" s="3608"/>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607" t="s">
        <v>532</v>
      </c>
      <c r="Q10" s="3608"/>
      <c r="R10" s="1567" t="s">
        <v>8</v>
      </c>
      <c r="S10" s="1568">
        <f t="shared" si="0"/>
        <v>0</v>
      </c>
      <c r="T10" s="1567" t="s">
        <v>8</v>
      </c>
      <c r="U10" s="1568">
        <f t="shared" si="1"/>
        <v>0</v>
      </c>
      <c r="V10" s="1567" t="s">
        <v>8</v>
      </c>
      <c r="W10" s="1568">
        <f t="shared" si="2"/>
        <v>0</v>
      </c>
      <c r="X10" s="1569"/>
      <c r="Y10" s="3607" t="s">
        <v>532</v>
      </c>
      <c r="Z10" s="3608"/>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76" t="s">
        <v>534</v>
      </c>
      <c r="Q11" s="1150" t="str">
        <f t="shared" ref="Q11:Q17" si="6">B11</f>
        <v>用途</v>
      </c>
      <c r="R11" s="1567" t="s">
        <v>8</v>
      </c>
      <c r="S11" s="1568">
        <f t="shared" si="0"/>
        <v>100</v>
      </c>
      <c r="T11" s="1567" t="s">
        <v>8</v>
      </c>
      <c r="U11" s="1568">
        <f t="shared" si="1"/>
        <v>100</v>
      </c>
      <c r="V11" s="1567" t="s">
        <v>8</v>
      </c>
      <c r="W11" s="1568">
        <f t="shared" si="2"/>
        <v>100</v>
      </c>
      <c r="X11" s="1569"/>
      <c r="Y11" s="3440"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109</v>
      </c>
      <c r="G12" s="530"/>
      <c r="H12" s="255">
        <f>ROUND(100/'数据-取费表'!G16,0)</f>
        <v>109</v>
      </c>
      <c r="I12" s="530"/>
      <c r="J12" s="255">
        <f>ROUND(100/'数据-取费表'!G16,0)</f>
        <v>109</v>
      </c>
      <c r="K12" s="531"/>
      <c r="L12" s="2137"/>
      <c r="M12" s="2131"/>
      <c r="N12" s="2131"/>
      <c r="O12" s="2138"/>
      <c r="P12" s="3576"/>
      <c r="Q12" s="1150" t="str">
        <f t="shared" si="6"/>
        <v>土地使用年限（年）</v>
      </c>
      <c r="R12" s="1567" t="s">
        <v>8</v>
      </c>
      <c r="S12" s="1568">
        <f t="shared" si="0"/>
        <v>109</v>
      </c>
      <c r="T12" s="1567" t="s">
        <v>8</v>
      </c>
      <c r="U12" s="1568">
        <f t="shared" si="1"/>
        <v>109</v>
      </c>
      <c r="V12" s="1567" t="s">
        <v>8</v>
      </c>
      <c r="W12" s="1568">
        <f t="shared" si="2"/>
        <v>109</v>
      </c>
      <c r="X12" s="1569"/>
      <c r="Y12" s="3440"/>
      <c r="Z12" s="1149" t="str">
        <f t="shared" si="7"/>
        <v>土地使用年限（年）</v>
      </c>
      <c r="AA12" s="1570">
        <f t="shared" si="3"/>
        <v>0.91743119266055051</v>
      </c>
      <c r="AB12" s="1570">
        <f t="shared" si="4"/>
        <v>0.91743119266055051</v>
      </c>
      <c r="AC12" s="1570">
        <f t="shared" si="5"/>
        <v>0.91743119266055051</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76"/>
      <c r="Q13" s="1150" t="str">
        <f t="shared" si="6"/>
        <v>容积率</v>
      </c>
      <c r="R13" s="1567" t="s">
        <v>8</v>
      </c>
      <c r="S13" s="1568" t="e">
        <f t="shared" si="0"/>
        <v>#N/A</v>
      </c>
      <c r="T13" s="1567" t="s">
        <v>8</v>
      </c>
      <c r="U13" s="1568" t="e">
        <f t="shared" si="1"/>
        <v>#N/A</v>
      </c>
      <c r="V13" s="1567" t="s">
        <v>8</v>
      </c>
      <c r="W13" s="1568" t="e">
        <f t="shared" si="2"/>
        <v>#N/A</v>
      </c>
      <c r="X13" s="1569"/>
      <c r="Y13" s="3440"/>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76"/>
      <c r="Q14" s="1150" t="str">
        <f t="shared" si="6"/>
        <v>配建</v>
      </c>
      <c r="R14" s="1567" t="s">
        <v>8</v>
      </c>
      <c r="S14" s="1568">
        <f t="shared" si="0"/>
        <v>100</v>
      </c>
      <c r="T14" s="1567" t="s">
        <v>8</v>
      </c>
      <c r="U14" s="1568">
        <f t="shared" si="1"/>
        <v>100</v>
      </c>
      <c r="V14" s="1567" t="s">
        <v>8</v>
      </c>
      <c r="W14" s="1568">
        <f t="shared" si="2"/>
        <v>100</v>
      </c>
      <c r="X14" s="1569"/>
      <c r="Y14" s="3440"/>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76"/>
      <c r="Q15" s="1150">
        <f t="shared" si="6"/>
        <v>111</v>
      </c>
      <c r="R15" s="1567" t="s">
        <v>8</v>
      </c>
      <c r="S15" s="1568">
        <f t="shared" si="0"/>
        <v>100</v>
      </c>
      <c r="T15" s="1567" t="s">
        <v>8</v>
      </c>
      <c r="U15" s="1568">
        <f t="shared" si="1"/>
        <v>100</v>
      </c>
      <c r="V15" s="1567" t="s">
        <v>8</v>
      </c>
      <c r="W15" s="1568">
        <f t="shared" si="2"/>
        <v>100</v>
      </c>
      <c r="X15" s="1569"/>
      <c r="Y15" s="3440"/>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76"/>
      <c r="Q16" s="1150">
        <f t="shared" si="6"/>
        <v>111</v>
      </c>
      <c r="R16" s="1567" t="s">
        <v>8</v>
      </c>
      <c r="S16" s="1568">
        <f t="shared" si="0"/>
        <v>100</v>
      </c>
      <c r="T16" s="1567" t="s">
        <v>8</v>
      </c>
      <c r="U16" s="1568">
        <f t="shared" si="1"/>
        <v>100</v>
      </c>
      <c r="V16" s="1567" t="s">
        <v>8</v>
      </c>
      <c r="W16" s="1568">
        <f t="shared" si="2"/>
        <v>100</v>
      </c>
      <c r="X16" s="1569"/>
      <c r="Y16" s="3440"/>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610" t="s">
        <v>539</v>
      </c>
      <c r="Q17" s="1571" t="str">
        <f t="shared" si="6"/>
        <v>居住社区成熟度</v>
      </c>
      <c r="R17" s="1572" t="s">
        <v>8</v>
      </c>
      <c r="S17" s="1573">
        <f t="shared" si="0"/>
        <v>100</v>
      </c>
      <c r="T17" s="1572" t="s">
        <v>8</v>
      </c>
      <c r="U17" s="1573">
        <f t="shared" si="1"/>
        <v>100</v>
      </c>
      <c r="V17" s="1572" t="s">
        <v>8</v>
      </c>
      <c r="W17" s="1573">
        <f t="shared" si="2"/>
        <v>100</v>
      </c>
      <c r="X17" s="1566"/>
      <c r="Y17" s="3610"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611"/>
      <c r="Q18" s="1571"/>
      <c r="R18" s="1572"/>
      <c r="S18" s="1573"/>
      <c r="T18" s="1572"/>
      <c r="U18" s="1573"/>
      <c r="V18" s="1572"/>
      <c r="W18" s="1573"/>
      <c r="X18" s="1566"/>
      <c r="Y18" s="3611"/>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611"/>
      <c r="Q19" s="1571" t="str">
        <f>B19</f>
        <v>商业繁华度</v>
      </c>
      <c r="R19" s="1572" t="s">
        <v>8</v>
      </c>
      <c r="S19" s="1573">
        <f>F19</f>
        <v>100</v>
      </c>
      <c r="T19" s="1572" t="s">
        <v>8</v>
      </c>
      <c r="U19" s="1573">
        <f>H19</f>
        <v>100</v>
      </c>
      <c r="V19" s="1572" t="s">
        <v>8</v>
      </c>
      <c r="W19" s="1573">
        <f>J19</f>
        <v>100</v>
      </c>
      <c r="X19" s="1566"/>
      <c r="Y19" s="3611"/>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611"/>
      <c r="Q20" s="1571"/>
      <c r="R20" s="1572"/>
      <c r="S20" s="1573"/>
      <c r="T20" s="1572"/>
      <c r="U20" s="1573"/>
      <c r="V20" s="1572"/>
      <c r="W20" s="1573"/>
      <c r="X20" s="1566"/>
      <c r="Y20" s="3611"/>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611"/>
      <c r="Q21" s="1571" t="str">
        <f>B21</f>
        <v>办公集聚程度</v>
      </c>
      <c r="R21" s="1572" t="s">
        <v>8</v>
      </c>
      <c r="S21" s="1573">
        <f>F21</f>
        <v>100</v>
      </c>
      <c r="T21" s="1572" t="s">
        <v>8</v>
      </c>
      <c r="U21" s="1573">
        <f>H21</f>
        <v>100</v>
      </c>
      <c r="V21" s="1572" t="s">
        <v>8</v>
      </c>
      <c r="W21" s="1573">
        <f>J21</f>
        <v>100</v>
      </c>
      <c r="X21" s="1566"/>
      <c r="Y21" s="361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611"/>
      <c r="Q22" s="1571"/>
      <c r="R22" s="1572"/>
      <c r="S22" s="1573"/>
      <c r="T22" s="1572"/>
      <c r="U22" s="1573"/>
      <c r="V22" s="1572"/>
      <c r="W22" s="1573"/>
      <c r="X22" s="1566"/>
      <c r="Y22" s="3611"/>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611"/>
      <c r="Q23" s="1571" t="str">
        <f>B23</f>
        <v>交通便捷度</v>
      </c>
      <c r="R23" s="1572" t="s">
        <v>8</v>
      </c>
      <c r="S23" s="1573">
        <f>F23</f>
        <v>100</v>
      </c>
      <c r="T23" s="1572" t="s">
        <v>8</v>
      </c>
      <c r="U23" s="1573">
        <f>H23</f>
        <v>100</v>
      </c>
      <c r="V23" s="1572" t="s">
        <v>8</v>
      </c>
      <c r="W23" s="1573">
        <f>J23</f>
        <v>100</v>
      </c>
      <c r="X23" s="1566"/>
      <c r="Y23" s="3611"/>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611"/>
      <c r="Q24" s="1571"/>
      <c r="R24" s="1572"/>
      <c r="S24" s="1573"/>
      <c r="T24" s="1572"/>
      <c r="U24" s="1573"/>
      <c r="V24" s="1572"/>
      <c r="W24" s="1573"/>
      <c r="X24" s="1566"/>
      <c r="Y24" s="3611"/>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611"/>
      <c r="Q25" s="1571" t="str">
        <f t="shared" ref="Q25:Q39" si="8">B25</f>
        <v>区域土地利用方向</v>
      </c>
      <c r="R25" s="1572" t="s">
        <v>8</v>
      </c>
      <c r="S25" s="1573">
        <f>F25</f>
        <v>100</v>
      </c>
      <c r="T25" s="1572" t="s">
        <v>8</v>
      </c>
      <c r="U25" s="1573">
        <f>H25</f>
        <v>100</v>
      </c>
      <c r="V25" s="1572" t="s">
        <v>8</v>
      </c>
      <c r="W25" s="1573">
        <f>J25</f>
        <v>100</v>
      </c>
      <c r="X25" s="1566"/>
      <c r="Y25" s="3611"/>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611"/>
      <c r="Q26" s="1571"/>
      <c r="R26" s="1572"/>
      <c r="S26" s="1573"/>
      <c r="T26" s="1572"/>
      <c r="U26" s="1573"/>
      <c r="V26" s="1572"/>
      <c r="W26" s="1573"/>
      <c r="X26" s="1566"/>
      <c r="Y26" s="3611"/>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611"/>
      <c r="Q27" s="1571" t="str">
        <f t="shared" si="8"/>
        <v>自然及人文环境状况</v>
      </c>
      <c r="R27" s="1572" t="s">
        <v>8</v>
      </c>
      <c r="S27" s="1573">
        <f>F27</f>
        <v>100</v>
      </c>
      <c r="T27" s="1572" t="s">
        <v>8</v>
      </c>
      <c r="U27" s="1573">
        <f>H27</f>
        <v>100</v>
      </c>
      <c r="V27" s="1572" t="s">
        <v>8</v>
      </c>
      <c r="W27" s="1573">
        <f>J27</f>
        <v>100</v>
      </c>
      <c r="X27" s="1566"/>
      <c r="Y27" s="3611"/>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611"/>
      <c r="Q28" s="1571"/>
      <c r="R28" s="1572"/>
      <c r="S28" s="1573"/>
      <c r="T28" s="1572"/>
      <c r="U28" s="1573"/>
      <c r="V28" s="1572"/>
      <c r="W28" s="1573"/>
      <c r="X28" s="1566"/>
      <c r="Y28" s="3611"/>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611"/>
      <c r="Q29" s="1150" t="str">
        <f t="shared" si="8"/>
        <v>公共配套设施</v>
      </c>
      <c r="R29" s="1567" t="s">
        <v>8</v>
      </c>
      <c r="S29" s="1568">
        <f>F29</f>
        <v>100</v>
      </c>
      <c r="T29" s="1567" t="s">
        <v>8</v>
      </c>
      <c r="U29" s="1568">
        <f>H29</f>
        <v>100</v>
      </c>
      <c r="V29" s="1567" t="s">
        <v>8</v>
      </c>
      <c r="W29" s="1568">
        <f>J29</f>
        <v>100</v>
      </c>
      <c r="X29" s="1569"/>
      <c r="Y29" s="3611"/>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611"/>
      <c r="Q30" s="1150"/>
      <c r="R30" s="1567"/>
      <c r="S30" s="1568"/>
      <c r="T30" s="1567"/>
      <c r="U30" s="1568"/>
      <c r="V30" s="1567"/>
      <c r="W30" s="1568"/>
      <c r="X30" s="1569"/>
      <c r="Y30" s="3611"/>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611"/>
      <c r="Q31" s="2556" t="str">
        <f t="shared" ref="Q31" si="9">B31</f>
        <v>基础设施水平</v>
      </c>
      <c r="R31" s="1567" t="s">
        <v>8</v>
      </c>
      <c r="S31" s="1568">
        <f>F31</f>
        <v>100</v>
      </c>
      <c r="T31" s="1567" t="s">
        <v>8</v>
      </c>
      <c r="U31" s="1568">
        <f>H31</f>
        <v>100</v>
      </c>
      <c r="V31" s="1567" t="s">
        <v>8</v>
      </c>
      <c r="W31" s="1568">
        <f>J31</f>
        <v>100</v>
      </c>
      <c r="X31" s="1569"/>
      <c r="Y31" s="3611"/>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611"/>
      <c r="Q32" s="2556"/>
      <c r="R32" s="1567"/>
      <c r="S32" s="1568"/>
      <c r="T32" s="1567"/>
      <c r="U32" s="1568"/>
      <c r="V32" s="1567"/>
      <c r="W32" s="1568"/>
      <c r="X32" s="1569"/>
      <c r="Y32" s="3611"/>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61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611"/>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611"/>
      <c r="Q34" s="1571" t="str">
        <f t="shared" si="8"/>
        <v>毗邻道路的类型与等级</v>
      </c>
      <c r="R34" s="1572" t="s">
        <v>8</v>
      </c>
      <c r="S34" s="1573">
        <f t="shared" si="10"/>
        <v>100</v>
      </c>
      <c r="T34" s="1572" t="s">
        <v>8</v>
      </c>
      <c r="U34" s="1573">
        <f t="shared" si="11"/>
        <v>100</v>
      </c>
      <c r="V34" s="1572" t="s">
        <v>8</v>
      </c>
      <c r="W34" s="1573">
        <f t="shared" si="12"/>
        <v>100</v>
      </c>
      <c r="X34" s="1566"/>
      <c r="Y34" s="3611"/>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611"/>
      <c r="Q35" s="1571"/>
      <c r="R35" s="1572"/>
      <c r="S35" s="1573"/>
      <c r="T35" s="1572"/>
      <c r="U35" s="1573"/>
      <c r="V35" s="1572"/>
      <c r="W35" s="1573"/>
      <c r="X35" s="1566"/>
      <c r="Y35" s="361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611"/>
      <c r="Q36" s="1571" t="str">
        <f t="shared" si="8"/>
        <v>土地级别</v>
      </c>
      <c r="R36" s="1572" t="s">
        <v>8</v>
      </c>
      <c r="S36" s="1573">
        <f t="shared" si="10"/>
        <v>100</v>
      </c>
      <c r="T36" s="1572" t="s">
        <v>8</v>
      </c>
      <c r="U36" s="1573">
        <f t="shared" si="11"/>
        <v>100</v>
      </c>
      <c r="V36" s="1572" t="s">
        <v>8</v>
      </c>
      <c r="W36" s="1573">
        <f t="shared" si="12"/>
        <v>100</v>
      </c>
      <c r="X36" s="1566"/>
      <c r="Y36" s="361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611"/>
      <c r="Q37" s="1571">
        <f t="shared" si="8"/>
        <v>111</v>
      </c>
      <c r="R37" s="1572" t="s">
        <v>8</v>
      </c>
      <c r="S37" s="1573">
        <f t="shared" si="10"/>
        <v>100</v>
      </c>
      <c r="T37" s="1572" t="s">
        <v>8</v>
      </c>
      <c r="U37" s="1573">
        <f t="shared" si="11"/>
        <v>100</v>
      </c>
      <c r="V37" s="1572" t="s">
        <v>8</v>
      </c>
      <c r="W37" s="1573">
        <f t="shared" si="12"/>
        <v>100</v>
      </c>
      <c r="X37" s="1566"/>
      <c r="Y37" s="361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612" t="s">
        <v>549</v>
      </c>
      <c r="Q38" s="1571">
        <f t="shared" si="8"/>
        <v>111</v>
      </c>
      <c r="R38" s="1572" t="s">
        <v>8</v>
      </c>
      <c r="S38" s="1573">
        <f t="shared" si="10"/>
        <v>100</v>
      </c>
      <c r="T38" s="1572" t="s">
        <v>8</v>
      </c>
      <c r="U38" s="1573">
        <f t="shared" si="11"/>
        <v>100</v>
      </c>
      <c r="V38" s="1572" t="s">
        <v>8</v>
      </c>
      <c r="W38" s="1573">
        <f t="shared" si="12"/>
        <v>100</v>
      </c>
      <c r="X38" s="1566"/>
      <c r="Y38" s="3613"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613"/>
      <c r="Q39" s="1571">
        <f t="shared" si="8"/>
        <v>111</v>
      </c>
      <c r="R39" s="1576" t="s">
        <v>8</v>
      </c>
      <c r="S39" s="1577">
        <f t="shared" si="10"/>
        <v>100</v>
      </c>
      <c r="T39" s="1576" t="s">
        <v>8</v>
      </c>
      <c r="U39" s="1577">
        <f t="shared" si="11"/>
        <v>100</v>
      </c>
      <c r="V39" s="1576" t="s">
        <v>8</v>
      </c>
      <c r="W39" s="1577">
        <f t="shared" si="12"/>
        <v>100</v>
      </c>
      <c r="X39" s="1578"/>
      <c r="Y39" s="3613"/>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613"/>
      <c r="Q40" s="1571" t="str">
        <f>B40</f>
        <v>宗地面积</v>
      </c>
      <c r="R40" s="1572" t="s">
        <v>8</v>
      </c>
      <c r="S40" s="1573" t="e">
        <f t="shared" si="10"/>
        <v>#N/A</v>
      </c>
      <c r="T40" s="1572" t="s">
        <v>8</v>
      </c>
      <c r="U40" s="1573" t="e">
        <f t="shared" si="11"/>
        <v>#N/A</v>
      </c>
      <c r="V40" s="1572" t="s">
        <v>8</v>
      </c>
      <c r="W40" s="1573" t="e">
        <f t="shared" si="12"/>
        <v>#N/A</v>
      </c>
      <c r="X40" s="1566"/>
      <c r="Y40" s="3613"/>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613"/>
      <c r="Q41" s="1571" t="str">
        <f t="shared" ref="Q41:Q47" si="14">B41</f>
        <v>宗地形状</v>
      </c>
      <c r="R41" s="1572" t="s">
        <v>8</v>
      </c>
      <c r="S41" s="1573">
        <f t="shared" si="10"/>
        <v>100</v>
      </c>
      <c r="T41" s="1572" t="s">
        <v>8</v>
      </c>
      <c r="U41" s="1573">
        <f t="shared" si="11"/>
        <v>100</v>
      </c>
      <c r="V41" s="1572" t="s">
        <v>8</v>
      </c>
      <c r="W41" s="1573">
        <f t="shared" si="12"/>
        <v>100</v>
      </c>
      <c r="X41" s="1566"/>
      <c r="Y41" s="3613"/>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613"/>
      <c r="Q42" s="1571" t="str">
        <f t="shared" si="14"/>
        <v>临街宽度及深度</v>
      </c>
      <c r="R42" s="1572" t="s">
        <v>8</v>
      </c>
      <c r="S42" s="1573">
        <f t="shared" si="10"/>
        <v>100</v>
      </c>
      <c r="T42" s="1572" t="s">
        <v>8</v>
      </c>
      <c r="U42" s="1573">
        <f t="shared" si="11"/>
        <v>100</v>
      </c>
      <c r="V42" s="1572" t="s">
        <v>8</v>
      </c>
      <c r="W42" s="1573">
        <f t="shared" si="12"/>
        <v>100</v>
      </c>
      <c r="X42" s="1566"/>
      <c r="Y42" s="3613"/>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613"/>
      <c r="Q43" s="1571" t="str">
        <f t="shared" si="14"/>
        <v>宗地开发程度</v>
      </c>
      <c r="R43" s="1567" t="s">
        <v>8</v>
      </c>
      <c r="S43" s="1568">
        <f t="shared" si="10"/>
        <v>100</v>
      </c>
      <c r="T43" s="1567" t="s">
        <v>8</v>
      </c>
      <c r="U43" s="1568">
        <f t="shared" si="11"/>
        <v>100</v>
      </c>
      <c r="V43" s="1567" t="s">
        <v>8</v>
      </c>
      <c r="W43" s="1568">
        <f t="shared" si="12"/>
        <v>100</v>
      </c>
      <c r="X43" s="1569"/>
      <c r="Y43" s="3613"/>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613" t="s">
        <v>549</v>
      </c>
      <c r="Q44" s="1571" t="str">
        <f t="shared" si="14"/>
        <v>工程地质条件</v>
      </c>
      <c r="R44" s="1572" t="s">
        <v>8</v>
      </c>
      <c r="S44" s="1573">
        <f t="shared" si="10"/>
        <v>100</v>
      </c>
      <c r="T44" s="1572" t="s">
        <v>8</v>
      </c>
      <c r="U44" s="1573">
        <f t="shared" si="11"/>
        <v>100</v>
      </c>
      <c r="V44" s="1572" t="s">
        <v>8</v>
      </c>
      <c r="W44" s="1573">
        <f t="shared" si="12"/>
        <v>100</v>
      </c>
      <c r="X44" s="1566"/>
      <c r="Y44" s="3613"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613"/>
      <c r="Q45" s="1571">
        <f t="shared" si="14"/>
        <v>111</v>
      </c>
      <c r="R45" s="1572" t="s">
        <v>8</v>
      </c>
      <c r="S45" s="1573">
        <f t="shared" si="10"/>
        <v>100</v>
      </c>
      <c r="T45" s="1572" t="s">
        <v>8</v>
      </c>
      <c r="U45" s="1573">
        <f t="shared" si="11"/>
        <v>100</v>
      </c>
      <c r="V45" s="1572" t="s">
        <v>8</v>
      </c>
      <c r="W45" s="1573">
        <f t="shared" si="12"/>
        <v>100</v>
      </c>
      <c r="X45" s="1566"/>
      <c r="Y45" s="361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613"/>
      <c r="Q46" s="1571">
        <f t="shared" si="14"/>
        <v>111</v>
      </c>
      <c r="R46" s="1572" t="s">
        <v>8</v>
      </c>
      <c r="S46" s="1573">
        <f t="shared" si="10"/>
        <v>100</v>
      </c>
      <c r="T46" s="1572" t="s">
        <v>8</v>
      </c>
      <c r="U46" s="1573">
        <f t="shared" si="11"/>
        <v>100</v>
      </c>
      <c r="V46" s="1572" t="s">
        <v>8</v>
      </c>
      <c r="W46" s="1573">
        <f t="shared" si="12"/>
        <v>100</v>
      </c>
      <c r="X46" s="1566"/>
      <c r="Y46" s="3613"/>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613"/>
      <c r="Q47" s="1571">
        <f t="shared" si="14"/>
        <v>111</v>
      </c>
      <c r="R47" s="1576" t="s">
        <v>8</v>
      </c>
      <c r="S47" s="1577">
        <f t="shared" si="10"/>
        <v>100</v>
      </c>
      <c r="T47" s="1576" t="s">
        <v>8</v>
      </c>
      <c r="U47" s="1577">
        <f t="shared" si="11"/>
        <v>100</v>
      </c>
      <c r="V47" s="1576" t="s">
        <v>8</v>
      </c>
      <c r="W47" s="1577">
        <f t="shared" si="12"/>
        <v>100</v>
      </c>
      <c r="X47" s="1578"/>
      <c r="Y47" s="3613"/>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76" t="str">
        <f>A48</f>
        <v>成交单价</v>
      </c>
      <c r="Q48" s="3576"/>
      <c r="R48" s="3577">
        <f>E48</f>
        <v>0</v>
      </c>
      <c r="S48" s="3577"/>
      <c r="T48" s="3577">
        <f>G48</f>
        <v>0</v>
      </c>
      <c r="U48" s="3577"/>
      <c r="V48" s="3577">
        <f>I48</f>
        <v>0</v>
      </c>
      <c r="W48" s="3577"/>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76" t="str">
        <f>A49</f>
        <v>比较价格（元/平方米）</v>
      </c>
      <c r="Q49" s="3576"/>
      <c r="R49" s="3578" t="e">
        <f>ROUND(PRODUCT(R48,AA9:AA47),0)</f>
        <v>#DIV/0!</v>
      </c>
      <c r="S49" s="3578"/>
      <c r="T49" s="3578" t="e">
        <f>ROUND(PRODUCT(T48,AB9:AB47),0)</f>
        <v>#DIV/0!</v>
      </c>
      <c r="U49" s="3578"/>
      <c r="V49" s="3578" t="e">
        <f>ROUND(PRODUCT(V48,AC9:AC47),0)</f>
        <v>#DIV/0!</v>
      </c>
      <c r="W49" s="3578"/>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73" t="str">
        <f>A50</f>
        <v>估价对象XX用房的比较价格（楼面单价，元/平方米）</v>
      </c>
      <c r="Q50" s="3574"/>
      <c r="R50" s="3575" t="e">
        <f>ROUND(AVERAGE(R49:V49),0)</f>
        <v>#DIV/0!</v>
      </c>
      <c r="S50" s="3575"/>
      <c r="T50" s="3575"/>
      <c r="U50" s="3575"/>
      <c r="V50" s="3575"/>
      <c r="W50" s="3575"/>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602" t="s">
        <v>2281</v>
      </c>
      <c r="H57" s="3603"/>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604"/>
      <c r="H58" s="360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606"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606"/>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606"/>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606"/>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"北京市平均增长率"&amp;TEXT(SUMIF('基准地价-55住宅'!N21:N25,A73,'基准地价-55住宅'!P21:P25),"0.00%")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82" t="s">
        <v>521</v>
      </c>
      <c r="D6" s="3583"/>
      <c r="E6" s="3616" t="s">
        <v>522</v>
      </c>
      <c r="F6" s="3617"/>
      <c r="G6" s="3582" t="s">
        <v>523</v>
      </c>
      <c r="H6" s="3583"/>
      <c r="I6" s="3582" t="s">
        <v>524</v>
      </c>
      <c r="J6" s="3583"/>
      <c r="K6" s="514" t="s">
        <v>525</v>
      </c>
      <c r="L6" s="2132"/>
      <c r="M6" s="2133"/>
      <c r="N6" s="2133"/>
      <c r="O6" s="2133"/>
      <c r="P6" s="3584" t="s">
        <v>526</v>
      </c>
      <c r="Q6" s="3585"/>
      <c r="R6" s="3590" t="s">
        <v>522</v>
      </c>
      <c r="S6" s="3591"/>
      <c r="T6" s="3590" t="s">
        <v>523</v>
      </c>
      <c r="U6" s="3591"/>
      <c r="V6" s="3577" t="s">
        <v>524</v>
      </c>
      <c r="W6" s="3577"/>
      <c r="X6" s="1566"/>
      <c r="Y6" s="3590" t="s">
        <v>526</v>
      </c>
      <c r="Z6" s="3591"/>
      <c r="AA6" s="3579" t="s">
        <v>522</v>
      </c>
      <c r="AB6" s="3580" t="s">
        <v>523</v>
      </c>
      <c r="AC6" s="3579" t="s">
        <v>524</v>
      </c>
    </row>
    <row r="7" spans="1:29" ht="15">
      <c r="A7" s="515"/>
      <c r="B7" s="516"/>
      <c r="C7" s="3598" t="s">
        <v>2925</v>
      </c>
      <c r="D7" s="3599"/>
      <c r="E7" s="3618" t="s">
        <v>2926</v>
      </c>
      <c r="F7" s="3619"/>
      <c r="G7" s="3598" t="s">
        <v>2927</v>
      </c>
      <c r="H7" s="3599"/>
      <c r="I7" s="3598" t="s">
        <v>2928</v>
      </c>
      <c r="J7" s="3599"/>
      <c r="K7" s="514"/>
      <c r="L7" s="2132"/>
      <c r="M7" s="2133"/>
      <c r="N7" s="2133"/>
      <c r="O7" s="2133"/>
      <c r="P7" s="3586"/>
      <c r="Q7" s="3587"/>
      <c r="R7" s="3592"/>
      <c r="S7" s="3593"/>
      <c r="T7" s="3592"/>
      <c r="U7" s="3593"/>
      <c r="V7" s="3577"/>
      <c r="W7" s="3577"/>
      <c r="X7" s="1566"/>
      <c r="Y7" s="3592"/>
      <c r="Z7" s="3593"/>
      <c r="AA7" s="3580"/>
      <c r="AB7" s="3580"/>
      <c r="AC7" s="3580"/>
    </row>
    <row r="8" spans="1:29" ht="15.75" thickBot="1">
      <c r="A8" s="517"/>
      <c r="B8" s="518"/>
      <c r="C8" s="3596" t="s">
        <v>2929</v>
      </c>
      <c r="D8" s="3597"/>
      <c r="E8" s="3614" t="s">
        <v>2929</v>
      </c>
      <c r="F8" s="3615"/>
      <c r="G8" s="3596" t="s">
        <v>2929</v>
      </c>
      <c r="H8" s="3597"/>
      <c r="I8" s="3596" t="s">
        <v>2929</v>
      </c>
      <c r="J8" s="3597"/>
      <c r="K8" s="514" t="s">
        <v>527</v>
      </c>
      <c r="L8" s="2132"/>
      <c r="M8" s="2133"/>
      <c r="N8" s="2133"/>
      <c r="O8" s="2133"/>
      <c r="P8" s="3588"/>
      <c r="Q8" s="3589"/>
      <c r="R8" s="3592"/>
      <c r="S8" s="3593"/>
      <c r="T8" s="3594"/>
      <c r="U8" s="3595"/>
      <c r="V8" s="3577"/>
      <c r="W8" s="3577"/>
      <c r="X8" s="1566"/>
      <c r="Y8" s="3594"/>
      <c r="Z8" s="3595"/>
      <c r="AA8" s="3581"/>
      <c r="AB8" s="3581"/>
      <c r="AC8" s="3581"/>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607" t="s">
        <v>529</v>
      </c>
      <c r="Q9" s="3609"/>
      <c r="R9" s="1567" t="s">
        <v>8</v>
      </c>
      <c r="S9" s="1568">
        <f t="shared" ref="S9:S17" si="0">F9</f>
        <v>0</v>
      </c>
      <c r="T9" s="1567" t="s">
        <v>8</v>
      </c>
      <c r="U9" s="1568">
        <f t="shared" ref="U9:U17" si="1">H9</f>
        <v>0</v>
      </c>
      <c r="V9" s="1567" t="s">
        <v>8</v>
      </c>
      <c r="W9" s="1568">
        <f t="shared" ref="W9:W17" si="2">J9</f>
        <v>0</v>
      </c>
      <c r="X9" s="1569"/>
      <c r="Y9" s="3607" t="s">
        <v>529</v>
      </c>
      <c r="Z9" s="3608"/>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607" t="s">
        <v>532</v>
      </c>
      <c r="Q10" s="3608"/>
      <c r="R10" s="1567" t="s">
        <v>8</v>
      </c>
      <c r="S10" s="1568">
        <f t="shared" si="0"/>
        <v>0</v>
      </c>
      <c r="T10" s="1567" t="s">
        <v>8</v>
      </c>
      <c r="U10" s="1568">
        <f t="shared" si="1"/>
        <v>0</v>
      </c>
      <c r="V10" s="1567" t="s">
        <v>8</v>
      </c>
      <c r="W10" s="1568">
        <f t="shared" si="2"/>
        <v>0</v>
      </c>
      <c r="X10" s="1569"/>
      <c r="Y10" s="3607" t="s">
        <v>532</v>
      </c>
      <c r="Z10" s="3608"/>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76" t="s">
        <v>534</v>
      </c>
      <c r="Q11" s="1150" t="str">
        <f t="shared" ref="Q11:Q17" si="6">B11</f>
        <v>用途</v>
      </c>
      <c r="R11" s="1567" t="s">
        <v>8</v>
      </c>
      <c r="S11" s="1568">
        <f t="shared" si="0"/>
        <v>100</v>
      </c>
      <c r="T11" s="1567" t="s">
        <v>8</v>
      </c>
      <c r="U11" s="1568">
        <f t="shared" si="1"/>
        <v>100</v>
      </c>
      <c r="V11" s="1567" t="s">
        <v>8</v>
      </c>
      <c r="W11" s="1568">
        <f t="shared" si="2"/>
        <v>100</v>
      </c>
      <c r="X11" s="1569"/>
      <c r="Y11" s="3440"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109</v>
      </c>
      <c r="G12" s="528"/>
      <c r="H12" s="255">
        <f>ROUND(100/'数据-取费表'!G16,0)</f>
        <v>109</v>
      </c>
      <c r="I12" s="528"/>
      <c r="J12" s="255">
        <f>ROUND(100/'数据-取费表'!G16,0)</f>
        <v>109</v>
      </c>
      <c r="K12" s="531"/>
      <c r="L12" s="2137"/>
      <c r="M12" s="2177"/>
      <c r="N12" s="2177"/>
      <c r="O12" s="2138"/>
      <c r="P12" s="3576"/>
      <c r="Q12" s="1150" t="str">
        <f t="shared" si="6"/>
        <v>土地使用年限（年）</v>
      </c>
      <c r="R12" s="1567" t="s">
        <v>8</v>
      </c>
      <c r="S12" s="1568">
        <f t="shared" si="0"/>
        <v>109</v>
      </c>
      <c r="T12" s="1567" t="s">
        <v>8</v>
      </c>
      <c r="U12" s="1568">
        <f t="shared" si="1"/>
        <v>109</v>
      </c>
      <c r="V12" s="1567" t="s">
        <v>8</v>
      </c>
      <c r="W12" s="1568">
        <f t="shared" si="2"/>
        <v>109</v>
      </c>
      <c r="X12" s="1569"/>
      <c r="Y12" s="3440"/>
      <c r="Z12" s="1149" t="str">
        <f t="shared" si="7"/>
        <v>土地使用年限（年）</v>
      </c>
      <c r="AA12" s="1570">
        <f t="shared" si="3"/>
        <v>0.91743119266055051</v>
      </c>
      <c r="AB12" s="1570">
        <f t="shared" si="4"/>
        <v>0.91743119266055051</v>
      </c>
      <c r="AC12" s="1570">
        <f t="shared" si="5"/>
        <v>0.91743119266055051</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76"/>
      <c r="Q13" s="1150" t="str">
        <f t="shared" si="6"/>
        <v>容积率</v>
      </c>
      <c r="R13" s="1567" t="s">
        <v>8</v>
      </c>
      <c r="S13" s="1568" t="e">
        <f t="shared" si="0"/>
        <v>#N/A</v>
      </c>
      <c r="T13" s="1567" t="s">
        <v>8</v>
      </c>
      <c r="U13" s="1568" t="e">
        <f t="shared" si="1"/>
        <v>#N/A</v>
      </c>
      <c r="V13" s="1567" t="s">
        <v>8</v>
      </c>
      <c r="W13" s="1568" t="e">
        <f t="shared" si="2"/>
        <v>#N/A</v>
      </c>
      <c r="X13" s="1569"/>
      <c r="Y13" s="3440"/>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76"/>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76"/>
      <c r="Q15" s="1150">
        <f t="shared" si="6"/>
        <v>111</v>
      </c>
      <c r="R15" s="1567" t="s">
        <v>8</v>
      </c>
      <c r="S15" s="1568">
        <f t="shared" si="0"/>
        <v>100</v>
      </c>
      <c r="T15" s="1567" t="s">
        <v>8</v>
      </c>
      <c r="U15" s="1568">
        <f t="shared" si="1"/>
        <v>100</v>
      </c>
      <c r="V15" s="1567" t="s">
        <v>8</v>
      </c>
      <c r="W15" s="1568">
        <f t="shared" si="2"/>
        <v>100</v>
      </c>
      <c r="X15" s="1569"/>
      <c r="Y15" s="3440"/>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76"/>
      <c r="Q16" s="1150">
        <f t="shared" si="6"/>
        <v>111</v>
      </c>
      <c r="R16" s="1567" t="s">
        <v>8</v>
      </c>
      <c r="S16" s="1568">
        <f t="shared" si="0"/>
        <v>100</v>
      </c>
      <c r="T16" s="1567" t="s">
        <v>8</v>
      </c>
      <c r="U16" s="1568">
        <f t="shared" si="1"/>
        <v>100</v>
      </c>
      <c r="V16" s="1567" t="s">
        <v>8</v>
      </c>
      <c r="W16" s="1568">
        <f t="shared" si="2"/>
        <v>100</v>
      </c>
      <c r="X16" s="1569"/>
      <c r="Y16" s="3440"/>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610" t="s">
        <v>539</v>
      </c>
      <c r="Q17" s="1571" t="str">
        <f t="shared" si="6"/>
        <v>产业集聚程度</v>
      </c>
      <c r="R17" s="1572" t="s">
        <v>8</v>
      </c>
      <c r="S17" s="1573">
        <f t="shared" si="0"/>
        <v>100</v>
      </c>
      <c r="T17" s="1572" t="s">
        <v>8</v>
      </c>
      <c r="U17" s="1573">
        <f t="shared" si="1"/>
        <v>100</v>
      </c>
      <c r="V17" s="1572" t="s">
        <v>8</v>
      </c>
      <c r="W17" s="1573">
        <f t="shared" si="2"/>
        <v>100</v>
      </c>
      <c r="X17" s="1566"/>
      <c r="Y17" s="361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611"/>
      <c r="Q18" s="1571"/>
      <c r="R18" s="1572"/>
      <c r="S18" s="1573"/>
      <c r="T18" s="1572"/>
      <c r="U18" s="1573"/>
      <c r="V18" s="1572"/>
      <c r="W18" s="1573"/>
      <c r="X18" s="1566"/>
      <c r="Y18" s="361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611"/>
      <c r="Q19" s="1571" t="str">
        <f>B19</f>
        <v>交通便捷度</v>
      </c>
      <c r="R19" s="1572" t="s">
        <v>8</v>
      </c>
      <c r="S19" s="1573">
        <f>F19</f>
        <v>100</v>
      </c>
      <c r="T19" s="1572" t="s">
        <v>8</v>
      </c>
      <c r="U19" s="1573">
        <f>H19</f>
        <v>100</v>
      </c>
      <c r="V19" s="1572" t="s">
        <v>8</v>
      </c>
      <c r="W19" s="1573">
        <f>J19</f>
        <v>100</v>
      </c>
      <c r="X19" s="1566"/>
      <c r="Y19" s="3611"/>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611"/>
      <c r="Q20" s="1571"/>
      <c r="R20" s="1572"/>
      <c r="S20" s="1573"/>
      <c r="T20" s="1572"/>
      <c r="U20" s="1573"/>
      <c r="V20" s="1572"/>
      <c r="W20" s="1573"/>
      <c r="X20" s="1566"/>
      <c r="Y20" s="361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611"/>
      <c r="Q21" s="1571" t="str">
        <f t="shared" ref="Q21:Q35" si="8">B21</f>
        <v>区域土地利用方向</v>
      </c>
      <c r="R21" s="1572" t="s">
        <v>8</v>
      </c>
      <c r="S21" s="1573">
        <f>F21</f>
        <v>100</v>
      </c>
      <c r="T21" s="1572" t="s">
        <v>8</v>
      </c>
      <c r="U21" s="1573">
        <f>H21</f>
        <v>100</v>
      </c>
      <c r="V21" s="1572" t="s">
        <v>8</v>
      </c>
      <c r="W21" s="1573">
        <f>J21</f>
        <v>100</v>
      </c>
      <c r="X21" s="1566"/>
      <c r="Y21" s="361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611"/>
      <c r="Q22" s="1571"/>
      <c r="R22" s="1572"/>
      <c r="S22" s="1573"/>
      <c r="T22" s="1572"/>
      <c r="U22" s="1573"/>
      <c r="V22" s="1572"/>
      <c r="W22" s="1573"/>
      <c r="X22" s="1566"/>
      <c r="Y22" s="3611"/>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611"/>
      <c r="Q23" s="1571" t="str">
        <f t="shared" si="8"/>
        <v>环境状况</v>
      </c>
      <c r="R23" s="1572" t="s">
        <v>8</v>
      </c>
      <c r="S23" s="1573">
        <f>F23</f>
        <v>100</v>
      </c>
      <c r="T23" s="1572" t="s">
        <v>8</v>
      </c>
      <c r="U23" s="1573">
        <f>H23</f>
        <v>100</v>
      </c>
      <c r="V23" s="1572" t="s">
        <v>8</v>
      </c>
      <c r="W23" s="1573">
        <f>J23</f>
        <v>100</v>
      </c>
      <c r="X23" s="1566"/>
      <c r="Y23" s="361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611"/>
      <c r="Q24" s="1571"/>
      <c r="R24" s="1572"/>
      <c r="S24" s="1573"/>
      <c r="T24" s="1572"/>
      <c r="U24" s="1573"/>
      <c r="V24" s="1572"/>
      <c r="W24" s="1573"/>
      <c r="X24" s="1566"/>
      <c r="Y24" s="3611"/>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611"/>
      <c r="Q25" s="1150" t="str">
        <f t="shared" si="8"/>
        <v>公共配套设施</v>
      </c>
      <c r="R25" s="1567" t="s">
        <v>8</v>
      </c>
      <c r="S25" s="1568">
        <f>F25</f>
        <v>100</v>
      </c>
      <c r="T25" s="1567" t="s">
        <v>8</v>
      </c>
      <c r="U25" s="1568">
        <f>H25</f>
        <v>100</v>
      </c>
      <c r="V25" s="1567" t="s">
        <v>8</v>
      </c>
      <c r="W25" s="1568">
        <f>J25</f>
        <v>100</v>
      </c>
      <c r="X25" s="1569"/>
      <c r="Y25" s="3611"/>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611"/>
      <c r="Q26" s="1150"/>
      <c r="R26" s="1567"/>
      <c r="S26" s="1568"/>
      <c r="T26" s="1567"/>
      <c r="U26" s="1568"/>
      <c r="V26" s="1567"/>
      <c r="W26" s="1568"/>
      <c r="X26" s="1569"/>
      <c r="Y26" s="3611"/>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611"/>
      <c r="Q27" s="2556" t="str">
        <f t="shared" ref="Q27" si="9">B27</f>
        <v>基础设施水平</v>
      </c>
      <c r="R27" s="1567" t="s">
        <v>8</v>
      </c>
      <c r="S27" s="1568">
        <f>F27</f>
        <v>100</v>
      </c>
      <c r="T27" s="1567" t="s">
        <v>8</v>
      </c>
      <c r="U27" s="1568">
        <f>H27</f>
        <v>100</v>
      </c>
      <c r="V27" s="1567" t="s">
        <v>8</v>
      </c>
      <c r="W27" s="1568">
        <f>J27</f>
        <v>100</v>
      </c>
      <c r="X27" s="1569"/>
      <c r="Y27" s="3611"/>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611"/>
      <c r="Q28" s="2556"/>
      <c r="R28" s="1567"/>
      <c r="S28" s="1568"/>
      <c r="T28" s="1567"/>
      <c r="U28" s="1568"/>
      <c r="V28" s="1567"/>
      <c r="W28" s="1568"/>
      <c r="X28" s="1569"/>
      <c r="Y28" s="3611"/>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6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611"/>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611"/>
      <c r="Q30" s="1571" t="str">
        <f t="shared" si="8"/>
        <v>毗邻道路的类型与等级</v>
      </c>
      <c r="R30" s="1572" t="s">
        <v>8</v>
      </c>
      <c r="S30" s="1573">
        <f t="shared" si="10"/>
        <v>100</v>
      </c>
      <c r="T30" s="1572" t="s">
        <v>8</v>
      </c>
      <c r="U30" s="1573">
        <f t="shared" si="11"/>
        <v>100</v>
      </c>
      <c r="V30" s="1572" t="s">
        <v>8</v>
      </c>
      <c r="W30" s="1573">
        <f t="shared" si="12"/>
        <v>100</v>
      </c>
      <c r="X30" s="1566"/>
      <c r="Y30" s="361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611"/>
      <c r="Q31" s="1571"/>
      <c r="R31" s="1572"/>
      <c r="S31" s="1573"/>
      <c r="T31" s="1572"/>
      <c r="U31" s="1573"/>
      <c r="V31" s="1572"/>
      <c r="W31" s="1573"/>
      <c r="X31" s="1566"/>
      <c r="Y31" s="3611"/>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611"/>
      <c r="Q32" s="1571" t="str">
        <f t="shared" si="8"/>
        <v>土地级别</v>
      </c>
      <c r="R32" s="1572" t="s">
        <v>8</v>
      </c>
      <c r="S32" s="1573">
        <f t="shared" si="10"/>
        <v>100</v>
      </c>
      <c r="T32" s="1572" t="s">
        <v>8</v>
      </c>
      <c r="U32" s="1573">
        <f t="shared" si="11"/>
        <v>100</v>
      </c>
      <c r="V32" s="1572" t="s">
        <v>8</v>
      </c>
      <c r="W32" s="1573">
        <f t="shared" si="12"/>
        <v>100</v>
      </c>
      <c r="X32" s="1566"/>
      <c r="Y32" s="361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611"/>
      <c r="Q33" s="1571">
        <f t="shared" si="8"/>
        <v>111</v>
      </c>
      <c r="R33" s="1572" t="s">
        <v>8</v>
      </c>
      <c r="S33" s="1573">
        <f t="shared" si="10"/>
        <v>100</v>
      </c>
      <c r="T33" s="1572" t="s">
        <v>8</v>
      </c>
      <c r="U33" s="1573">
        <f t="shared" si="11"/>
        <v>100</v>
      </c>
      <c r="V33" s="1572" t="s">
        <v>8</v>
      </c>
      <c r="W33" s="1573">
        <f t="shared" si="12"/>
        <v>100</v>
      </c>
      <c r="X33" s="1566"/>
      <c r="Y33" s="361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612" t="s">
        <v>549</v>
      </c>
      <c r="Q34" s="1571">
        <f t="shared" si="8"/>
        <v>111</v>
      </c>
      <c r="R34" s="1572" t="s">
        <v>8</v>
      </c>
      <c r="S34" s="1573">
        <f t="shared" si="10"/>
        <v>100</v>
      </c>
      <c r="T34" s="1572" t="s">
        <v>8</v>
      </c>
      <c r="U34" s="1573">
        <f t="shared" si="11"/>
        <v>100</v>
      </c>
      <c r="V34" s="1572" t="s">
        <v>8</v>
      </c>
      <c r="W34" s="1573">
        <f t="shared" si="12"/>
        <v>100</v>
      </c>
      <c r="X34" s="1566"/>
      <c r="Y34" s="3613"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613"/>
      <c r="Q35" s="1571">
        <f t="shared" si="8"/>
        <v>111</v>
      </c>
      <c r="R35" s="1576" t="s">
        <v>8</v>
      </c>
      <c r="S35" s="1577">
        <f t="shared" si="10"/>
        <v>100</v>
      </c>
      <c r="T35" s="1576" t="s">
        <v>8</v>
      </c>
      <c r="U35" s="1577">
        <f t="shared" si="11"/>
        <v>100</v>
      </c>
      <c r="V35" s="1576" t="s">
        <v>8</v>
      </c>
      <c r="W35" s="1577">
        <f t="shared" si="12"/>
        <v>100</v>
      </c>
      <c r="X35" s="1578"/>
      <c r="Y35" s="3613"/>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613"/>
      <c r="Q36" s="1571" t="str">
        <f>B36</f>
        <v>宗地面积</v>
      </c>
      <c r="R36" s="1572" t="s">
        <v>8</v>
      </c>
      <c r="S36" s="1573" t="e">
        <f t="shared" si="10"/>
        <v>#N/A</v>
      </c>
      <c r="T36" s="1572" t="s">
        <v>8</v>
      </c>
      <c r="U36" s="1573" t="e">
        <f t="shared" si="11"/>
        <v>#N/A</v>
      </c>
      <c r="V36" s="1572" t="s">
        <v>8</v>
      </c>
      <c r="W36" s="1573" t="e">
        <f t="shared" si="12"/>
        <v>#N/A</v>
      </c>
      <c r="X36" s="1566"/>
      <c r="Y36" s="361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613"/>
      <c r="Q37" s="1571" t="str">
        <f t="shared" ref="Q37:Q42" si="14">B37</f>
        <v>宗地形状</v>
      </c>
      <c r="R37" s="1572" t="s">
        <v>8</v>
      </c>
      <c r="S37" s="1573">
        <f t="shared" si="10"/>
        <v>100</v>
      </c>
      <c r="T37" s="1572" t="s">
        <v>8</v>
      </c>
      <c r="U37" s="1573">
        <f t="shared" si="11"/>
        <v>100</v>
      </c>
      <c r="V37" s="1572" t="s">
        <v>8</v>
      </c>
      <c r="W37" s="1573">
        <f t="shared" si="12"/>
        <v>100</v>
      </c>
      <c r="X37" s="1566"/>
      <c r="Y37" s="3613"/>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613"/>
      <c r="Q38" s="1571" t="str">
        <f t="shared" si="14"/>
        <v>宗地开发程度</v>
      </c>
      <c r="R38" s="1567" t="s">
        <v>8</v>
      </c>
      <c r="S38" s="1568">
        <f t="shared" si="10"/>
        <v>100</v>
      </c>
      <c r="T38" s="1567" t="s">
        <v>8</v>
      </c>
      <c r="U38" s="1568">
        <f t="shared" si="11"/>
        <v>100</v>
      </c>
      <c r="V38" s="1567" t="s">
        <v>8</v>
      </c>
      <c r="W38" s="1568">
        <f t="shared" si="12"/>
        <v>100</v>
      </c>
      <c r="X38" s="1569"/>
      <c r="Y38" s="3613"/>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13" t="s">
        <v>600</v>
      </c>
      <c r="Q39" s="1571" t="str">
        <f t="shared" si="14"/>
        <v>工程地质条件</v>
      </c>
      <c r="R39" s="1572" t="s">
        <v>8</v>
      </c>
      <c r="S39" s="1573">
        <f t="shared" si="10"/>
        <v>100</v>
      </c>
      <c r="T39" s="1572" t="s">
        <v>8</v>
      </c>
      <c r="U39" s="1573">
        <f t="shared" si="11"/>
        <v>100</v>
      </c>
      <c r="V39" s="1572" t="s">
        <v>8</v>
      </c>
      <c r="W39" s="1573">
        <f t="shared" si="12"/>
        <v>100</v>
      </c>
      <c r="X39" s="1566"/>
      <c r="Y39" s="361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613"/>
      <c r="Q40" s="1571">
        <f t="shared" si="14"/>
        <v>111</v>
      </c>
      <c r="R40" s="1572" t="s">
        <v>8</v>
      </c>
      <c r="S40" s="1573">
        <f t="shared" si="10"/>
        <v>100</v>
      </c>
      <c r="T40" s="1572" t="s">
        <v>8</v>
      </c>
      <c r="U40" s="1573">
        <f t="shared" si="11"/>
        <v>100</v>
      </c>
      <c r="V40" s="1572" t="s">
        <v>8</v>
      </c>
      <c r="W40" s="1573">
        <f t="shared" si="12"/>
        <v>100</v>
      </c>
      <c r="X40" s="1566"/>
      <c r="Y40" s="361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613"/>
      <c r="Q41" s="1571">
        <f t="shared" si="14"/>
        <v>111</v>
      </c>
      <c r="R41" s="1572" t="s">
        <v>8</v>
      </c>
      <c r="S41" s="1573">
        <f t="shared" si="10"/>
        <v>100</v>
      </c>
      <c r="T41" s="1572" t="s">
        <v>8</v>
      </c>
      <c r="U41" s="1573">
        <f t="shared" si="11"/>
        <v>100</v>
      </c>
      <c r="V41" s="1572" t="s">
        <v>8</v>
      </c>
      <c r="W41" s="1573">
        <f t="shared" si="12"/>
        <v>100</v>
      </c>
      <c r="X41" s="1566"/>
      <c r="Y41" s="361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613"/>
      <c r="Q42" s="1571">
        <f t="shared" si="14"/>
        <v>111</v>
      </c>
      <c r="R42" s="1576" t="s">
        <v>8</v>
      </c>
      <c r="S42" s="1577">
        <f t="shared" si="10"/>
        <v>100</v>
      </c>
      <c r="T42" s="1576" t="s">
        <v>8</v>
      </c>
      <c r="U42" s="1577">
        <f t="shared" si="11"/>
        <v>100</v>
      </c>
      <c r="V42" s="1576" t="s">
        <v>8</v>
      </c>
      <c r="W42" s="1577">
        <f t="shared" si="12"/>
        <v>100</v>
      </c>
      <c r="X42" s="1578"/>
      <c r="Y42" s="3613"/>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76" t="str">
        <f>A43</f>
        <v>成交单价</v>
      </c>
      <c r="Q43" s="3576"/>
      <c r="R43" s="3577">
        <f>E43</f>
        <v>0</v>
      </c>
      <c r="S43" s="3577"/>
      <c r="T43" s="3577">
        <f>G43</f>
        <v>0</v>
      </c>
      <c r="U43" s="3577"/>
      <c r="V43" s="3577">
        <f>I43</f>
        <v>0</v>
      </c>
      <c r="W43" s="3577"/>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76" t="str">
        <f>A44</f>
        <v>比较价格（元/平方米）</v>
      </c>
      <c r="Q44" s="3576"/>
      <c r="R44" s="3578" t="e">
        <f>ROUND(PRODUCT(R43,AA9:AA42),0)</f>
        <v>#DIV/0!</v>
      </c>
      <c r="S44" s="3578"/>
      <c r="T44" s="3578" t="e">
        <f>ROUND(PRODUCT(T43,AB9:AB42),0)</f>
        <v>#DIV/0!</v>
      </c>
      <c r="U44" s="3578"/>
      <c r="V44" s="3578" t="e">
        <f>ROUND(PRODUCT(V43,AC9:AC42),0)</f>
        <v>#DIV/0!</v>
      </c>
      <c r="W44" s="3578"/>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73" t="str">
        <f>A45</f>
        <v>估价对象XX用房的比较价格（楼面单价，元/平方米）</v>
      </c>
      <c r="Q45" s="3574"/>
      <c r="R45" s="3575" t="e">
        <f>ROUND(AVERAGE(R44:V44),0)</f>
        <v>#DIV/0!</v>
      </c>
      <c r="S45" s="3575"/>
      <c r="T45" s="3575"/>
      <c r="U45" s="3575"/>
      <c r="V45" s="3575"/>
      <c r="W45" s="3575"/>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620" t="s">
        <v>2284</v>
      </c>
      <c r="H52" s="3621"/>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622"/>
      <c r="H53" s="362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624"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624"/>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624"/>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624"/>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"北京市平均增长率"&amp;TEXT('基准地价-55住宅'!P24,"0.00%")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625" t="s">
        <v>1007</v>
      </c>
      <c r="B18" s="1153" t="s">
        <v>1446</v>
      </c>
      <c r="C18" s="1130" t="s">
        <v>1447</v>
      </c>
      <c r="D18" s="1131"/>
      <c r="E18" s="1153">
        <v>1</v>
      </c>
      <c r="F18" s="1132" t="s">
        <v>1448</v>
      </c>
      <c r="G18" s="1133"/>
      <c r="H18" s="1104"/>
      <c r="I18" s="1104"/>
    </row>
    <row r="19" spans="1:9" s="1598" customFormat="1" ht="19.5" customHeight="1">
      <c r="A19" s="3625"/>
      <c r="B19" s="3625" t="s">
        <v>1449</v>
      </c>
      <c r="C19" s="1130" t="s">
        <v>1450</v>
      </c>
      <c r="D19" s="1131"/>
      <c r="E19" s="1153">
        <v>0.9</v>
      </c>
      <c r="F19" s="1132" t="s">
        <v>1451</v>
      </c>
      <c r="G19" s="1133"/>
      <c r="H19" s="1104"/>
      <c r="I19" s="1104"/>
    </row>
    <row r="20" spans="1:9" s="1598" customFormat="1" ht="19.5" customHeight="1">
      <c r="A20" s="3625"/>
      <c r="B20" s="3625"/>
      <c r="C20" s="1130" t="s">
        <v>1452</v>
      </c>
      <c r="D20" s="1131"/>
      <c r="E20" s="1153">
        <v>1.1000000000000001</v>
      </c>
      <c r="F20" s="1132" t="s">
        <v>1453</v>
      </c>
      <c r="G20" s="1133"/>
      <c r="H20" s="1104"/>
      <c r="I20" s="1104"/>
    </row>
    <row r="21" spans="1:9" s="1598" customFormat="1" ht="19.5" customHeight="1">
      <c r="A21" s="3625"/>
      <c r="B21" s="3625"/>
      <c r="C21" s="1130" t="s">
        <v>1454</v>
      </c>
      <c r="D21" s="1131"/>
      <c r="E21" s="1153">
        <v>0.8</v>
      </c>
      <c r="F21" s="1132" t="s">
        <v>1455</v>
      </c>
      <c r="G21" s="1133"/>
      <c r="H21" s="1104"/>
      <c r="I21" s="1104"/>
    </row>
    <row r="22" spans="1:9" s="1598" customFormat="1" ht="19.5" customHeight="1">
      <c r="A22" s="3625"/>
      <c r="B22" s="3625"/>
      <c r="C22" s="1130" t="s">
        <v>1456</v>
      </c>
      <c r="D22" s="1131"/>
      <c r="E22" s="1153">
        <v>0.5</v>
      </c>
      <c r="F22" s="1132"/>
      <c r="G22" s="1133"/>
      <c r="H22" s="1104"/>
      <c r="I22" s="1104"/>
    </row>
    <row r="23" spans="1:9" s="1598" customFormat="1" ht="19.5" customHeight="1">
      <c r="A23" s="3625" t="s">
        <v>1029</v>
      </c>
      <c r="B23" s="1153" t="s">
        <v>1446</v>
      </c>
      <c r="C23" s="1130" t="s">
        <v>1457</v>
      </c>
      <c r="D23" s="1131"/>
      <c r="E23" s="1153">
        <v>1</v>
      </c>
      <c r="F23" s="1132" t="s">
        <v>1458</v>
      </c>
      <c r="G23" s="1133"/>
      <c r="H23" s="1104"/>
      <c r="I23" s="1104"/>
    </row>
    <row r="24" spans="1:9" s="1598" customFormat="1" ht="19.5" customHeight="1">
      <c r="A24" s="3625"/>
      <c r="B24" s="3625" t="s">
        <v>1449</v>
      </c>
      <c r="C24" s="1130" t="s">
        <v>1459</v>
      </c>
      <c r="D24" s="1131"/>
      <c r="E24" s="1153">
        <v>0.5</v>
      </c>
      <c r="F24" s="1132"/>
      <c r="G24" s="1133"/>
      <c r="H24" s="1104"/>
      <c r="I24" s="1104"/>
    </row>
    <row r="25" spans="1:9" s="1598" customFormat="1" ht="19.5" customHeight="1">
      <c r="A25" s="3625"/>
      <c r="B25" s="3625"/>
      <c r="C25" s="1130" t="s">
        <v>1460</v>
      </c>
      <c r="D25" s="1131"/>
      <c r="E25" s="1153">
        <v>1.1000000000000001</v>
      </c>
      <c r="F25" s="1132"/>
      <c r="G25" s="1133"/>
      <c r="H25" s="1104"/>
      <c r="I25" s="1104"/>
    </row>
    <row r="26" spans="1:9" s="1598" customFormat="1" ht="19.5" customHeight="1">
      <c r="A26" s="3625"/>
      <c r="B26" s="3625"/>
      <c r="C26" s="1130" t="s">
        <v>1461</v>
      </c>
      <c r="D26" s="1131"/>
      <c r="E26" s="1153">
        <v>1.1000000000000001</v>
      </c>
      <c r="F26" s="1132"/>
      <c r="G26" s="1133"/>
      <c r="H26" s="1104"/>
      <c r="I26" s="1104"/>
    </row>
    <row r="27" spans="1:9" s="1598" customFormat="1" ht="19.5" customHeight="1">
      <c r="A27" s="3625"/>
      <c r="B27" s="3625"/>
      <c r="C27" s="1130" t="s">
        <v>1462</v>
      </c>
      <c r="D27" s="1131"/>
      <c r="E27" s="1153">
        <v>0.9</v>
      </c>
      <c r="F27" s="1132" t="s">
        <v>1463</v>
      </c>
      <c r="G27" s="1133"/>
      <c r="H27" s="1104"/>
      <c r="I27" s="1104"/>
    </row>
    <row r="28" spans="1:9" s="1598" customFormat="1" ht="19.5" customHeight="1">
      <c r="A28" s="3625"/>
      <c r="B28" s="3625"/>
      <c r="C28" s="1130" t="s">
        <v>1464</v>
      </c>
      <c r="D28" s="1131"/>
      <c r="E28" s="1153">
        <v>0.9</v>
      </c>
      <c r="F28" s="1132" t="s">
        <v>1465</v>
      </c>
      <c r="G28" s="1133"/>
      <c r="H28" s="1104"/>
      <c r="I28" s="1104"/>
    </row>
    <row r="29" spans="1:9" s="1598" customFormat="1" ht="19.5" customHeight="1">
      <c r="A29" s="3625"/>
      <c r="B29" s="3625"/>
      <c r="C29" s="1130" t="s">
        <v>1466</v>
      </c>
      <c r="D29" s="1131"/>
      <c r="E29" s="1153">
        <v>0.9</v>
      </c>
      <c r="F29" s="1132" t="s">
        <v>1467</v>
      </c>
      <c r="G29" s="1133"/>
      <c r="H29" s="1104"/>
      <c r="I29" s="1104"/>
    </row>
    <row r="30" spans="1:9" s="1598" customFormat="1" ht="19.5" customHeight="1">
      <c r="A30" s="3625"/>
      <c r="B30" s="3625"/>
      <c r="C30" s="1130" t="s">
        <v>1468</v>
      </c>
      <c r="D30" s="1131"/>
      <c r="E30" s="1153">
        <v>0.9</v>
      </c>
      <c r="F30" s="1132" t="s">
        <v>1469</v>
      </c>
      <c r="G30" s="1133"/>
      <c r="H30" s="1104"/>
      <c r="I30" s="1104"/>
    </row>
    <row r="31" spans="1:9" s="1598" customFormat="1" ht="19.5" customHeight="1">
      <c r="A31" s="3625"/>
      <c r="B31" s="3625"/>
      <c r="C31" s="1130" t="s">
        <v>1470</v>
      </c>
      <c r="D31" s="1131"/>
      <c r="E31" s="1153">
        <v>0.8</v>
      </c>
      <c r="F31" s="1132" t="s">
        <v>1471</v>
      </c>
      <c r="G31" s="1133"/>
      <c r="H31" s="1104"/>
      <c r="I31" s="1104"/>
    </row>
    <row r="32" spans="1:9" s="1598" customFormat="1" ht="19.5" customHeight="1">
      <c r="A32" s="3625"/>
      <c r="B32" s="3625"/>
      <c r="C32" s="1130" t="s">
        <v>1472</v>
      </c>
      <c r="D32" s="1131"/>
      <c r="E32" s="1153">
        <v>0.8</v>
      </c>
      <c r="F32" s="1132" t="s">
        <v>1473</v>
      </c>
      <c r="G32" s="1133"/>
      <c r="H32" s="1104"/>
      <c r="I32" s="1104"/>
    </row>
    <row r="33" spans="1:9" s="1598" customFormat="1" ht="19.5" customHeight="1">
      <c r="A33" s="3625" t="s">
        <v>1474</v>
      </c>
      <c r="B33" s="1153" t="s">
        <v>1446</v>
      </c>
      <c r="C33" s="1130" t="s">
        <v>1475</v>
      </c>
      <c r="D33" s="1131"/>
      <c r="E33" s="1153">
        <v>1</v>
      </c>
      <c r="F33" s="1132" t="s">
        <v>1476</v>
      </c>
      <c r="G33" s="1133"/>
      <c r="H33" s="1104"/>
      <c r="I33" s="1104"/>
    </row>
    <row r="34" spans="1:9" s="1598" customFormat="1" ht="19.5" customHeight="1">
      <c r="A34" s="3625"/>
      <c r="B34" s="1153" t="s">
        <v>1449</v>
      </c>
      <c r="C34" s="1130" t="s">
        <v>1477</v>
      </c>
      <c r="D34" s="1131"/>
      <c r="E34" s="1153">
        <v>1.5</v>
      </c>
      <c r="F34" s="1132" t="s">
        <v>1478</v>
      </c>
      <c r="G34" s="1133"/>
      <c r="H34" s="1104"/>
      <c r="I34" s="1104"/>
    </row>
    <row r="35" spans="1:9" s="1598" customFormat="1" ht="19.5" customHeight="1">
      <c r="A35" s="3625" t="s">
        <v>1432</v>
      </c>
      <c r="B35" s="1153" t="s">
        <v>1446</v>
      </c>
      <c r="C35" s="1130" t="s">
        <v>1479</v>
      </c>
      <c r="D35" s="1131"/>
      <c r="E35" s="1153">
        <v>1</v>
      </c>
      <c r="F35" s="1132" t="s">
        <v>1480</v>
      </c>
      <c r="G35" s="1133"/>
      <c r="H35" s="1104"/>
      <c r="I35" s="1104"/>
    </row>
    <row r="36" spans="1:9" s="1598" customFormat="1" ht="19.5" customHeight="1">
      <c r="A36" s="3625"/>
      <c r="B36" s="3625" t="s">
        <v>1449</v>
      </c>
      <c r="C36" s="1130" t="s">
        <v>1481</v>
      </c>
      <c r="D36" s="1131"/>
      <c r="E36" s="1153">
        <v>1</v>
      </c>
      <c r="F36" s="1132" t="s">
        <v>1482</v>
      </c>
      <c r="G36" s="1133"/>
      <c r="H36" s="1104"/>
      <c r="I36" s="1104"/>
    </row>
    <row r="37" spans="1:9" s="1598" customFormat="1" ht="19.5" customHeight="1">
      <c r="A37" s="3625"/>
      <c r="B37" s="3625"/>
      <c r="C37" s="1130" t="s">
        <v>1483</v>
      </c>
      <c r="D37" s="1131"/>
      <c r="E37" s="1153">
        <v>1.5</v>
      </c>
      <c r="F37" s="1132" t="s">
        <v>1484</v>
      </c>
      <c r="G37" s="1133"/>
      <c r="H37" s="1104"/>
      <c r="I37" s="1104"/>
    </row>
    <row r="38" spans="1:9" s="1598" customFormat="1" ht="19.5" customHeight="1">
      <c r="A38" s="3625"/>
      <c r="B38" s="3625"/>
      <c r="C38" s="1130" t="s">
        <v>1485</v>
      </c>
      <c r="D38" s="1131"/>
      <c r="E38" s="1153">
        <v>1</v>
      </c>
      <c r="F38" s="1132" t="s">
        <v>1486</v>
      </c>
      <c r="G38" s="1133"/>
      <c r="H38" s="1104"/>
      <c r="I38" s="1104"/>
    </row>
    <row r="39" spans="1:9" s="1598" customFormat="1" ht="19.5" customHeight="1">
      <c r="A39" s="3625"/>
      <c r="B39" s="3625"/>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625" t="s">
        <v>1501</v>
      </c>
      <c r="C61" s="1067" t="s">
        <v>1502</v>
      </c>
      <c r="D61" s="1067" t="s">
        <v>1503</v>
      </c>
      <c r="E61" s="1138">
        <v>0.5</v>
      </c>
      <c r="F61" s="1153">
        <v>80</v>
      </c>
      <c r="H61" s="1104">
        <f>SUMIF(C59:C119,'基准地价-55住宅'!C8,E59:E119)</f>
        <v>0</v>
      </c>
    </row>
    <row r="62" spans="1:8" s="1104" customFormat="1" ht="24">
      <c r="A62" s="1153">
        <v>2</v>
      </c>
      <c r="B62" s="3625"/>
      <c r="C62" s="1067" t="s">
        <v>1504</v>
      </c>
      <c r="D62" s="1067" t="s">
        <v>1505</v>
      </c>
      <c r="E62" s="1138">
        <v>0.5</v>
      </c>
      <c r="F62" s="1153">
        <v>80</v>
      </c>
    </row>
    <row r="63" spans="1:8" s="1104" customFormat="1" ht="36">
      <c r="A63" s="1153">
        <v>3</v>
      </c>
      <c r="B63" s="3625"/>
      <c r="C63" s="1067" t="s">
        <v>1506</v>
      </c>
      <c r="D63" s="1067" t="s">
        <v>1507</v>
      </c>
      <c r="E63" s="1138">
        <v>0.5</v>
      </c>
      <c r="F63" s="1153">
        <v>80</v>
      </c>
    </row>
    <row r="64" spans="1:8" s="1104" customFormat="1" ht="36">
      <c r="A64" s="1153">
        <v>4</v>
      </c>
      <c r="B64" s="3625"/>
      <c r="C64" s="1067" t="s">
        <v>1508</v>
      </c>
      <c r="D64" s="1067" t="s">
        <v>1509</v>
      </c>
      <c r="E64" s="1138">
        <v>0.4</v>
      </c>
      <c r="F64" s="1153">
        <v>60</v>
      </c>
    </row>
    <row r="65" spans="1:6" s="1104" customFormat="1" ht="36">
      <c r="A65" s="1153">
        <v>5</v>
      </c>
      <c r="B65" s="3625"/>
      <c r="C65" s="1067" t="s">
        <v>1510</v>
      </c>
      <c r="D65" s="1067" t="s">
        <v>1511</v>
      </c>
      <c r="E65" s="1138">
        <v>0.2</v>
      </c>
      <c r="F65" s="1153">
        <v>30</v>
      </c>
    </row>
    <row r="66" spans="1:6" s="1104" customFormat="1" ht="36">
      <c r="A66" s="1153">
        <v>6</v>
      </c>
      <c r="B66" s="3625"/>
      <c r="C66" s="1067" t="s">
        <v>1512</v>
      </c>
      <c r="D66" s="1067" t="s">
        <v>1513</v>
      </c>
      <c r="E66" s="1138">
        <v>0.3</v>
      </c>
      <c r="F66" s="1153">
        <v>50</v>
      </c>
    </row>
    <row r="67" spans="1:6" s="1104" customFormat="1" ht="36">
      <c r="A67" s="1153">
        <v>7</v>
      </c>
      <c r="B67" s="3625"/>
      <c r="C67" s="1067" t="s">
        <v>1514</v>
      </c>
      <c r="D67" s="1067" t="s">
        <v>1515</v>
      </c>
      <c r="E67" s="1138">
        <v>0.2</v>
      </c>
      <c r="F67" s="1153">
        <v>30</v>
      </c>
    </row>
    <row r="68" spans="1:6" s="1104" customFormat="1" ht="36">
      <c r="A68" s="1153">
        <v>8</v>
      </c>
      <c r="B68" s="3625"/>
      <c r="C68" s="1067" t="s">
        <v>1516</v>
      </c>
      <c r="D68" s="1067" t="s">
        <v>1517</v>
      </c>
      <c r="E68" s="1138">
        <v>0.2</v>
      </c>
      <c r="F68" s="1153">
        <v>30</v>
      </c>
    </row>
    <row r="69" spans="1:6" s="1104" customFormat="1" ht="36">
      <c r="A69" s="1153">
        <v>9</v>
      </c>
      <c r="B69" s="3625"/>
      <c r="C69" s="1067" t="s">
        <v>1518</v>
      </c>
      <c r="D69" s="1067" t="s">
        <v>1519</v>
      </c>
      <c r="E69" s="1138">
        <v>0.2</v>
      </c>
      <c r="F69" s="1153">
        <v>30</v>
      </c>
    </row>
    <row r="70" spans="1:6" s="1104" customFormat="1" ht="48">
      <c r="A70" s="1153">
        <v>10</v>
      </c>
      <c r="B70" s="3625"/>
      <c r="C70" s="1067" t="s">
        <v>1520</v>
      </c>
      <c r="D70" s="1067" t="s">
        <v>1521</v>
      </c>
      <c r="E70" s="1138">
        <v>0.2</v>
      </c>
      <c r="F70" s="1153">
        <v>30</v>
      </c>
    </row>
    <row r="71" spans="1:6" s="1104" customFormat="1" ht="48">
      <c r="A71" s="1153">
        <v>11</v>
      </c>
      <c r="B71" s="3625"/>
      <c r="C71" s="1067" t="s">
        <v>1522</v>
      </c>
      <c r="D71" s="1067" t="s">
        <v>1523</v>
      </c>
      <c r="E71" s="1138">
        <v>0.2</v>
      </c>
      <c r="F71" s="1153">
        <v>30</v>
      </c>
    </row>
    <row r="72" spans="1:6" s="1104" customFormat="1" ht="36">
      <c r="A72" s="1153">
        <v>12</v>
      </c>
      <c r="B72" s="3625"/>
      <c r="C72" s="1067" t="s">
        <v>1524</v>
      </c>
      <c r="D72" s="1067" t="s">
        <v>1525</v>
      </c>
      <c r="E72" s="1138">
        <v>0.5</v>
      </c>
      <c r="F72" s="1153">
        <v>80</v>
      </c>
    </row>
    <row r="73" spans="1:6" s="1104" customFormat="1" ht="24">
      <c r="A73" s="1153">
        <v>13</v>
      </c>
      <c r="B73" s="3625"/>
      <c r="C73" s="1067" t="s">
        <v>1526</v>
      </c>
      <c r="D73" s="1067" t="s">
        <v>1527</v>
      </c>
      <c r="E73" s="1138">
        <v>0.4</v>
      </c>
      <c r="F73" s="1153">
        <v>60</v>
      </c>
    </row>
    <row r="74" spans="1:6" s="1104" customFormat="1" ht="24">
      <c r="A74" s="1153">
        <v>14</v>
      </c>
      <c r="B74" s="3625"/>
      <c r="C74" s="1067" t="s">
        <v>1528</v>
      </c>
      <c r="D74" s="1067" t="s">
        <v>1529</v>
      </c>
      <c r="E74" s="1138">
        <v>0.2</v>
      </c>
      <c r="F74" s="1153">
        <v>30</v>
      </c>
    </row>
    <row r="75" spans="1:6" s="1104" customFormat="1" ht="24">
      <c r="A75" s="1153">
        <v>15</v>
      </c>
      <c r="B75" s="3625"/>
      <c r="C75" s="1067" t="s">
        <v>1530</v>
      </c>
      <c r="D75" s="1067" t="s">
        <v>1531</v>
      </c>
      <c r="E75" s="1138">
        <v>0.2</v>
      </c>
      <c r="F75" s="1153">
        <v>30</v>
      </c>
    </row>
    <row r="76" spans="1:6" s="1104" customFormat="1" ht="24">
      <c r="A76" s="1153">
        <v>16</v>
      </c>
      <c r="B76" s="3625" t="s">
        <v>1532</v>
      </c>
      <c r="C76" s="1067" t="s">
        <v>1533</v>
      </c>
      <c r="D76" s="1067" t="s">
        <v>1534</v>
      </c>
      <c r="E76" s="1138">
        <v>0.5</v>
      </c>
      <c r="F76" s="1153">
        <v>80</v>
      </c>
    </row>
    <row r="77" spans="1:6" s="1104" customFormat="1" ht="24">
      <c r="A77" s="1153">
        <v>17</v>
      </c>
      <c r="B77" s="3625"/>
      <c r="C77" s="1067" t="s">
        <v>1535</v>
      </c>
      <c r="D77" s="1067" t="s">
        <v>1536</v>
      </c>
      <c r="E77" s="1138">
        <v>0.5</v>
      </c>
      <c r="F77" s="1153">
        <v>80</v>
      </c>
    </row>
    <row r="78" spans="1:6" s="1104" customFormat="1" ht="24">
      <c r="A78" s="1153">
        <v>18</v>
      </c>
      <c r="B78" s="3625"/>
      <c r="C78" s="1067" t="s">
        <v>1537</v>
      </c>
      <c r="D78" s="1067" t="s">
        <v>1538</v>
      </c>
      <c r="E78" s="1138">
        <v>0.2</v>
      </c>
      <c r="F78" s="1153">
        <v>30</v>
      </c>
    </row>
    <row r="79" spans="1:6" s="1104" customFormat="1" ht="24">
      <c r="A79" s="1153">
        <v>19</v>
      </c>
      <c r="B79" s="3625"/>
      <c r="C79" s="1067" t="s">
        <v>1539</v>
      </c>
      <c r="D79" s="1067" t="s">
        <v>1540</v>
      </c>
      <c r="E79" s="1138">
        <v>0.5</v>
      </c>
      <c r="F79" s="1153">
        <v>80</v>
      </c>
    </row>
    <row r="80" spans="1:6" s="1104" customFormat="1" ht="36">
      <c r="A80" s="1153">
        <v>20</v>
      </c>
      <c r="B80" s="3625"/>
      <c r="C80" s="1067" t="s">
        <v>1541</v>
      </c>
      <c r="D80" s="1067" t="s">
        <v>1542</v>
      </c>
      <c r="E80" s="1138">
        <v>0.2</v>
      </c>
      <c r="F80" s="1153">
        <v>30</v>
      </c>
    </row>
    <row r="81" spans="1:6" s="1104" customFormat="1" ht="36">
      <c r="A81" s="1153">
        <v>21</v>
      </c>
      <c r="B81" s="3625"/>
      <c r="C81" s="1067" t="s">
        <v>1543</v>
      </c>
      <c r="D81" s="1067" t="s">
        <v>1544</v>
      </c>
      <c r="E81" s="1138">
        <v>0.2</v>
      </c>
      <c r="F81" s="1153">
        <v>30</v>
      </c>
    </row>
    <row r="82" spans="1:6" s="1104" customFormat="1" ht="48">
      <c r="A82" s="1153">
        <v>22</v>
      </c>
      <c r="B82" s="3625"/>
      <c r="C82" s="1067" t="s">
        <v>1545</v>
      </c>
      <c r="D82" s="1067" t="s">
        <v>1546</v>
      </c>
      <c r="E82" s="1138">
        <v>0.2</v>
      </c>
      <c r="F82" s="1153">
        <v>30</v>
      </c>
    </row>
    <row r="83" spans="1:6" s="1104" customFormat="1" ht="48">
      <c r="A83" s="1153">
        <v>23</v>
      </c>
      <c r="B83" s="3625"/>
      <c r="C83" s="1067" t="s">
        <v>1547</v>
      </c>
      <c r="D83" s="1067" t="s">
        <v>1548</v>
      </c>
      <c r="E83" s="1138">
        <v>0.2</v>
      </c>
      <c r="F83" s="1153">
        <v>30</v>
      </c>
    </row>
    <row r="84" spans="1:6" s="1104" customFormat="1" ht="36">
      <c r="A84" s="1153">
        <v>24</v>
      </c>
      <c r="B84" s="3625"/>
      <c r="C84" s="1067" t="s">
        <v>1549</v>
      </c>
      <c r="D84" s="1067" t="s">
        <v>1550</v>
      </c>
      <c r="E84" s="1138">
        <v>0.2</v>
      </c>
      <c r="F84" s="1153">
        <v>30</v>
      </c>
    </row>
    <row r="85" spans="1:6" s="1104" customFormat="1" ht="36">
      <c r="A85" s="1153">
        <v>25</v>
      </c>
      <c r="B85" s="3625"/>
      <c r="C85" s="1067" t="s">
        <v>1551</v>
      </c>
      <c r="D85" s="1067" t="s">
        <v>1552</v>
      </c>
      <c r="E85" s="1138">
        <v>0.5</v>
      </c>
      <c r="F85" s="1153">
        <v>80</v>
      </c>
    </row>
    <row r="86" spans="1:6" s="1104" customFormat="1" ht="36">
      <c r="A86" s="1153">
        <v>26</v>
      </c>
      <c r="B86" s="3625"/>
      <c r="C86" s="1067" t="s">
        <v>1553</v>
      </c>
      <c r="D86" s="1067" t="s">
        <v>1554</v>
      </c>
      <c r="E86" s="1138">
        <v>0.2</v>
      </c>
      <c r="F86" s="1153">
        <v>30</v>
      </c>
    </row>
    <row r="87" spans="1:6" s="1104" customFormat="1" ht="36">
      <c r="A87" s="1153">
        <v>27</v>
      </c>
      <c r="B87" s="3625"/>
      <c r="C87" s="1067" t="s">
        <v>1555</v>
      </c>
      <c r="D87" s="1067" t="s">
        <v>1556</v>
      </c>
      <c r="E87" s="1138">
        <v>0.2</v>
      </c>
      <c r="F87" s="1153">
        <v>30</v>
      </c>
    </row>
    <row r="88" spans="1:6" s="1104" customFormat="1" ht="36">
      <c r="A88" s="1153">
        <v>28</v>
      </c>
      <c r="B88" s="3625"/>
      <c r="C88" s="1067" t="s">
        <v>1557</v>
      </c>
      <c r="D88" s="1067" t="s">
        <v>1558</v>
      </c>
      <c r="E88" s="1138">
        <v>0.2</v>
      </c>
      <c r="F88" s="1153">
        <v>30</v>
      </c>
    </row>
    <row r="89" spans="1:6" s="1104" customFormat="1" ht="24">
      <c r="A89" s="1153">
        <v>29</v>
      </c>
      <c r="B89" s="3625"/>
      <c r="C89" s="1067" t="s">
        <v>1559</v>
      </c>
      <c r="D89" s="1067" t="s">
        <v>1560</v>
      </c>
      <c r="E89" s="1138">
        <v>0.2</v>
      </c>
      <c r="F89" s="1153">
        <v>30</v>
      </c>
    </row>
    <row r="90" spans="1:6" s="1104" customFormat="1" ht="24">
      <c r="A90" s="1153">
        <v>30</v>
      </c>
      <c r="B90" s="3625"/>
      <c r="C90" s="1067" t="s">
        <v>1561</v>
      </c>
      <c r="D90" s="1067" t="s">
        <v>1562</v>
      </c>
      <c r="E90" s="1138">
        <v>0.2</v>
      </c>
      <c r="F90" s="1153">
        <v>30</v>
      </c>
    </row>
    <row r="91" spans="1:6" s="1104" customFormat="1" ht="36">
      <c r="A91" s="1153">
        <v>31</v>
      </c>
      <c r="B91" s="3625"/>
      <c r="C91" s="1067" t="s">
        <v>1563</v>
      </c>
      <c r="D91" s="1067" t="s">
        <v>1564</v>
      </c>
      <c r="E91" s="1138">
        <v>0.2</v>
      </c>
      <c r="F91" s="1153">
        <v>30</v>
      </c>
    </row>
    <row r="92" spans="1:6" s="1104" customFormat="1" ht="24">
      <c r="A92" s="1153">
        <v>32</v>
      </c>
      <c r="B92" s="3625" t="s">
        <v>1565</v>
      </c>
      <c r="C92" s="1153" t="s">
        <v>1566</v>
      </c>
      <c r="D92" s="1067" t="s">
        <v>1567</v>
      </c>
      <c r="E92" s="1138">
        <v>0.2</v>
      </c>
      <c r="F92" s="1153">
        <v>30</v>
      </c>
    </row>
    <row r="93" spans="1:6" s="1104" customFormat="1" ht="36">
      <c r="A93" s="1153">
        <v>33</v>
      </c>
      <c r="B93" s="3625"/>
      <c r="C93" s="1153" t="s">
        <v>1568</v>
      </c>
      <c r="D93" s="1067" t="s">
        <v>1569</v>
      </c>
      <c r="E93" s="1138">
        <v>0.2</v>
      </c>
      <c r="F93" s="1153">
        <v>30</v>
      </c>
    </row>
    <row r="94" spans="1:6" s="1104" customFormat="1" ht="48">
      <c r="A94" s="1153">
        <v>34</v>
      </c>
      <c r="B94" s="3625"/>
      <c r="C94" s="1153" t="s">
        <v>1570</v>
      </c>
      <c r="D94" s="1067" t="s">
        <v>1571</v>
      </c>
      <c r="E94" s="1138">
        <v>0.2</v>
      </c>
      <c r="F94" s="1153">
        <v>30</v>
      </c>
    </row>
    <row r="95" spans="1:6" s="1104" customFormat="1" ht="36">
      <c r="A95" s="1153">
        <v>35</v>
      </c>
      <c r="B95" s="3625"/>
      <c r="C95" s="1153" t="s">
        <v>1572</v>
      </c>
      <c r="D95" s="1067" t="s">
        <v>1573</v>
      </c>
      <c r="E95" s="1138">
        <v>0.2</v>
      </c>
      <c r="F95" s="1153">
        <v>30</v>
      </c>
    </row>
    <row r="96" spans="1:6" s="1104" customFormat="1" ht="48">
      <c r="A96" s="1153">
        <v>36</v>
      </c>
      <c r="B96" s="3625"/>
      <c r="C96" s="1067" t="s">
        <v>1574</v>
      </c>
      <c r="D96" s="1067" t="s">
        <v>1575</v>
      </c>
      <c r="E96" s="1138">
        <v>0.2</v>
      </c>
      <c r="F96" s="1153">
        <v>30</v>
      </c>
    </row>
    <row r="97" spans="1:6" s="1104" customFormat="1" ht="36">
      <c r="A97" s="1153">
        <v>37</v>
      </c>
      <c r="B97" s="3625"/>
      <c r="C97" s="1153" t="s">
        <v>1576</v>
      </c>
      <c r="D97" s="1067" t="s">
        <v>1577</v>
      </c>
      <c r="E97" s="1138">
        <v>0.2</v>
      </c>
      <c r="F97" s="1153">
        <v>30</v>
      </c>
    </row>
    <row r="98" spans="1:6" s="1104" customFormat="1" ht="36">
      <c r="A98" s="1153">
        <v>38</v>
      </c>
      <c r="B98" s="3625"/>
      <c r="C98" s="1153" t="s">
        <v>1578</v>
      </c>
      <c r="D98" s="1067" t="s">
        <v>1579</v>
      </c>
      <c r="E98" s="1138">
        <v>0.2</v>
      </c>
      <c r="F98" s="1153">
        <v>30</v>
      </c>
    </row>
    <row r="99" spans="1:6" s="1104" customFormat="1" ht="36">
      <c r="A99" s="1153">
        <v>39</v>
      </c>
      <c r="B99" s="3625" t="s">
        <v>1580</v>
      </c>
      <c r="C99" s="1153" t="s">
        <v>1581</v>
      </c>
      <c r="D99" s="1067" t="s">
        <v>1582</v>
      </c>
      <c r="E99" s="1138">
        <v>0.3</v>
      </c>
      <c r="F99" s="1153">
        <v>50</v>
      </c>
    </row>
    <row r="100" spans="1:6" s="1104" customFormat="1" ht="24">
      <c r="A100" s="1153">
        <v>40</v>
      </c>
      <c r="B100" s="3625"/>
      <c r="C100" s="1153" t="s">
        <v>1583</v>
      </c>
      <c r="D100" s="1067" t="s">
        <v>1584</v>
      </c>
      <c r="E100" s="1138">
        <v>0.2</v>
      </c>
      <c r="F100" s="1153">
        <v>30</v>
      </c>
    </row>
    <row r="101" spans="1:6" s="1104" customFormat="1" ht="36">
      <c r="A101" s="1153">
        <v>41</v>
      </c>
      <c r="B101" s="362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625" t="s">
        <v>1595</v>
      </c>
      <c r="C105" s="1153" t="s">
        <v>1596</v>
      </c>
      <c r="D105" s="1067" t="s">
        <v>1597</v>
      </c>
      <c r="E105" s="1138">
        <v>0.2</v>
      </c>
      <c r="F105" s="1153">
        <v>30</v>
      </c>
    </row>
    <row r="106" spans="1:6" s="1104" customFormat="1" ht="36">
      <c r="A106" s="1153">
        <v>46</v>
      </c>
      <c r="B106" s="3625"/>
      <c r="C106" s="1153" t="s">
        <v>1598</v>
      </c>
      <c r="D106" s="1067" t="s">
        <v>1599</v>
      </c>
      <c r="E106" s="1138">
        <v>0.2</v>
      </c>
      <c r="F106" s="1153">
        <v>30</v>
      </c>
    </row>
    <row r="107" spans="1:6" s="1104" customFormat="1" ht="36">
      <c r="A107" s="1153">
        <v>47</v>
      </c>
      <c r="B107" s="3625" t="s">
        <v>1600</v>
      </c>
      <c r="C107" s="1153" t="s">
        <v>1601</v>
      </c>
      <c r="D107" s="1067" t="s">
        <v>1602</v>
      </c>
      <c r="E107" s="1138">
        <v>0.3</v>
      </c>
      <c r="F107" s="1153">
        <v>50</v>
      </c>
    </row>
    <row r="108" spans="1:6" s="1104" customFormat="1" ht="36">
      <c r="A108" s="1153">
        <v>48</v>
      </c>
      <c r="B108" s="362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625" t="s">
        <v>1611</v>
      </c>
      <c r="C111" s="1153" t="s">
        <v>1612</v>
      </c>
      <c r="D111" s="1067" t="s">
        <v>1613</v>
      </c>
      <c r="E111" s="1138">
        <v>0.2</v>
      </c>
      <c r="F111" s="1153">
        <v>30</v>
      </c>
    </row>
    <row r="112" spans="1:6" s="1104" customFormat="1" ht="24">
      <c r="A112" s="1153">
        <v>52</v>
      </c>
      <c r="B112" s="3625"/>
      <c r="C112" s="1153" t="s">
        <v>1614</v>
      </c>
      <c r="D112" s="1067" t="s">
        <v>1615</v>
      </c>
      <c r="E112" s="1138">
        <v>0.2</v>
      </c>
      <c r="F112" s="1153">
        <v>30</v>
      </c>
    </row>
    <row r="113" spans="1:14" s="1104" customFormat="1" ht="24">
      <c r="A113" s="1153">
        <v>53</v>
      </c>
      <c r="B113" s="362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625" t="s">
        <v>1624</v>
      </c>
      <c r="C116" s="1153" t="s">
        <v>1625</v>
      </c>
      <c r="D116" s="1067" t="s">
        <v>1626</v>
      </c>
      <c r="E116" s="1138">
        <v>0.2</v>
      </c>
      <c r="F116" s="1153">
        <v>30</v>
      </c>
    </row>
    <row r="117" spans="1:14" ht="36">
      <c r="A117" s="1153">
        <v>57</v>
      </c>
      <c r="B117" s="362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626" t="s">
        <v>1633</v>
      </c>
      <c r="B121" s="3626"/>
      <c r="C121" s="3626"/>
      <c r="D121" s="3626"/>
      <c r="E121" s="3626"/>
      <c r="F121" s="3626"/>
      <c r="G121" s="3626"/>
      <c r="H121" s="3626"/>
      <c r="I121" s="3626"/>
      <c r="J121" s="36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627" t="s">
        <v>1039</v>
      </c>
      <c r="B1" s="3627"/>
      <c r="C1" s="3627"/>
      <c r="D1" s="3627"/>
      <c r="E1" s="3627"/>
      <c r="F1" s="362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628" t="s">
        <v>1052</v>
      </c>
      <c r="B2" s="3628"/>
      <c r="C2" s="3628"/>
      <c r="D2" s="3628"/>
      <c r="E2" s="3628"/>
      <c r="F2" s="362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62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63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SUMPRODUCT((B5:B9='基准地价-55住宅'!I2)*(C3:F3='基准地价-55住宅'!E2)*(C5:F9))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SUMPRODUCT((B10:B28='基准地价-55住宅'!I2)*(C3:F3='基准地价-55住宅'!E2)*(C10:F28))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SUMPRODUCT((B29:B48='基准地价-55住宅'!I2)*(C3:F3='基准地价-55住宅'!E2)*(C29:F48))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SUMPRODUCT((B49:B75='基准地价-55住宅'!I2)*(C3:F3='基准地价-55住宅'!E2)*(C49:F75))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SUMPRODUCT((B76:B109='基准地价-55住宅'!I2)*(C3:F3='基准地价-55住宅'!E2)*(C76:F109))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SUMPRODUCT((B110:B157='基准地价-55住宅'!I2)*(C3:F3='基准地价-55住宅'!E2)*(C110:F157))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SUMPRODUCT((B158:B205='基准地价-55住宅'!I2)*(C3:F3='基准地价-55住宅'!E2)*(C158:F205))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SUMPRODUCT((B206:B244='基准地价-55住宅'!I2)*(C3:F3='基准地价-55住宅'!E2)*(C206:F244))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SUMPRODUCT((B245:B289='基准地价-55住宅'!I2)*(C3:F3='基准地价-55住宅'!E2)*(C245:F289))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SUMPRODUCT((B290:B316='基准地价-55住宅'!I2)*(C3:F3='基准地价-55住宅'!E2)*(C290:F316))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SUMPRODUCT((B317:B337='基准地价-55住宅'!I2)*(C3:F3='基准地价-55住宅'!E2)*(C317:F337))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SUMPRODUCT((B338:B344='基准地价-55住宅'!I2)*(C3:F3='基准地价-55住宅'!E2)*(C338:F344))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SUMPRODUCT((A105:A204=ROUNDDOWN('基准地价-55住宅'!G3,1))*(B104:M104='基准地价-55住宅'!G2)*(B105:M204))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631" t="s">
        <v>2079</v>
      </c>
      <c r="B1" s="3631"/>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90" zoomScaleNormal="90" workbookViewId="0">
      <selection activeCell="D2" sqref="D2"/>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t="s">
        <v>3016</v>
      </c>
      <c r="D1" s="2049"/>
      <c r="E1" s="2365" t="s">
        <v>2374</v>
      </c>
      <c r="F1" s="2366">
        <f ca="1">J54</f>
        <v>0</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1483</v>
      </c>
      <c r="C2" s="1350"/>
      <c r="D2" s="2054"/>
      <c r="E2" s="2055"/>
      <c r="F2" s="2055"/>
      <c r="G2" s="1589"/>
      <c r="H2" s="1362"/>
      <c r="I2" s="2056"/>
      <c r="J2" s="2056"/>
      <c r="K2" s="2057"/>
      <c r="L2" s="2056"/>
      <c r="M2" s="2056"/>
    </row>
    <row r="3" spans="1:25" ht="18" customHeight="1">
      <c r="A3" s="1644" t="s">
        <v>1686</v>
      </c>
      <c r="B3" s="1390">
        <f ca="1">ROUND(B2*10000/'数据-汇总表'!E3,0)</f>
        <v>135</v>
      </c>
      <c r="C3" s="1350"/>
      <c r="D3" s="2054"/>
      <c r="E3" s="2055"/>
      <c r="F3" s="2055"/>
      <c r="G3" s="1589"/>
      <c r="H3" s="776" t="s">
        <v>694</v>
      </c>
      <c r="I3" s="2056"/>
      <c r="J3" s="2056"/>
      <c r="K3" s="2057"/>
      <c r="L3" s="2056"/>
      <c r="M3" s="2056"/>
    </row>
    <row r="4" spans="1:25" ht="18" customHeight="1">
      <c r="A4" s="1645" t="s">
        <v>695</v>
      </c>
      <c r="B4" s="1351">
        <f ca="1">ROUND(B2*10000/'数据-汇总表'!D3,0)</f>
        <v>216</v>
      </c>
      <c r="C4" s="428"/>
      <c r="D4" s="2054"/>
      <c r="E4" s="2055"/>
      <c r="F4" s="2055"/>
      <c r="G4" s="1589"/>
      <c r="H4" s="776"/>
      <c r="I4" s="2056"/>
      <c r="J4" s="2056"/>
      <c r="K4" s="2057"/>
      <c r="L4" s="2056"/>
      <c r="M4" s="2056"/>
    </row>
    <row r="5" spans="1:25" ht="18" customHeight="1" thickBot="1">
      <c r="A5" s="1646"/>
      <c r="B5" s="430">
        <f ca="1">ROUND(B2/('数据-汇总表'!D3/666.67),0)</f>
        <v>14</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117</v>
      </c>
      <c r="D7" s="2474" t="s">
        <v>2461</v>
      </c>
      <c r="E7" s="2468"/>
      <c r="F7" s="2469"/>
      <c r="G7" s="1591"/>
      <c r="H7" s="781">
        <v>1</v>
      </c>
      <c r="I7" s="782" t="s">
        <v>2458</v>
      </c>
      <c r="J7" s="53">
        <f ca="1">J8+J12+J14</f>
        <v>0</v>
      </c>
      <c r="K7" s="2474" t="s">
        <v>2461</v>
      </c>
      <c r="L7" s="2468"/>
      <c r="M7" s="2469"/>
    </row>
    <row r="8" spans="1:25" ht="18" customHeight="1">
      <c r="A8" s="1829" t="s">
        <v>1824</v>
      </c>
      <c r="B8" s="3633" t="s">
        <v>2463</v>
      </c>
      <c r="C8" s="1824">
        <f ca="1">ROUND(F8*F10*F9*(1-F11)/10000,0)</f>
        <v>117</v>
      </c>
      <c r="D8" s="1821" t="s">
        <v>2534</v>
      </c>
      <c r="E8" s="61" t="s">
        <v>636</v>
      </c>
      <c r="F8" s="785">
        <f ca="1">INDIRECT("'数据-取费表'!u"&amp;$G$1)</f>
        <v>1.5</v>
      </c>
      <c r="G8" s="1591"/>
      <c r="H8" s="2482" t="s">
        <v>1824</v>
      </c>
      <c r="I8" s="3633" t="s">
        <v>2463</v>
      </c>
      <c r="J8" s="783">
        <f ca="1">ROUND(M8*M10*M9*(1-M11)/10000,0)</f>
        <v>0</v>
      </c>
      <c r="K8" s="341" t="s">
        <v>2534</v>
      </c>
      <c r="L8" s="784" t="s">
        <v>1738</v>
      </c>
      <c r="M8" s="785">
        <f ca="1">INDIRECT("'数据-取费表'!z"&amp;$G$1)</f>
        <v>0</v>
      </c>
    </row>
    <row r="9" spans="1:25" ht="18" customHeight="1">
      <c r="A9" s="2478"/>
      <c r="B9" s="3634"/>
      <c r="C9" s="1825"/>
      <c r="D9" s="1822"/>
      <c r="E9" s="61" t="s">
        <v>637</v>
      </c>
      <c r="F9" s="785">
        <f ca="1">IF(INDIRECT("'数据-取费表'!ah"&amp;$G$1)="",INDIRECT("'数据-取费表'!k"&amp;$G$1),INDIRECT("'数据-取费表'!ah"&amp;$G$1))</f>
        <v>2364.58</v>
      </c>
      <c r="G9" s="1591"/>
      <c r="H9" s="2467"/>
      <c r="I9" s="3634"/>
      <c r="J9" s="788"/>
      <c r="K9" s="789"/>
      <c r="L9" s="784" t="s">
        <v>1739</v>
      </c>
      <c r="M9" s="785">
        <f ca="1">F9</f>
        <v>2364.58</v>
      </c>
    </row>
    <row r="10" spans="1:25" ht="18" customHeight="1">
      <c r="A10" s="2471"/>
      <c r="B10" s="3635"/>
      <c r="C10" s="1825"/>
      <c r="D10" s="1822"/>
      <c r="E10" s="61" t="s">
        <v>638</v>
      </c>
      <c r="F10" s="785">
        <f ca="1">INDIRECT("'数据-取费表'!ai"&amp;$G$1)</f>
        <v>365</v>
      </c>
      <c r="G10" s="1591"/>
      <c r="H10" s="2467"/>
      <c r="I10" s="3635"/>
      <c r="J10" s="788"/>
      <c r="K10" s="789"/>
      <c r="L10" s="784" t="s">
        <v>1740</v>
      </c>
      <c r="M10" s="785">
        <f ca="1">INDIRECT("'数据-取费表'!ai"&amp;$G$1)</f>
        <v>365</v>
      </c>
    </row>
    <row r="11" spans="1:25" ht="18" customHeight="1">
      <c r="A11" s="786"/>
      <c r="B11" s="3636"/>
      <c r="C11" s="1825"/>
      <c r="D11" s="1822"/>
      <c r="E11" s="61" t="s">
        <v>639</v>
      </c>
      <c r="F11" s="794">
        <f ca="1">INDIRECT("'数据-取费表'!w"&amp;$G$1)</f>
        <v>0.1</v>
      </c>
      <c r="G11" s="1591"/>
      <c r="H11" s="2483"/>
      <c r="I11" s="3635"/>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615</v>
      </c>
      <c r="D15" s="1833" t="s">
        <v>641</v>
      </c>
      <c r="E15" s="795" t="s">
        <v>642</v>
      </c>
      <c r="F15" s="800">
        <f ca="1">INDIRECT("'数据-取费表'!y"&amp;$G$1)</f>
        <v>1</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425.62</v>
      </c>
      <c r="D16" s="1978" t="s">
        <v>645</v>
      </c>
      <c r="E16" s="1979"/>
      <c r="F16" s="805"/>
      <c r="G16" s="1591"/>
      <c r="H16" s="803" t="s">
        <v>2069</v>
      </c>
      <c r="I16" s="2230" t="s">
        <v>2824</v>
      </c>
      <c r="J16" s="53">
        <f ca="1">C31</f>
        <v>615</v>
      </c>
      <c r="K16" s="26"/>
      <c r="L16" s="801"/>
      <c r="M16" s="802"/>
    </row>
    <row r="17" spans="1:25" s="2063" customFormat="1" ht="18" customHeight="1">
      <c r="A17" s="803" t="s">
        <v>1849</v>
      </c>
      <c r="B17" s="784" t="s">
        <v>646</v>
      </c>
      <c r="C17" s="53">
        <f ca="1">ROUND(C16*F17,0)</f>
        <v>13</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11</v>
      </c>
      <c r="K18" s="26" t="s">
        <v>651</v>
      </c>
      <c r="L18" s="1981"/>
      <c r="M18" s="56"/>
    </row>
    <row r="19" spans="1:25" s="2063" customFormat="1" ht="18" customHeight="1">
      <c r="A19" s="803" t="s">
        <v>1851</v>
      </c>
      <c r="B19" s="784" t="s">
        <v>652</v>
      </c>
      <c r="C19" s="53">
        <f ca="1">ROUND(F19*(INDIRECT("'数据-取费表'!k"&amp;$G$1)+INDIRECT("'数据-取费表'!S"&amp;$G$1))/10000,0)</f>
        <v>47</v>
      </c>
      <c r="D19" s="784" t="s">
        <v>653</v>
      </c>
      <c r="E19" s="784" t="s">
        <v>654</v>
      </c>
      <c r="F19" s="56">
        <f>'数据-取费表'!B35</f>
        <v>200</v>
      </c>
      <c r="G19" s="1592"/>
      <c r="H19" s="803" t="s">
        <v>2069</v>
      </c>
      <c r="I19" s="784" t="s">
        <v>655</v>
      </c>
      <c r="J19" s="53">
        <f ca="1">ROUND(IF(项目基本情况!B11="自然人",J7*M19,J20+J21+J22),0)</f>
        <v>5</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6</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491.62</v>
      </c>
      <c r="D21" s="261" t="s">
        <v>662</v>
      </c>
      <c r="E21" s="1981"/>
      <c r="F21" s="56"/>
      <c r="G21" s="1591"/>
      <c r="H21" s="1829" t="s">
        <v>1849</v>
      </c>
      <c r="I21" s="784" t="s">
        <v>663</v>
      </c>
      <c r="J21" s="53">
        <f ca="1">IF(K21="按租金收入计税",ROUND(J7*M21,1),ROUND(C31*F35*0.7,1))</f>
        <v>5.2</v>
      </c>
      <c r="K21" s="811" t="s">
        <v>664</v>
      </c>
      <c r="L21" s="784" t="s">
        <v>648</v>
      </c>
      <c r="M21" s="809">
        <f>IF(K21="按租金收入计税",'数据-取费表'!B51,'数据-取费表'!B50)</f>
        <v>1.2E-2</v>
      </c>
    </row>
    <row r="22" spans="1:25" s="2063" customFormat="1" ht="18" customHeight="1">
      <c r="A22" s="803" t="s">
        <v>1877</v>
      </c>
      <c r="B22" s="784" t="s">
        <v>665</v>
      </c>
      <c r="C22" s="53">
        <f ca="1">ROUND(C21*F22,0)</f>
        <v>5</v>
      </c>
      <c r="D22" s="812" t="s">
        <v>666</v>
      </c>
      <c r="E22" s="784" t="s">
        <v>648</v>
      </c>
      <c r="F22" s="809">
        <f>'数据-取费表'!B37</f>
        <v>0.01</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0.01</v>
      </c>
      <c r="G23" s="1592"/>
      <c r="H23" s="1832"/>
      <c r="I23" s="1823"/>
      <c r="J23" s="69"/>
      <c r="K23" s="816"/>
      <c r="L23" s="784" t="s">
        <v>673</v>
      </c>
      <c r="M23" s="785">
        <f ca="1">INDIRECT("'数据-取费表'!r"&amp;$G$1)</f>
        <v>1478.79</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6</v>
      </c>
      <c r="K24" s="1976" t="s">
        <v>676</v>
      </c>
      <c r="L24" s="784" t="s">
        <v>648</v>
      </c>
      <c r="M24" s="817">
        <f ca="1">INDIRECT("'数据-取费表'!Ak"&amp;$G$1)</f>
        <v>0.01</v>
      </c>
    </row>
    <row r="25" spans="1:25" s="2063" customFormat="1" ht="18" customHeight="1">
      <c r="A25" s="803" t="s">
        <v>1875</v>
      </c>
      <c r="B25" s="784" t="s">
        <v>2437</v>
      </c>
      <c r="C25" s="53">
        <f ca="1">ROUND(IF('数据-取费表'!B22&lt;=1,(C21+C22)*F26*F25/2,(C21+C22)*(POWER((1+F26),F25/2)-1)),0)</f>
        <v>18</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1E-3</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4.0000000000000002E-4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0.01</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-11</v>
      </c>
      <c r="K27" s="1978" t="s">
        <v>699</v>
      </c>
      <c r="L27" s="1980"/>
      <c r="M27" s="820"/>
    </row>
    <row r="28" spans="1:25" ht="18" customHeight="1">
      <c r="A28" s="803" t="s">
        <v>1875</v>
      </c>
      <c r="B28" s="784" t="s">
        <v>2438</v>
      </c>
      <c r="C28" s="53">
        <f ca="1">ROUND((C21+C22)*F28,0)</f>
        <v>60</v>
      </c>
      <c r="D28" s="812" t="s">
        <v>700</v>
      </c>
      <c r="E28" s="795" t="s">
        <v>701</v>
      </c>
      <c r="F28" s="794">
        <f ca="1">INDIRECT("'数据-取费表'!q"&amp;$G$1)</f>
        <v>0.12</v>
      </c>
      <c r="G28" s="1591"/>
      <c r="H28" s="781" t="s">
        <v>1837</v>
      </c>
      <c r="I28" s="782" t="s">
        <v>702</v>
      </c>
      <c r="J28" s="783">
        <f ca="1">IF(J7&lt;&gt;0,ROUND(J27*(1-((1+M30)/(1+M28))^M29)/(M28-M30),0),0)</f>
        <v>0</v>
      </c>
      <c r="K28" s="814" t="s">
        <v>703</v>
      </c>
      <c r="L28" s="784" t="s">
        <v>704</v>
      </c>
      <c r="M28" s="794">
        <f ca="1">INDIRECT("'数据-取费表'!I"&amp;$G$1)</f>
        <v>3.5000000000000003E-2</v>
      </c>
    </row>
    <row r="29" spans="1:25" ht="18" customHeight="1">
      <c r="A29" s="803" t="s">
        <v>1849</v>
      </c>
      <c r="B29" s="784" t="s">
        <v>685</v>
      </c>
      <c r="C29" s="53">
        <f ca="1">ROUND(F23*F28,4)</f>
        <v>1.1999999999999999E-3</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615</v>
      </c>
      <c r="D31" s="2523"/>
      <c r="E31" s="2524"/>
      <c r="F31" s="2525"/>
      <c r="G31" s="1592"/>
      <c r="H31" s="823" t="s">
        <v>1872</v>
      </c>
      <c r="I31" s="2986" t="s">
        <v>2823</v>
      </c>
      <c r="J31" s="825">
        <f ca="1">ROUND(J28/(1+F45)^F46,0)</f>
        <v>0</v>
      </c>
      <c r="K31" s="826" t="s">
        <v>687</v>
      </c>
      <c r="L31" s="827"/>
      <c r="M31" s="828">
        <f ca="1">INDIRECT("'数据-取费表'!k"&amp;$G$1)</f>
        <v>2364.58</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20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11.6</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6.2</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5.2</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0.2</v>
      </c>
      <c r="D36" s="814" t="s">
        <v>668</v>
      </c>
      <c r="E36" s="784" t="s">
        <v>669</v>
      </c>
      <c r="F36" s="640">
        <f>'数据-取费表'!B52</f>
        <v>1.5</v>
      </c>
      <c r="G36" s="2061"/>
      <c r="H36" s="2064"/>
      <c r="I36" s="3632"/>
      <c r="J36" s="2078"/>
      <c r="K36" s="2079"/>
      <c r="L36" s="2078"/>
      <c r="M36" s="2078"/>
    </row>
    <row r="37" spans="1:18" ht="18" customHeight="1">
      <c r="A37" s="815"/>
      <c r="B37" s="793"/>
      <c r="C37" s="69"/>
      <c r="D37" s="816"/>
      <c r="E37" s="784" t="s">
        <v>673</v>
      </c>
      <c r="F37" s="785">
        <f ca="1">INDIRECT("'数据-取费表'!r"&amp;$G$1)</f>
        <v>1478.79</v>
      </c>
      <c r="G37" s="2061"/>
      <c r="H37" s="2064"/>
      <c r="I37" s="3632"/>
      <c r="J37" s="2076"/>
      <c r="K37" s="2077"/>
      <c r="L37" s="2076"/>
      <c r="M37" s="2076"/>
    </row>
    <row r="38" spans="1:18" ht="18" customHeight="1">
      <c r="A38" s="803" t="s">
        <v>1877</v>
      </c>
      <c r="B38" s="784" t="s">
        <v>675</v>
      </c>
      <c r="C38" s="53">
        <f ca="1">ROUND(C31*F38,1)</f>
        <v>6.2</v>
      </c>
      <c r="D38" s="1976" t="s">
        <v>690</v>
      </c>
      <c r="E38" s="784" t="s">
        <v>648</v>
      </c>
      <c r="F38" s="817">
        <f ca="1">INDIRECT("'数据-取费表'!Ak"&amp;$G$1)</f>
        <v>0.01</v>
      </c>
      <c r="G38" s="2061"/>
      <c r="H38" s="2076"/>
      <c r="I38" s="2080"/>
      <c r="J38" s="1987"/>
      <c r="K38" s="2081"/>
      <c r="L38" s="2076"/>
      <c r="M38" s="2076"/>
    </row>
    <row r="39" spans="1:18" ht="18" customHeight="1">
      <c r="A39" s="803" t="s">
        <v>1878</v>
      </c>
      <c r="B39" s="784" t="s">
        <v>678</v>
      </c>
      <c r="C39" s="53">
        <f ca="1">ROUND(C15*F39,1)</f>
        <v>0.6</v>
      </c>
      <c r="D39" s="1976" t="s">
        <v>679</v>
      </c>
      <c r="E39" s="784" t="s">
        <v>648</v>
      </c>
      <c r="F39" s="818">
        <f ca="1">INDIRECT("'数据-取费表'!Al"&amp;$G$1)</f>
        <v>1E-3</v>
      </c>
      <c r="G39" s="2061"/>
      <c r="H39" s="2076"/>
      <c r="I39" s="2080"/>
      <c r="J39" s="1987"/>
      <c r="K39" s="2081"/>
      <c r="L39" s="2076"/>
      <c r="M39" s="2076"/>
    </row>
    <row r="40" spans="1:18" ht="18" customHeight="1" thickBot="1">
      <c r="A40" s="2538" t="s">
        <v>1879</v>
      </c>
      <c r="B40" s="2524" t="s">
        <v>665</v>
      </c>
      <c r="C40" s="2522">
        <f ca="1">ROUND(C7*F40,1)</f>
        <v>1.2</v>
      </c>
      <c r="D40" s="2523" t="s">
        <v>682</v>
      </c>
      <c r="E40" s="2524" t="s">
        <v>648</v>
      </c>
      <c r="F40" s="2520">
        <f ca="1">INDIRECT("'数据-取费表'!Am"&amp;$G$1)</f>
        <v>0.01</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97</v>
      </c>
      <c r="D42" s="1978" t="s">
        <v>693</v>
      </c>
      <c r="E42" s="1980"/>
      <c r="F42" s="820"/>
      <c r="G42" s="2061"/>
      <c r="H42" s="2061"/>
      <c r="I42" s="2061"/>
      <c r="J42" s="2061"/>
      <c r="K42" s="2082"/>
      <c r="L42" s="2061"/>
      <c r="M42" s="2061"/>
    </row>
    <row r="43" spans="1:18" ht="18" customHeight="1">
      <c r="A43" s="803" t="s">
        <v>1877</v>
      </c>
      <c r="B43" s="835" t="s">
        <v>710</v>
      </c>
      <c r="C43" s="836">
        <f ca="1">ROUND(C15*F43,0)</f>
        <v>28</v>
      </c>
      <c r="D43" s="1355" t="s">
        <v>711</v>
      </c>
      <c r="E43" s="3096" t="s">
        <v>2958</v>
      </c>
      <c r="F43" s="3097">
        <f ca="1">INDIRECT("'数据-取费表'!j"&amp;$G$1)</f>
        <v>4.4999999999999998E-2</v>
      </c>
      <c r="G43" s="2061"/>
      <c r="H43" s="2061"/>
      <c r="I43" s="2061"/>
      <c r="J43" s="2061"/>
      <c r="K43" s="2082"/>
      <c r="L43" s="2061"/>
      <c r="M43" s="2061"/>
    </row>
    <row r="44" spans="1:18" ht="18" customHeight="1">
      <c r="A44" s="803" t="s">
        <v>1878</v>
      </c>
      <c r="B44" s="835" t="s">
        <v>712</v>
      </c>
      <c r="C44" s="1356">
        <f ca="1">C42-C43</f>
        <v>69</v>
      </c>
      <c r="D44" s="463" t="s">
        <v>713</v>
      </c>
      <c r="E44" s="464"/>
      <c r="F44" s="465"/>
      <c r="G44" s="2061"/>
      <c r="H44" s="2061"/>
      <c r="I44" s="2061"/>
      <c r="J44" s="2061"/>
      <c r="K44" s="2082"/>
      <c r="L44" s="2061"/>
      <c r="M44" s="2061"/>
    </row>
    <row r="45" spans="1:18" ht="18" customHeight="1">
      <c r="A45" s="803" t="s">
        <v>1879</v>
      </c>
      <c r="B45" s="1355" t="s">
        <v>714</v>
      </c>
      <c r="C45" s="3012">
        <f ca="1">ROUND(-PV(F45,F46,C44,0),0)</f>
        <v>1483</v>
      </c>
      <c r="D45" s="1357" t="s">
        <v>715</v>
      </c>
      <c r="E45" s="806" t="s">
        <v>716</v>
      </c>
      <c r="F45" s="830">
        <f ca="1">INDIRECT("'数据-取费表'!h"&amp;$G$1)</f>
        <v>0.03</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35.03</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e">
        <f ca="1">IF(M48="住宅",0,IF(L49&gt;J52,L61,J61))</f>
        <v>#DIV/0!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50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35.03</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615</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26</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0</v>
      </c>
      <c r="K54" s="3637"/>
      <c r="L54" s="3638"/>
      <c r="O54" s="2379" t="s">
        <v>2388</v>
      </c>
      <c r="P54" s="2377" t="s">
        <v>2389</v>
      </c>
      <c r="Q54" s="2378">
        <f ca="1">J54</f>
        <v>0</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35.03</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26</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26</v>
      </c>
      <c r="R69" s="2384" t="s">
        <v>2416</v>
      </c>
    </row>
    <row r="70" spans="1:18" s="2058" customFormat="1" ht="20.25" thickBot="1">
      <c r="A70" s="2095"/>
      <c r="B70" s="2096"/>
      <c r="C70" s="2096"/>
      <c r="K70" s="2085"/>
      <c r="O70" s="2379" t="s">
        <v>2384</v>
      </c>
      <c r="P70" s="2385" t="s">
        <v>2398</v>
      </c>
      <c r="Q70" s="2378">
        <f ca="1">ROUND(Q71-Q72*Q73,0)</f>
        <v>69</v>
      </c>
      <c r="R70" s="2381"/>
    </row>
    <row r="71" spans="1:18" s="2058" customFormat="1" ht="15.75" thickBot="1">
      <c r="A71" s="2095"/>
      <c r="B71" s="2096"/>
      <c r="C71" s="2096"/>
      <c r="K71" s="2085"/>
      <c r="O71" s="2379" t="s">
        <v>2399</v>
      </c>
      <c r="P71" s="2385" t="s">
        <v>2400</v>
      </c>
      <c r="Q71" s="2378">
        <f ca="1">C42</f>
        <v>97</v>
      </c>
      <c r="R71" s="2377" t="s">
        <v>2380</v>
      </c>
    </row>
    <row r="72" spans="1:18" s="2058" customFormat="1" ht="15.75" thickBot="1">
      <c r="A72" s="2095"/>
      <c r="B72" s="2096"/>
      <c r="C72" s="2096"/>
      <c r="K72" s="2085"/>
      <c r="O72" s="2379" t="s">
        <v>2401</v>
      </c>
      <c r="P72" s="2385" t="s">
        <v>2402</v>
      </c>
      <c r="Q72" s="2378">
        <f ca="1">C15</f>
        <v>615</v>
      </c>
      <c r="R72" s="2377" t="s">
        <v>2380</v>
      </c>
    </row>
    <row r="73" spans="1:18" s="2058" customFormat="1" ht="15.75" thickBot="1">
      <c r="A73" s="2095"/>
      <c r="B73" s="2096"/>
      <c r="C73" s="2096"/>
      <c r="K73" s="2085"/>
      <c r="O73" s="2379" t="s">
        <v>2403</v>
      </c>
      <c r="P73" s="2385" t="s">
        <v>2404</v>
      </c>
      <c r="Q73" s="2380">
        <f ca="1">F43</f>
        <v>4.4999999999999998E-2</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646" t="s">
        <v>2576</v>
      </c>
      <c r="C1" s="3646"/>
      <c r="D1" s="3646"/>
      <c r="E1" s="3646"/>
      <c r="F1" s="3646"/>
      <c r="G1" s="3645" t="s">
        <v>2577</v>
      </c>
      <c r="H1" s="3645"/>
      <c r="I1" s="3645"/>
      <c r="J1" s="3645"/>
      <c r="K1" s="3645"/>
      <c r="L1" s="3645"/>
      <c r="N1" s="3645" t="s">
        <v>2578</v>
      </c>
      <c r="O1" s="3645"/>
      <c r="P1" s="3645"/>
      <c r="Q1" s="3645"/>
      <c r="R1" s="2632"/>
      <c r="S1" s="3645" t="s">
        <v>2579</v>
      </c>
      <c r="T1" s="3645"/>
      <c r="U1" s="3645"/>
      <c r="V1" s="3645"/>
      <c r="X1" s="3644" t="s">
        <v>2639</v>
      </c>
      <c r="Y1" s="3645"/>
      <c r="Z1" s="3645"/>
      <c r="AA1" s="3645"/>
      <c r="AB1" s="3645"/>
      <c r="AD1" s="3644" t="s">
        <v>2643</v>
      </c>
      <c r="AE1" s="3645"/>
      <c r="AF1" s="3645"/>
      <c r="AG1" s="3645"/>
      <c r="AH1" s="3645"/>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640">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640"/>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640"/>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641"/>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639">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640"/>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640"/>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641"/>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639">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640"/>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640"/>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643"/>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642">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640"/>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640"/>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643"/>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642">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640"/>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640"/>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643"/>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647">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648"/>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648"/>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649"/>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642">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640"/>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640"/>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643"/>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642">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640">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640">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643">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642">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640">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640">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643">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642">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640">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640">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643">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642">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640">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640">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643">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642">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640">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640">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643">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642">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640">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640">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643">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642">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640">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640">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643">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642">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640">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640">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643">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642">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640">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640">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643">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642">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640">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640">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643">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AE38"/>
  <sheetViews>
    <sheetView topLeftCell="A16" zoomScale="90" zoomScaleNormal="90" workbookViewId="0">
      <selection activeCell="B43" sqref="B43"/>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3016</v>
      </c>
      <c r="C1" s="2103"/>
      <c r="D1" s="2103"/>
      <c r="E1" s="2103"/>
      <c r="F1" s="2103"/>
      <c r="G1" s="2103"/>
      <c r="H1" s="2103"/>
      <c r="I1" s="2103"/>
      <c r="J1" s="2103"/>
      <c r="K1" s="422">
        <f>MATCH(B1,'数据-取费表'!A6:A16,0)+5</f>
        <v>8</v>
      </c>
    </row>
    <row r="2" spans="1:31" s="2040" customFormat="1" ht="18" customHeight="1">
      <c r="A2" s="2100" t="s">
        <v>466</v>
      </c>
      <c r="B2" s="2104">
        <f ca="1">C36</f>
        <v>1040.0899999999999</v>
      </c>
      <c r="C2" s="2103"/>
      <c r="D2" s="2103"/>
      <c r="E2" s="2103"/>
      <c r="F2" s="2103"/>
      <c r="G2" s="2103"/>
      <c r="H2" s="2103"/>
      <c r="I2" s="2103"/>
      <c r="J2" s="2103"/>
      <c r="K2" s="2103"/>
    </row>
    <row r="3" spans="1:31" s="2040" customFormat="1" ht="18" customHeight="1">
      <c r="A3" s="2105" t="s">
        <v>1684</v>
      </c>
      <c r="B3" s="2106">
        <f ca="1">ROUND(B2*10000/IF(B1="",'数据-汇总表'!E3,INDIRECT("'数据-取费表'!K"&amp;$K$1)),0)</f>
        <v>4399</v>
      </c>
      <c r="C3" s="2103"/>
      <c r="D3" s="2103"/>
      <c r="E3" s="2103"/>
      <c r="F3" s="2103"/>
      <c r="G3" s="2103"/>
      <c r="H3" s="2103"/>
      <c r="I3" s="2103"/>
      <c r="J3" s="2103"/>
      <c r="K3" s="2103"/>
    </row>
    <row r="4" spans="1:31" s="2040" customFormat="1" ht="18" customHeight="1">
      <c r="A4" s="426" t="s">
        <v>467</v>
      </c>
      <c r="B4" s="427">
        <f ca="1">ROUND(B2*10000/IF(B1="",'数据-汇总表'!D3,INDIRECT("'数据-取费表'!R"&amp;$K$1)),0)</f>
        <v>7033</v>
      </c>
      <c r="C4" s="428"/>
      <c r="D4" s="422"/>
      <c r="E4" s="422"/>
      <c r="F4" s="422"/>
      <c r="G4" s="422"/>
      <c r="H4" s="422"/>
      <c r="I4" s="422"/>
      <c r="J4" s="422"/>
      <c r="K4" s="422"/>
    </row>
    <row r="5" spans="1:31" s="2040" customFormat="1" ht="18" customHeight="1" thickBot="1">
      <c r="A5" s="429"/>
      <c r="B5" s="430">
        <f ca="1">ROUND(B2/(IF(B1="",'数据-汇总表'!D3,INDIRECT("'数据-取费表'!R"&amp;$K$1))/666.67),0)</f>
        <v>469</v>
      </c>
      <c r="C5" s="431" t="s">
        <v>468</v>
      </c>
      <c r="D5" s="422"/>
      <c r="E5" s="422"/>
      <c r="F5" s="422"/>
      <c r="G5" s="422"/>
      <c r="H5" s="422"/>
      <c r="I5" s="422"/>
      <c r="J5" s="422"/>
      <c r="K5" s="422"/>
    </row>
    <row r="6" spans="1:31" s="2110" customFormat="1" ht="16.5" customHeight="1">
      <c r="A6" s="2805" t="s">
        <v>1842</v>
      </c>
      <c r="B6" s="2806"/>
      <c r="C6" s="2807">
        <f ca="1">SUM(C10:K10)</f>
        <v>2037.48</v>
      </c>
      <c r="D6" s="2806"/>
      <c r="E6" s="2806"/>
      <c r="F6" s="2806"/>
      <c r="G6" s="2806"/>
      <c r="H6" s="2806"/>
      <c r="I6" s="2806"/>
      <c r="J6" s="2806"/>
      <c r="K6" s="2808"/>
    </row>
    <row r="7" spans="1:31" s="2112" customFormat="1" ht="15">
      <c r="A7" s="2809" t="s">
        <v>469</v>
      </c>
      <c r="B7" s="2810" t="s">
        <v>470</v>
      </c>
      <c r="C7" s="436" t="s">
        <v>3016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 ca="1">不动产收益法!C43</f>
        <v>8617</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SUMIF('数据-汇总表'!$C19:$C33,'剩余法-待开发仓储'!C7,'数据-汇总表'!$E19:$E33)</f>
        <v>2364.58</v>
      </c>
      <c r="D9" s="441">
        <f>SUMIF('数据-汇总表'!$C19:$C33,'剩余法-待开发仓储'!D7,'数据-汇总表'!$E19:$E33)</f>
        <v>0</v>
      </c>
      <c r="E9" s="441">
        <f>SUMIF('数据-汇总表'!$C19:$C33,'剩余法-待开发仓储'!E7,'数据-汇总表'!$E19:$E33)</f>
        <v>0</v>
      </c>
      <c r="F9" s="441">
        <f>SUMIF('数据-汇总表'!$C19:$C33,'剩余法-待开发仓储'!F7,'数据-汇总表'!$E19:$E33)</f>
        <v>0</v>
      </c>
      <c r="G9" s="441">
        <f>SUMIF('数据-汇总表'!$C19:$C33,'剩余法-待开发仓储'!G7,'数据-汇总表'!$E19:$E33)</f>
        <v>0</v>
      </c>
      <c r="H9" s="441">
        <f>SUMIF('数据-汇总表'!$C19:$C33,'剩余法-待开发仓储'!H7,'数据-汇总表'!$E19:$E33)</f>
        <v>0</v>
      </c>
      <c r="I9" s="441">
        <f>SUMIF('数据-汇总表'!$C19:$C33,'剩余法-待开发仓储'!I7,'数据-汇总表'!$E19:$E33)</f>
        <v>0</v>
      </c>
      <c r="J9" s="441">
        <f>SUMIF('数据-汇总表'!$C19:$C33,'剩余法-待开发仓储'!J7,'数据-汇总表'!$E19:$E33)</f>
        <v>0</v>
      </c>
      <c r="K9" s="442">
        <f>SUMIF('数据-汇总表'!$C19:$C33,'剩余法-待开发仓储'!K7,'数据-汇总表'!$E19:$E33)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319">
        <f ca="1">不动产收益法!C40</f>
        <v>2037.48</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273" t="s">
        <v>475</v>
      </c>
      <c r="E12" s="3273" t="s">
        <v>476</v>
      </c>
      <c r="F12" s="3273" t="s">
        <v>477</v>
      </c>
      <c r="G12" s="2789"/>
      <c r="H12" s="2790"/>
      <c r="I12" s="2790"/>
      <c r="J12" s="2790"/>
      <c r="K12" s="2791"/>
    </row>
    <row r="13" spans="1:31" s="2115" customFormat="1" ht="13.5" customHeight="1">
      <c r="A13" s="2819" t="s">
        <v>1848</v>
      </c>
      <c r="B13" s="2820" t="s">
        <v>478</v>
      </c>
      <c r="C13" s="3320">
        <f ca="1">IF(B1="",'数据-取费表'!P16,INDIRECT("'数据-取费表'!p"&amp;$K$1)+INDIRECT("'数据-取费表'!t"&amp;$K$1))</f>
        <v>425.62</v>
      </c>
      <c r="D13" s="2821"/>
      <c r="E13" s="2822"/>
      <c r="F13" s="2823"/>
      <c r="G13" s="2789"/>
      <c r="H13" s="2790"/>
      <c r="I13" s="2790"/>
      <c r="J13" s="2790"/>
      <c r="K13" s="2791"/>
    </row>
    <row r="14" spans="1:31" s="2115" customFormat="1" ht="13.5" customHeight="1">
      <c r="A14" s="2819" t="s">
        <v>1849</v>
      </c>
      <c r="B14" s="2820" t="s">
        <v>479</v>
      </c>
      <c r="C14" s="3320">
        <f ca="1">ROUND(C13*F14,2)</f>
        <v>12.77</v>
      </c>
      <c r="D14" s="2821"/>
      <c r="E14" s="2822"/>
      <c r="F14" s="2824">
        <f>'数据-取费表'!B33</f>
        <v>0.03</v>
      </c>
      <c r="G14" s="2789" t="s">
        <v>480</v>
      </c>
      <c r="H14" s="2790"/>
      <c r="I14" s="2790"/>
      <c r="J14" s="2790"/>
      <c r="K14" s="2791"/>
    </row>
    <row r="15" spans="1:31" s="2115" customFormat="1" ht="13.5" customHeight="1">
      <c r="A15" s="2819" t="s">
        <v>1850</v>
      </c>
      <c r="B15" s="2820" t="s">
        <v>481</v>
      </c>
      <c r="C15" s="3320">
        <f ca="1">ROUND(IF(B1="",SUMIF('数据-取费表'!C:C,"住宅",'数据-取费表'!P:P)*F15,IF(INDIRECT("'数据-取费表'!c"&amp;$K$1)="住宅",INDIRECT("'数据-取费表'!P"&amp;$K$1)*F15,0)),2)</f>
        <v>0</v>
      </c>
      <c r="D15" s="2821"/>
      <c r="E15" s="2822"/>
      <c r="F15" s="2824">
        <f>'数据-取费表'!B34</f>
        <v>0.1</v>
      </c>
      <c r="G15" s="2789" t="s">
        <v>482</v>
      </c>
      <c r="H15" s="2790"/>
      <c r="I15" s="2790"/>
      <c r="J15" s="2790"/>
      <c r="K15" s="2791"/>
    </row>
    <row r="16" spans="1:31" s="2116" customFormat="1" ht="13.5" customHeight="1">
      <c r="A16" s="2819" t="s">
        <v>1851</v>
      </c>
      <c r="B16" s="2820" t="s">
        <v>483</v>
      </c>
      <c r="C16" s="3320">
        <f ca="1">ROUND(D16*E16/10000,2)</f>
        <v>47.29</v>
      </c>
      <c r="D16" s="2821">
        <f ca="1">IF(B1="",'数据-汇总表'!E3,INDIRECT("'数据-取费表'!K"&amp;$K$1)+INDIRECT("'数据-取费表'!S"&amp;$K$1))</f>
        <v>2364.58</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3321">
        <f ca="1">ROUND(C13*F17,2)</f>
        <v>6.38</v>
      </c>
      <c r="D17" s="475"/>
      <c r="E17" s="2825"/>
      <c r="F17" s="2826">
        <f>'数据-取费表'!B36</f>
        <v>1.4999999999999999E-2</v>
      </c>
      <c r="G17" s="261" t="s">
        <v>485</v>
      </c>
      <c r="H17" s="2792"/>
      <c r="I17" s="2792"/>
      <c r="J17" s="2792"/>
      <c r="K17" s="279"/>
    </row>
    <row r="18" spans="1:14" s="2115" customFormat="1" ht="13.5" customHeight="1">
      <c r="A18" s="2827" t="s">
        <v>1853</v>
      </c>
      <c r="B18" s="2828" t="s">
        <v>486</v>
      </c>
      <c r="C18" s="3322">
        <f ca="1">SUM(C13:C17)</f>
        <v>492.06</v>
      </c>
      <c r="D18" s="2830"/>
      <c r="E18" s="468"/>
      <c r="F18" s="468"/>
      <c r="G18" s="2793" t="s">
        <v>2430</v>
      </c>
      <c r="H18" s="2794"/>
      <c r="I18" s="2794"/>
      <c r="J18" s="2794"/>
      <c r="K18" s="2795"/>
    </row>
    <row r="19" spans="1:14" s="2115" customFormat="1" ht="13.5" customHeight="1">
      <c r="A19" s="2827" t="s">
        <v>1854</v>
      </c>
      <c r="B19" s="2828" t="s">
        <v>487</v>
      </c>
      <c r="C19" s="3323">
        <f ca="1">ROUND(D19*E19/10000,2)</f>
        <v>0</v>
      </c>
      <c r="D19" s="2831">
        <f ca="1">D16</f>
        <v>2364.58</v>
      </c>
      <c r="E19" s="3273">
        <f>'数据-取费表'!B32</f>
        <v>0</v>
      </c>
      <c r="F19" s="468"/>
      <c r="G19" s="2789" t="s">
        <v>488</v>
      </c>
      <c r="H19" s="2790"/>
      <c r="I19" s="2794"/>
      <c r="J19" s="2794"/>
      <c r="K19" s="2795"/>
    </row>
    <row r="20" spans="1:14" s="2115" customFormat="1" ht="13.5" customHeight="1">
      <c r="A20" s="2827" t="s">
        <v>1855</v>
      </c>
      <c r="B20" s="2828" t="s">
        <v>489</v>
      </c>
      <c r="C20" s="3323">
        <f ca="1">C21+C22-IF(B1="",'数据-取费表'!B29,IF(G20="已全部缴纳",C21+C22,H20))</f>
        <v>47.29</v>
      </c>
      <c r="D20" s="2831"/>
      <c r="E20" s="3273"/>
      <c r="F20" s="2832"/>
      <c r="G20" s="3062"/>
      <c r="H20" s="2787"/>
      <c r="I20" s="2788" t="s">
        <v>2651</v>
      </c>
      <c r="J20" s="2794"/>
      <c r="K20" s="2795"/>
    </row>
    <row r="21" spans="1:14" s="2115" customFormat="1" ht="13.5" customHeight="1">
      <c r="A21" s="2819" t="s">
        <v>1856</v>
      </c>
      <c r="B21" s="2820" t="s">
        <v>490</v>
      </c>
      <c r="C21" s="3320">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3320">
        <f ca="1">ROUND(D22*E22/10000,2)</f>
        <v>47.29</v>
      </c>
      <c r="D22" s="2821">
        <f ca="1">IF(B1="",'数据-汇总表'!E6,IF(INDIRECT("'数据-取费表'!c"&amp;$K$1)="住宅",INDIRECT("'数据-取费表'!s"&amp;$K$1),INDIRECT("'数据-取费表'!k"&amp;$K$1)+INDIRECT("'数据-取费表'!s"&amp;$K$1)))</f>
        <v>2364.58</v>
      </c>
      <c r="E22" s="53">
        <f>'数据-取费表'!B28</f>
        <v>200</v>
      </c>
      <c r="F22" s="2824"/>
      <c r="G22" s="26"/>
      <c r="H22" s="51"/>
      <c r="I22" s="51"/>
      <c r="J22" s="51"/>
      <c r="K22" s="2796"/>
    </row>
    <row r="23" spans="1:14" s="2115" customFormat="1" ht="13.5" customHeight="1">
      <c r="A23" s="2827" t="s">
        <v>1858</v>
      </c>
      <c r="B23" s="3009" t="s">
        <v>2833</v>
      </c>
      <c r="C23" s="3322">
        <f ca="1">ROUND((C18+C19+C20)*F23,2)</f>
        <v>5.39</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3322">
        <f ca="1">ROUND(C6*F24,2)</f>
        <v>20.37</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3324">
        <f ca="1">C28</f>
        <v>20.010000000000002</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58">
        <f ca="1">ROUND(IF('数据-取费表'!B22&lt;=1,(C18+C19+C20+C23+C24)*F26*'数据-取费表'!B24/2,(C18+C19+C20+C23+C24)*(POWER((1+F26),'数据-取费表'!B24/2)-1)),2)</f>
        <v>20.010000000000002</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31">
        <f ca="1">ROUND(C6*F29/(1+'数据-取费表'!C42),2)</f>
        <v>108.67</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3324">
        <f ca="1">C31</f>
        <v>693.79</v>
      </c>
      <c r="D30" s="477">
        <f ca="1">C32</f>
        <v>0.1032</v>
      </c>
      <c r="E30" s="469" t="s">
        <v>494</v>
      </c>
      <c r="F30" s="471"/>
      <c r="G30" s="2797" t="s">
        <v>2968</v>
      </c>
      <c r="H30" s="2790"/>
      <c r="I30" s="2790"/>
      <c r="J30" s="2790"/>
      <c r="K30" s="2791"/>
    </row>
    <row r="31" spans="1:14" s="2119" customFormat="1" ht="13.5" customHeight="1">
      <c r="A31" s="803" t="s">
        <v>1856</v>
      </c>
      <c r="B31" s="2835"/>
      <c r="C31" s="79">
        <f ca="1">C18+C19+C20+C23+C24+C26+C29</f>
        <v>693.79</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3325">
        <f ca="1">C35</f>
        <v>67.81</v>
      </c>
      <c r="D33" s="467">
        <f ca="1">C34</f>
        <v>0.1235</v>
      </c>
      <c r="E33" s="469" t="s">
        <v>494</v>
      </c>
      <c r="F33" s="479">
        <f ca="1">IF(B1="",'数据-取费表'!Q16,INDIRECT("'数据-取费表'!q"&amp;$K$1))</f>
        <v>0.12</v>
      </c>
      <c r="G33" s="2793"/>
      <c r="H33" s="2794"/>
      <c r="I33" s="2794"/>
      <c r="J33" s="2794"/>
      <c r="K33" s="2795"/>
    </row>
    <row r="34" spans="1:11" s="2122" customFormat="1" ht="13.5" customHeight="1">
      <c r="A34" s="375" t="s">
        <v>1856</v>
      </c>
      <c r="B34" s="2840" t="s">
        <v>500</v>
      </c>
      <c r="C34" s="472">
        <f ca="1">ROUND((1+C25)*F33,4)</f>
        <v>0.1235</v>
      </c>
      <c r="D34" s="472"/>
      <c r="E34" s="473"/>
      <c r="F34" s="480"/>
      <c r="G34" s="261" t="s">
        <v>2290</v>
      </c>
      <c r="H34" s="2792"/>
      <c r="I34" s="2792"/>
      <c r="J34" s="2792"/>
      <c r="K34" s="279"/>
    </row>
    <row r="35" spans="1:11" s="2122" customFormat="1" ht="13.5" customHeight="1" thickBot="1">
      <c r="A35" s="1635" t="s">
        <v>1857</v>
      </c>
      <c r="B35" s="3007" t="s">
        <v>2838</v>
      </c>
      <c r="C35" s="3326">
        <f ca="1">ROUND((C18+C19+C20+C23+C24)*F33,2)</f>
        <v>67.81</v>
      </c>
      <c r="D35" s="1628"/>
      <c r="E35" s="2841"/>
      <c r="F35" s="1629"/>
      <c r="G35" s="2799"/>
      <c r="H35" s="2800"/>
      <c r="I35" s="2800"/>
      <c r="J35" s="2800"/>
      <c r="K35" s="2801"/>
    </row>
    <row r="36" spans="1:11" s="2084" customFormat="1" ht="13.5" customHeight="1" thickBot="1">
      <c r="A36" s="284" t="s">
        <v>1844</v>
      </c>
      <c r="B36" s="2803"/>
      <c r="C36" s="3327">
        <f ca="1">ROUND((C6-C30-C33)/(1+D30+D33),2)</f>
        <v>1040.0899999999999</v>
      </c>
      <c r="D36" s="2803"/>
      <c r="E36" s="2803"/>
      <c r="F36" s="2803"/>
      <c r="G36" s="2802" t="s">
        <v>2839</v>
      </c>
      <c r="H36" s="2803"/>
      <c r="I36" s="2803"/>
      <c r="J36" s="2803"/>
      <c r="K36" s="2804"/>
    </row>
    <row r="38" spans="1:11" ht="12.75" customHeight="1"/>
  </sheetData>
  <sheetProtection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1" zoomScaleNormal="100" workbookViewId="0">
      <selection activeCell="D45" sqref="D45"/>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3016</v>
      </c>
      <c r="D1" s="3099" t="s">
        <v>951</v>
      </c>
      <c r="E1" s="2365" t="s">
        <v>2374</v>
      </c>
      <c r="F1" s="2366">
        <f ca="1">J53</f>
        <v>35.03</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2037.48</v>
      </c>
      <c r="C2" s="2056"/>
      <c r="D2" s="2054"/>
      <c r="E2" s="2055"/>
      <c r="F2" s="2055"/>
      <c r="G2" s="1589"/>
      <c r="H2" s="2056"/>
      <c r="I2" s="2056"/>
      <c r="J2" s="2056"/>
      <c r="K2" s="2057"/>
      <c r="L2" s="2056"/>
      <c r="M2" s="2056"/>
    </row>
    <row r="3" spans="1:33" ht="18" customHeight="1" thickBot="1">
      <c r="A3" s="833" t="s">
        <v>1727</v>
      </c>
      <c r="B3" s="834">
        <f ca="1">IF(ISERROR(B2*10000/F43),0,ROUND(B2*10000/F43,0))</f>
        <v>8617</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116.95</v>
      </c>
      <c r="D5" s="2474" t="s">
        <v>2461</v>
      </c>
      <c r="E5" s="2468"/>
      <c r="F5" s="2469"/>
      <c r="G5" s="1591"/>
      <c r="H5" s="781">
        <v>1</v>
      </c>
      <c r="I5" s="782" t="s">
        <v>2458</v>
      </c>
      <c r="J5" s="55">
        <f ca="1">J6+J10+J12</f>
        <v>0</v>
      </c>
      <c r="K5" s="2474" t="s">
        <v>2461</v>
      </c>
      <c r="L5" s="2468"/>
      <c r="M5" s="2469"/>
    </row>
    <row r="6" spans="1:33" ht="18" customHeight="1">
      <c r="A6" s="1829" t="s">
        <v>1824</v>
      </c>
      <c r="B6" s="3633" t="s">
        <v>2463</v>
      </c>
      <c r="C6" s="783">
        <f ca="1">ROUND(F6*F8*F7*(1-F9)/10000,2)</f>
        <v>116.51</v>
      </c>
      <c r="D6" s="2475" t="s">
        <v>2462</v>
      </c>
      <c r="E6" s="784" t="s">
        <v>1738</v>
      </c>
      <c r="F6" s="785">
        <f ca="1">INDIRECT("'数据-取费表'!u"&amp;$G$1)</f>
        <v>1.5</v>
      </c>
      <c r="G6" s="1591"/>
      <c r="H6" s="2482" t="s">
        <v>2468</v>
      </c>
      <c r="I6" s="3633" t="s">
        <v>2463</v>
      </c>
      <c r="J6" s="783">
        <f ca="1">ROUND(M6*M8*M7*(1-M9)/10000,0)</f>
        <v>0</v>
      </c>
      <c r="K6" s="341" t="s">
        <v>1737</v>
      </c>
      <c r="L6" s="784" t="s">
        <v>1738</v>
      </c>
      <c r="M6" s="785">
        <f ca="1">INDIRECT("'数据-取费表'!z"&amp;$G$1)</f>
        <v>0</v>
      </c>
    </row>
    <row r="7" spans="1:33" ht="18" customHeight="1">
      <c r="A7" s="2478"/>
      <c r="B7" s="3634"/>
      <c r="C7" s="788"/>
      <c r="D7" s="789"/>
      <c r="E7" s="784" t="s">
        <v>1739</v>
      </c>
      <c r="F7" s="785">
        <f ca="1">IF(INDIRECT("'数据-取费表'!ah"&amp;$G$1)="",INDIRECT("'数据-取费表'!k"&amp;$G$1),INDIRECT("'数据-取费表'!ah"&amp;$G$1))</f>
        <v>2364.58</v>
      </c>
      <c r="G7" s="1591"/>
      <c r="H7" s="2467"/>
      <c r="I7" s="3634"/>
      <c r="J7" s="788"/>
      <c r="K7" s="789"/>
      <c r="L7" s="784" t="s">
        <v>1739</v>
      </c>
      <c r="M7" s="785">
        <f ca="1">F7</f>
        <v>2364.58</v>
      </c>
    </row>
    <row r="8" spans="1:33" ht="18" customHeight="1">
      <c r="A8" s="2471"/>
      <c r="B8" s="3635"/>
      <c r="C8" s="788"/>
      <c r="D8" s="789"/>
      <c r="E8" s="784" t="s">
        <v>1740</v>
      </c>
      <c r="F8" s="785">
        <f ca="1">INDIRECT("'数据-取费表'!ai"&amp;$G$1)</f>
        <v>365</v>
      </c>
      <c r="G8" s="1591"/>
      <c r="H8" s="2467"/>
      <c r="I8" s="3635"/>
      <c r="J8" s="788"/>
      <c r="K8" s="789"/>
      <c r="L8" s="784" t="s">
        <v>1740</v>
      </c>
      <c r="M8" s="785">
        <f ca="1">INDIRECT("'数据-取费表'!ai"&amp;$G$1)</f>
        <v>365</v>
      </c>
    </row>
    <row r="9" spans="1:33" ht="18" customHeight="1">
      <c r="A9" s="786"/>
      <c r="B9" s="3636"/>
      <c r="C9" s="788"/>
      <c r="D9" s="789"/>
      <c r="E9" s="784" t="s">
        <v>1741</v>
      </c>
      <c r="F9" s="794">
        <f ca="1">INDIRECT("'数据-取费表'!w"&amp;$G$1)</f>
        <v>0.1</v>
      </c>
      <c r="G9" s="1591"/>
      <c r="H9" s="2483"/>
      <c r="I9" s="3635"/>
      <c r="J9" s="788"/>
      <c r="K9" s="789"/>
      <c r="L9" s="795" t="s">
        <v>1741</v>
      </c>
      <c r="M9" s="796">
        <f ca="1">INDIRECT("'数据-取费表'!ab"&amp;$G$1)</f>
        <v>0</v>
      </c>
    </row>
    <row r="10" spans="1:33" ht="18" customHeight="1">
      <c r="A10" s="1829" t="s">
        <v>2466</v>
      </c>
      <c r="B10" s="2472" t="s">
        <v>2459</v>
      </c>
      <c r="C10" s="799">
        <f ca="1">ROUND(IF(F10="押一",C6/12*F11,IF(F10="押二",C6/12*2*F11,IF(F10="押三",C6/12*3*F11,C11*F11))),2)</f>
        <v>0.44</v>
      </c>
      <c r="D10" s="2479" t="s">
        <v>2970</v>
      </c>
      <c r="E10" s="2476" t="s">
        <v>2464</v>
      </c>
      <c r="F10" s="2599" t="s">
        <v>3197</v>
      </c>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ROUND(C29*F13,2)</f>
        <v>614.07000000000005</v>
      </c>
      <c r="D13" s="1833" t="s">
        <v>2297</v>
      </c>
      <c r="E13" s="1833" t="s">
        <v>1744</v>
      </c>
      <c r="F13" s="2514">
        <f ca="1">INDIRECT("'数据-取费表'!y"&amp;$G$1)</f>
        <v>1</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425.62</v>
      </c>
      <c r="D14" s="1978" t="s">
        <v>1745</v>
      </c>
      <c r="E14" s="1979"/>
      <c r="F14" s="805"/>
      <c r="G14" s="1591"/>
      <c r="H14" s="1648" t="s">
        <v>1830</v>
      </c>
      <c r="I14" s="2230" t="s">
        <v>2825</v>
      </c>
      <c r="J14" s="53">
        <f ca="1">C29</f>
        <v>614.07000000000005</v>
      </c>
      <c r="K14" s="26"/>
      <c r="L14" s="801"/>
      <c r="M14" s="802"/>
    </row>
    <row r="15" spans="1:33" s="2063" customFormat="1" ht="18" customHeight="1" thickBot="1">
      <c r="A15" s="1647" t="s">
        <v>1885</v>
      </c>
      <c r="B15" s="784" t="s">
        <v>646</v>
      </c>
      <c r="C15" s="53">
        <f ca="1">ROUND(C14*F15,2)</f>
        <v>12.77</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ROUND(INDIRECT("'数据-取费表'!m"&amp;$G$1)*F16,2)</f>
        <v>0</v>
      </c>
      <c r="D16" s="784" t="s">
        <v>1746</v>
      </c>
      <c r="E16" s="784" t="s">
        <v>1747</v>
      </c>
      <c r="F16" s="809">
        <f ca="1">IF(INDIRECT("'数据-取费表'!c"&amp;$G$1)="住宅",'数据-取费表'!B34,0)</f>
        <v>0</v>
      </c>
      <c r="G16" s="1591"/>
      <c r="H16" s="1828" t="s">
        <v>1748</v>
      </c>
      <c r="I16" s="1826" t="s">
        <v>1749</v>
      </c>
      <c r="J16" s="792">
        <f ca="1">ROUND(J17+J22+J23+J24,0)</f>
        <v>58</v>
      </c>
      <c r="K16" s="1820" t="s">
        <v>1750</v>
      </c>
      <c r="L16" s="2464"/>
      <c r="M16" s="2469"/>
    </row>
    <row r="17" spans="1:33" s="2063" customFormat="1" ht="18" customHeight="1">
      <c r="A17" s="1647" t="s">
        <v>1887</v>
      </c>
      <c r="B17" s="784" t="s">
        <v>652</v>
      </c>
      <c r="C17" s="53">
        <f ca="1">ROUND(F17*(F43+INDIRECT("'数据-取费表'!S"&amp;$G$1))/10000,2)</f>
        <v>47.29</v>
      </c>
      <c r="D17" s="784" t="s">
        <v>1751</v>
      </c>
      <c r="E17" s="784" t="s">
        <v>1752</v>
      </c>
      <c r="F17" s="56">
        <f>'数据-取费表'!B35</f>
        <v>200</v>
      </c>
      <c r="G17" s="1592"/>
      <c r="H17" s="1648" t="s">
        <v>1830</v>
      </c>
      <c r="I17" s="784" t="s">
        <v>655</v>
      </c>
      <c r="J17" s="53">
        <f ca="1">ROUND(IF(项目基本情况!B11="自然人",J5*M17,J18+J19+J20),0)</f>
        <v>52</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ROUND(C14*F18,2)</f>
        <v>6.38</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492.06</v>
      </c>
      <c r="D19" s="261" t="s">
        <v>1757</v>
      </c>
      <c r="E19" s="1981"/>
      <c r="F19" s="56"/>
      <c r="G19" s="1591"/>
      <c r="H19" s="1647" t="s">
        <v>1885</v>
      </c>
      <c r="I19" s="784" t="s">
        <v>1758</v>
      </c>
      <c r="J19" s="53">
        <f ca="1">IF(K19="按租金收入计税",ROUND(J5*M19,1),ROUND(C29*F33*0.7,1))</f>
        <v>51.6</v>
      </c>
      <c r="K19" s="811" t="s">
        <v>664</v>
      </c>
      <c r="L19" s="784" t="s">
        <v>1747</v>
      </c>
      <c r="M19" s="809">
        <f>IF(K19="按租金收入计税",'数据-取费表'!B51,'数据-取费表'!B50)</f>
        <v>1.2E-2</v>
      </c>
    </row>
    <row r="20" spans="1:33" s="2063" customFormat="1" ht="18" customHeight="1">
      <c r="A20" s="1648" t="s">
        <v>1889</v>
      </c>
      <c r="B20" s="784" t="s">
        <v>665</v>
      </c>
      <c r="C20" s="53">
        <f ca="1">ROUND(C19*F20,2)</f>
        <v>4.92</v>
      </c>
      <c r="D20" s="812" t="s">
        <v>1759</v>
      </c>
      <c r="E20" s="784" t="s">
        <v>1747</v>
      </c>
      <c r="F20" s="809">
        <f>'数据-取费表'!B37</f>
        <v>0.01</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0.01</v>
      </c>
      <c r="G21" s="1592"/>
      <c r="H21" s="2484"/>
      <c r="I21" s="793"/>
      <c r="J21" s="69"/>
      <c r="K21" s="816"/>
      <c r="L21" s="784" t="s">
        <v>1766</v>
      </c>
      <c r="M21" s="785">
        <f ca="1">INDIRECT("'数据-取费表'!r"&amp;$G$1)</f>
        <v>1478.79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6</v>
      </c>
      <c r="K22" s="2462" t="s">
        <v>1769</v>
      </c>
      <c r="L22" s="784" t="s">
        <v>1747</v>
      </c>
      <c r="M22" s="817">
        <f ca="1">INDIRECT("'数据-取费表'!Ak"&amp;$G$1)</f>
        <v>0.01</v>
      </c>
    </row>
    <row r="23" spans="1:33" s="2063" customFormat="1" ht="18" customHeight="1">
      <c r="A23" s="1647" t="s">
        <v>1831</v>
      </c>
      <c r="B23" s="784" t="s">
        <v>2535</v>
      </c>
      <c r="C23" s="53">
        <f ca="1">ROUND(IF('数据-取费表'!B22&lt;=1,(C19+C20)*F24*F23/2,(C19+C20)*(POWER((1+F24),F23/2)-1)),2)</f>
        <v>17.600000000000001</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1E-3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4.0000000000000002E-4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-58</v>
      </c>
      <c r="K25" s="2526" t="s">
        <v>1777</v>
      </c>
      <c r="L25" s="2527"/>
      <c r="M25" s="2528"/>
    </row>
    <row r="26" spans="1:33" ht="18" customHeight="1">
      <c r="A26" s="1647" t="s">
        <v>1831</v>
      </c>
      <c r="B26" s="784" t="s">
        <v>2438</v>
      </c>
      <c r="C26" s="53">
        <f ca="1">ROUND((C19+C20)*F26,2)</f>
        <v>59.64</v>
      </c>
      <c r="D26" s="812" t="s">
        <v>1778</v>
      </c>
      <c r="E26" s="795" t="s">
        <v>1779</v>
      </c>
      <c r="F26" s="794">
        <f ca="1">INDIRECT("'数据-取费表'!q"&amp;$G$1)</f>
        <v>0.12</v>
      </c>
      <c r="G26" s="1591"/>
      <c r="H26" s="2480" t="s">
        <v>1780</v>
      </c>
      <c r="I26" s="2231" t="s">
        <v>2826</v>
      </c>
      <c r="J26" s="783">
        <f ca="1">IF(J5&lt;&gt;0,ROUND(J25*(1-((1+M28)/(1+M26))^M27)/(M26-M28),0),0)</f>
        <v>0</v>
      </c>
      <c r="K26" s="814" t="s">
        <v>1781</v>
      </c>
      <c r="L26" s="784" t="s">
        <v>2419</v>
      </c>
      <c r="M26" s="794">
        <f ca="1">INDIRECT("'数据-取费表'!I"&amp;$G$1)</f>
        <v>3.5000000000000003E-2</v>
      </c>
    </row>
    <row r="27" spans="1:33" ht="18" customHeight="1">
      <c r="A27" s="1647" t="s">
        <v>1832</v>
      </c>
      <c r="B27" s="784" t="s">
        <v>685</v>
      </c>
      <c r="C27" s="53">
        <f ca="1">ROUND(F21*F26,4)</f>
        <v>1.1999999999999999E-3</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ROUND((C19+C20+C23+C26)/(1-F21-C24-C27-C28),2)</f>
        <v>614.07000000000005</v>
      </c>
      <c r="D29" s="2523"/>
      <c r="E29" s="2524"/>
      <c r="F29" s="2525"/>
      <c r="G29" s="1592"/>
      <c r="H29" s="823" t="s">
        <v>1787</v>
      </c>
      <c r="I29" s="824" t="s">
        <v>1788</v>
      </c>
      <c r="J29" s="825">
        <f ca="1">ROUND(J26/(1+F40)^F41,0)</f>
        <v>0</v>
      </c>
      <c r="K29" s="826" t="s">
        <v>1789</v>
      </c>
      <c r="L29" s="827"/>
      <c r="M29" s="828">
        <f ca="1">INDIRECT("'数据-取费表'!k"&amp;$G$1)</f>
        <v>2364.58</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3315">
        <f ca="1">ROUND(C31+C36+C37+C38,2)</f>
        <v>28.42</v>
      </c>
      <c r="D30" s="1820" t="s">
        <v>1791</v>
      </c>
      <c r="E30" s="2464"/>
      <c r="F30" s="2469"/>
      <c r="G30" s="2061"/>
      <c r="H30" s="2064"/>
      <c r="I30" s="2065"/>
      <c r="J30" s="2066"/>
      <c r="K30" s="2067"/>
      <c r="L30" s="2068"/>
      <c r="M30" s="2069"/>
    </row>
    <row r="31" spans="1:33" ht="18" customHeight="1">
      <c r="A31" s="1648" t="s">
        <v>1830</v>
      </c>
      <c r="B31" s="784" t="s">
        <v>655</v>
      </c>
      <c r="C31" s="79">
        <f ca="1">ROUND(IF(项目基本情况!B11="自然人",C5*F31,C32+C33+C34),1)</f>
        <v>20.5</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79">
        <f ca="1">ROUND(C5*F32/1.05,2)</f>
        <v>6.24</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79">
        <f ca="1">IF(D33="按租金收入计税",ROUND(C5*F33,2),IF(D33="按房产原值计税",ROUND(C29*F33*0.7,2),INDIRECT("'数据-取费表'!Aj"&amp;$G$1)))</f>
        <v>14.03</v>
      </c>
      <c r="D33" s="811" t="s">
        <v>3196</v>
      </c>
      <c r="E33" s="784" t="s">
        <v>1796</v>
      </c>
      <c r="F33" s="809">
        <f>IF(D33="按租金收入计税",'数据-取费表'!B51,'数据-取费表'!B50)</f>
        <v>0.12</v>
      </c>
      <c r="G33" s="2061"/>
      <c r="H33" s="2076"/>
      <c r="I33" s="2076"/>
      <c r="J33" s="2076"/>
      <c r="K33" s="2077"/>
      <c r="L33" s="2076"/>
      <c r="M33" s="2076"/>
    </row>
    <row r="34" spans="1:18" ht="18" customHeight="1">
      <c r="A34" s="1650" t="s">
        <v>1833</v>
      </c>
      <c r="B34" s="341" t="s">
        <v>1798</v>
      </c>
      <c r="C34" s="3316">
        <f ca="1">ROUND(F34*F35/10000,2)</f>
        <v>0.22</v>
      </c>
      <c r="D34" s="814" t="s">
        <v>1799</v>
      </c>
      <c r="E34" s="784" t="s">
        <v>1800</v>
      </c>
      <c r="F34" s="640">
        <f>'数据-取费表'!B52</f>
        <v>1.5</v>
      </c>
      <c r="G34" s="2061"/>
      <c r="H34" s="2064"/>
      <c r="I34" s="835" t="s">
        <v>1813</v>
      </c>
      <c r="J34" s="836"/>
      <c r="K34" s="2079"/>
      <c r="L34" s="2078"/>
      <c r="M34" s="2078"/>
    </row>
    <row r="35" spans="1:18" ht="18" customHeight="1">
      <c r="A35" s="815"/>
      <c r="B35" s="793"/>
      <c r="C35" s="3317"/>
      <c r="D35" s="816"/>
      <c r="E35" s="784" t="s">
        <v>1801</v>
      </c>
      <c r="F35" s="785">
        <f ca="1">INDIRECT("'数据-取费表'!r"&amp;$G$1)</f>
        <v>1478.79</v>
      </c>
      <c r="G35" s="2061"/>
      <c r="H35" s="2064"/>
      <c r="I35" s="837" t="s">
        <v>1814</v>
      </c>
      <c r="J35" s="838">
        <f ca="1">ROUND(C13*J36,0)</f>
        <v>28</v>
      </c>
      <c r="K35" s="2077"/>
      <c r="L35" s="2076"/>
      <c r="M35" s="2076"/>
    </row>
    <row r="36" spans="1:18" ht="18" customHeight="1">
      <c r="A36" s="1648" t="s">
        <v>1889</v>
      </c>
      <c r="B36" s="784" t="s">
        <v>1802</v>
      </c>
      <c r="C36" s="79">
        <f ca="1">ROUND(C29*F36,2)</f>
        <v>6.14</v>
      </c>
      <c r="D36" s="1976" t="s">
        <v>1803</v>
      </c>
      <c r="E36" s="784" t="s">
        <v>1796</v>
      </c>
      <c r="F36" s="817">
        <f ca="1">INDIRECT("'数据-取费表'!Ak"&amp;$G$1)</f>
        <v>0.01</v>
      </c>
      <c r="G36" s="2061"/>
      <c r="H36" s="2076"/>
      <c r="I36" s="839" t="s">
        <v>1815</v>
      </c>
      <c r="J36" s="840">
        <f ca="1">INDIRECT("'数据-取费表'!j"&amp;$G$1)</f>
        <v>4.4999999999999998E-2</v>
      </c>
      <c r="K36" s="2081"/>
      <c r="L36" s="2076"/>
      <c r="M36" s="2076"/>
    </row>
    <row r="37" spans="1:18" ht="18" customHeight="1">
      <c r="A37" s="1648" t="s">
        <v>1890</v>
      </c>
      <c r="B37" s="784" t="s">
        <v>678</v>
      </c>
      <c r="C37" s="79">
        <f ca="1">ROUND(C13*F37,2)</f>
        <v>0.61</v>
      </c>
      <c r="D37" s="1976" t="s">
        <v>1804</v>
      </c>
      <c r="E37" s="784" t="s">
        <v>1796</v>
      </c>
      <c r="F37" s="818">
        <f ca="1">INDIRECT("'数据-取费表'!Al"&amp;$G$1)</f>
        <v>1E-3</v>
      </c>
      <c r="G37" s="2061"/>
      <c r="H37" s="2076"/>
      <c r="I37" s="841" t="s">
        <v>1816</v>
      </c>
      <c r="J37" s="842"/>
      <c r="K37" s="2081"/>
      <c r="L37" s="2076"/>
      <c r="M37" s="2076"/>
    </row>
    <row r="38" spans="1:18" ht="18" customHeight="1" thickBot="1">
      <c r="A38" s="2529" t="s">
        <v>1891</v>
      </c>
      <c r="B38" s="2524" t="s">
        <v>665</v>
      </c>
      <c r="C38" s="3318">
        <f ca="1">ROUND(C5*F38,2)</f>
        <v>1.17</v>
      </c>
      <c r="D38" s="2523" t="s">
        <v>1805</v>
      </c>
      <c r="E38" s="2524" t="s">
        <v>1796</v>
      </c>
      <c r="F38" s="2520">
        <f ca="1">INDIRECT("'数据-取费表'!Am"&amp;$G$1)</f>
        <v>0.01</v>
      </c>
      <c r="G38" s="2061"/>
      <c r="H38" s="2076"/>
      <c r="I38" s="843" t="s">
        <v>1817</v>
      </c>
      <c r="J38" s="844"/>
      <c r="K38" s="2082"/>
      <c r="L38" s="2076"/>
      <c r="M38" s="2076"/>
    </row>
    <row r="39" spans="1:18" ht="24.6" customHeight="1" thickTop="1">
      <c r="A39" s="1828" t="s">
        <v>1894</v>
      </c>
      <c r="B39" s="2984" t="s">
        <v>2821</v>
      </c>
      <c r="C39" s="792">
        <f ca="1">C5-C30</f>
        <v>88.53</v>
      </c>
      <c r="D39" s="2526" t="s">
        <v>1806</v>
      </c>
      <c r="E39" s="2527"/>
      <c r="F39" s="2528"/>
      <c r="G39" s="2061"/>
      <c r="H39" s="2076"/>
      <c r="I39" s="837" t="s">
        <v>1818</v>
      </c>
      <c r="J39" s="845">
        <f ca="1">ROUND(J35/C39,3)</f>
        <v>0.316</v>
      </c>
      <c r="K39" s="2082"/>
      <c r="L39" s="2076"/>
      <c r="M39" s="2076"/>
    </row>
    <row r="40" spans="1:18" ht="18" customHeight="1">
      <c r="A40" s="781" t="s">
        <v>1895</v>
      </c>
      <c r="B40" s="2231" t="s">
        <v>2301</v>
      </c>
      <c r="C40" s="783">
        <f ca="1">ROUND(C39*(1-((1+F42)/(1+F40))^F41)/(F40-F42),2)</f>
        <v>2037.48</v>
      </c>
      <c r="D40" s="814" t="s">
        <v>1807</v>
      </c>
      <c r="E40" s="784" t="s">
        <v>2419</v>
      </c>
      <c r="F40" s="794">
        <f ca="1">INDIRECT("'数据-取费表'!I"&amp;$G$1)</f>
        <v>3.5000000000000003E-2</v>
      </c>
      <c r="G40" s="2061"/>
      <c r="H40" s="2061"/>
      <c r="I40" s="837" t="s">
        <v>1819</v>
      </c>
      <c r="J40" s="845">
        <f ca="1">1-J39</f>
        <v>0.68399999999999994</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35.03</v>
      </c>
      <c r="G41" s="2061"/>
      <c r="H41" s="1987"/>
      <c r="I41" s="843" t="s">
        <v>1820</v>
      </c>
      <c r="J41" s="846"/>
      <c r="K41" s="2081"/>
      <c r="L41" s="1987"/>
      <c r="M41" s="1987"/>
    </row>
    <row r="42" spans="1:18" ht="18" customHeight="1">
      <c r="A42" s="790"/>
      <c r="B42" s="791"/>
      <c r="C42" s="792"/>
      <c r="D42" s="816"/>
      <c r="E42" s="784" t="s">
        <v>1809</v>
      </c>
      <c r="F42" s="794">
        <f ca="1">INDIRECT("'数据-取费表'!v"&amp;$G$1)</f>
        <v>0.01</v>
      </c>
      <c r="G42" s="2061"/>
      <c r="H42" s="1987"/>
      <c r="I42" s="847" t="s">
        <v>1821</v>
      </c>
      <c r="J42" s="845">
        <f ca="1">ROUND(C13/C40,3)</f>
        <v>0.30099999999999999</v>
      </c>
      <c r="K42" s="2081"/>
      <c r="L42" s="1987"/>
      <c r="M42" s="1987"/>
    </row>
    <row r="43" spans="1:18" ht="18" customHeight="1" thickBot="1">
      <c r="A43" s="823" t="s">
        <v>1787</v>
      </c>
      <c r="B43" s="824" t="s">
        <v>1810</v>
      </c>
      <c r="C43" s="825">
        <f ca="1">ROUND(C40*10000/F43,0)</f>
        <v>8617</v>
      </c>
      <c r="D43" s="826" t="s">
        <v>1811</v>
      </c>
      <c r="E43" s="827" t="s">
        <v>1812</v>
      </c>
      <c r="F43" s="828">
        <f ca="1">INDIRECT("'数据-取费表'!k"&amp;$G$1)</f>
        <v>2364.58</v>
      </c>
      <c r="G43" s="2061"/>
      <c r="H43" s="1987"/>
      <c r="I43" s="847" t="s">
        <v>1822</v>
      </c>
      <c r="J43" s="848">
        <f ca="1">1-J42</f>
        <v>0.69900000000000007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f ca="1">C67-C40</f>
        <v>-2177.48</v>
      </c>
      <c r="D46" s="2084"/>
      <c r="E46" s="2084"/>
      <c r="F46" s="2084"/>
      <c r="I46" s="2356" t="s">
        <v>2343</v>
      </c>
      <c r="J46" s="2357"/>
      <c r="K46" s="2358"/>
      <c r="L46" s="3131" t="str">
        <f ca="1">IF(OR(M47="住宅",D1="土地（套用方法）"),0,IF(L48&gt;J51,L60,J60))</f>
        <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t="s">
        <v>3176</v>
      </c>
      <c r="K47" s="3128" t="s">
        <v>2349</v>
      </c>
      <c r="L47" s="3132">
        <f ca="1">INDIRECT("'数据-取费表'!d"&amp;$G$1)</f>
        <v>50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t="s">
        <v>2350</v>
      </c>
      <c r="K48" s="3129" t="s">
        <v>2351</v>
      </c>
      <c r="L48" s="1907">
        <f ca="1">INDIRECT("'数据-取费表'!f"&amp;$G$1)</f>
        <v>35.03</v>
      </c>
      <c r="O48" s="2376" t="s">
        <v>2379</v>
      </c>
      <c r="P48" s="2377" t="s">
        <v>2405</v>
      </c>
      <c r="Q48" s="2378">
        <f ca="1">C40+J29</f>
        <v>2037.48</v>
      </c>
      <c r="R48" s="2377" t="s">
        <v>2380</v>
      </c>
    </row>
    <row r="49" spans="1:18" s="2058" customFormat="1" ht="18" customHeight="1" thickBot="1">
      <c r="A49" s="786"/>
      <c r="B49" s="787"/>
      <c r="C49" s="788"/>
      <c r="D49" s="789"/>
      <c r="E49" s="784" t="s">
        <v>1739</v>
      </c>
      <c r="F49" s="785">
        <f ca="1">F7</f>
        <v>2364.58</v>
      </c>
      <c r="G49" s="2089"/>
      <c r="H49" s="2092"/>
      <c r="I49" s="3100" t="s">
        <v>2346</v>
      </c>
      <c r="J49" s="2361"/>
      <c r="K49" s="3130" t="s">
        <v>2352</v>
      </c>
      <c r="L49" s="2362"/>
      <c r="O49" s="2376" t="s">
        <v>2381</v>
      </c>
      <c r="P49" s="2377" t="s">
        <v>2406</v>
      </c>
      <c r="Q49" s="2378" t="str">
        <f ca="1">J60</f>
        <v>0</v>
      </c>
      <c r="R49" s="2377" t="s">
        <v>2382</v>
      </c>
    </row>
    <row r="50" spans="1:18" s="2058" customFormat="1" ht="18" customHeight="1" thickBot="1">
      <c r="A50" s="786"/>
      <c r="B50" s="787"/>
      <c r="C50" s="788"/>
      <c r="D50" s="789"/>
      <c r="E50" s="784" t="s">
        <v>1740</v>
      </c>
      <c r="F50" s="785">
        <f ca="1">F8</f>
        <v>365</v>
      </c>
      <c r="G50" s="2094"/>
      <c r="H50" s="2092"/>
      <c r="I50" s="3100" t="s">
        <v>2347</v>
      </c>
      <c r="J50" s="3125">
        <f>SUMPRODUCT((I63:I65=J47)*(J62:L62=J48)*(J63:L65))</f>
        <v>60</v>
      </c>
      <c r="K50" s="3130" t="s">
        <v>2353</v>
      </c>
      <c r="L50" s="2362"/>
      <c r="O50" s="2379" t="s">
        <v>2383</v>
      </c>
      <c r="P50" s="2377" t="s">
        <v>2407</v>
      </c>
      <c r="Q50" s="2378">
        <f ca="1">C29</f>
        <v>614.07000000000005</v>
      </c>
      <c r="R50" s="2377" t="s">
        <v>2380</v>
      </c>
    </row>
    <row r="51" spans="1:18" s="2058" customFormat="1" ht="18" customHeight="1" thickBot="1">
      <c r="A51" s="786"/>
      <c r="B51" s="787"/>
      <c r="C51" s="788"/>
      <c r="D51" s="789"/>
      <c r="E51" s="784" t="s">
        <v>639</v>
      </c>
      <c r="F51" s="2349"/>
      <c r="H51" s="2092"/>
      <c r="I51" s="3122" t="s">
        <v>2348</v>
      </c>
      <c r="J51" s="3126">
        <f>IF(J49="",J50,J49+J50-YEAR('数据-取费表'!B2))</f>
        <v>60</v>
      </c>
      <c r="K51" s="3100" t="s">
        <v>2354</v>
      </c>
      <c r="L51" s="3133">
        <f ca="1">ROUND(-PV(INDIRECT("'数据-取费表'!h"&amp;$G$1),L48,(C39-C13*J36),0),0)</f>
        <v>1309</v>
      </c>
      <c r="O51" s="2379" t="s">
        <v>2384</v>
      </c>
      <c r="P51" s="2377" t="s">
        <v>2385</v>
      </c>
      <c r="Q51" s="2380" t="e">
        <f ca="1">J58</f>
        <v>#VALUE!</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35.03</v>
      </c>
      <c r="K53" s="3650" t="s">
        <v>2962</v>
      </c>
      <c r="L53" s="3651"/>
      <c r="O53" s="2379" t="s">
        <v>2388</v>
      </c>
      <c r="P53" s="2377" t="s">
        <v>2389</v>
      </c>
      <c r="Q53" s="2378">
        <f ca="1">J53</f>
        <v>35.03</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2391</v>
      </c>
      <c r="P54" s="2377" t="s">
        <v>2408</v>
      </c>
      <c r="Q54" s="2378">
        <f ca="1">Q48+Q49</f>
        <v>2037.48</v>
      </c>
      <c r="R54" s="2381" t="s">
        <v>2392</v>
      </c>
    </row>
    <row r="55" spans="1:18" s="2058" customFormat="1" ht="18" customHeight="1" thickTop="1" thickBot="1">
      <c r="A55" s="797">
        <v>2</v>
      </c>
      <c r="B55" s="798" t="s">
        <v>643</v>
      </c>
      <c r="C55" s="799">
        <f ca="1">C13</f>
        <v>614.07000000000005</v>
      </c>
      <c r="D55" s="795"/>
      <c r="E55" s="795"/>
      <c r="F55" s="800"/>
      <c r="I55" s="3136" t="s">
        <v>2355</v>
      </c>
      <c r="J55" s="3075" t="e">
        <f ca="1">ROUND(IF(J47="钢混",J57/J50,1-(1-2%)*(J50-J57)/J50),3)</f>
        <v>#VALUE!</v>
      </c>
      <c r="K55" s="3137" t="s">
        <v>2356</v>
      </c>
      <c r="L55" s="2364"/>
      <c r="O55" s="2382" t="s">
        <v>2411</v>
      </c>
      <c r="P55" s="1591"/>
      <c r="Q55" s="1603"/>
      <c r="R55" s="1591"/>
    </row>
    <row r="56" spans="1:18" s="2058" customFormat="1" ht="42.75" customHeight="1" thickBot="1">
      <c r="A56" s="1649"/>
      <c r="B56" s="2230" t="s">
        <v>2302</v>
      </c>
      <c r="C56" s="53">
        <f ca="1">C29</f>
        <v>614.07000000000005</v>
      </c>
      <c r="D56" s="2617"/>
      <c r="E56" s="784"/>
      <c r="F56" s="809"/>
      <c r="I56" s="3138" t="s">
        <v>2357</v>
      </c>
      <c r="J56" s="3148" t="s">
        <v>1678</v>
      </c>
      <c r="K56" s="3100" t="s">
        <v>2362</v>
      </c>
      <c r="L56" s="1907" t="str">
        <f ca="1">IF(L48&lt;J51,"——",L48-J51)</f>
        <v>——</v>
      </c>
      <c r="O56" s="2373" t="s">
        <v>2375</v>
      </c>
      <c r="P56" s="2374" t="s">
        <v>2376</v>
      </c>
      <c r="Q56" s="2375" t="s">
        <v>2377</v>
      </c>
      <c r="R56" s="2374" t="s">
        <v>2378</v>
      </c>
    </row>
    <row r="57" spans="1:18" s="2058" customFormat="1" ht="28.5" customHeight="1" thickBot="1">
      <c r="A57" s="797" t="s">
        <v>1748</v>
      </c>
      <c r="B57" s="798" t="s">
        <v>650</v>
      </c>
      <c r="C57" s="799">
        <f ca="1">ROUND(C58+C63+C64+C65,0)</f>
        <v>7</v>
      </c>
      <c r="D57" s="26" t="s">
        <v>1750</v>
      </c>
      <c r="E57" s="2618"/>
      <c r="F57" s="56"/>
      <c r="I57" s="3139" t="s">
        <v>2358</v>
      </c>
      <c r="J57" s="3140" t="str">
        <f ca="1">IF(OR(M47="住宅",J51&lt;L48,J56="是"),"——",J51-L48)</f>
        <v>——</v>
      </c>
      <c r="K57" s="3100" t="s">
        <v>2363</v>
      </c>
      <c r="L57" s="1907" t="str">
        <f ca="1">IF(L48&lt;J51,"——",IF(L55="比较法",L49,IF(L55="基准地价",L50,L51)))</f>
        <v>——</v>
      </c>
      <c r="O57" s="2376" t="s">
        <v>2379</v>
      </c>
      <c r="P57" s="2377" t="s">
        <v>2409</v>
      </c>
      <c r="Q57" s="2378">
        <f ca="1">C40+J29</f>
        <v>2037.48</v>
      </c>
      <c r="R57" s="2377" t="s">
        <v>2380</v>
      </c>
    </row>
    <row r="58" spans="1:18" s="2058" customFormat="1" ht="28.5" customHeight="1" thickBot="1">
      <c r="A58" s="1648" t="s">
        <v>1824</v>
      </c>
      <c r="B58" s="784" t="s">
        <v>655</v>
      </c>
      <c r="C58" s="53">
        <f ca="1">ROUND(IF(项目基本情况!B11="自然人",C47*F58,C59+C60+C61),1)</f>
        <v>0.2</v>
      </c>
      <c r="D58" s="2616" t="s">
        <v>656</v>
      </c>
      <c r="E58" s="2617" t="s">
        <v>689</v>
      </c>
      <c r="F58" s="810" t="str">
        <f ca="1">IF(项目基本情况!B11="企业","",IF(INDIRECT("'数据-取费表'!c"&amp;$G$1)="住宅",5%,IF(F48*F49*F50/12/(1+'数据-取费表'!C42)&gt;20000,12%,7%)))</f>
        <v/>
      </c>
      <c r="I58" s="3139" t="s">
        <v>2359</v>
      </c>
      <c r="J58" s="3076" t="e">
        <f ca="1">IF(J55&lt;0.4,0.4,J55)</f>
        <v>#VALUE!</v>
      </c>
      <c r="K58" s="3100" t="s">
        <v>2364</v>
      </c>
      <c r="L58" s="1907" t="e">
        <f ca="1">ROUND(POWER(1+L52,L47-L48)*(POWER(1+L52,L48)-1)/(POWER(1+L52,L47)-1),4)</f>
        <v>#DIV/0!</v>
      </c>
      <c r="O58" s="2376" t="s">
        <v>2381</v>
      </c>
      <c r="P58" s="2377" t="s">
        <v>2412</v>
      </c>
      <c r="Q58" s="2378">
        <f ca="1">L60</f>
        <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str">
        <f ca="1">IF(OR(M47="住宅",J51&lt;L48,J56="是"),"——",ROUND(C29*J58,0))</f>
        <v>——</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1" t="s">
        <v>2361</v>
      </c>
      <c r="J60" s="3142" t="str">
        <f ca="1">IF(OR(M47="住宅",J51&lt;L48,J56="是"),"0",ROUND(J59/(1+J52)^J53,0))</f>
        <v>0</v>
      </c>
      <c r="K60" s="3143" t="s">
        <v>2366</v>
      </c>
      <c r="L60" s="3142">
        <f ca="1">IF(OR(M47="住宅",L48&lt;J51),0,ROUND(L57*(L58/L59-1),0))</f>
        <v>0</v>
      </c>
      <c r="O60" s="2379" t="s">
        <v>2384</v>
      </c>
      <c r="P60" s="2377" t="s">
        <v>2393</v>
      </c>
      <c r="Q60" s="2380">
        <f>L52</f>
        <v>0</v>
      </c>
      <c r="R60" s="2381"/>
    </row>
    <row r="61" spans="1:18" s="2058" customFormat="1" ht="18" customHeight="1" thickBot="1">
      <c r="A61" s="1650" t="s">
        <v>1833</v>
      </c>
      <c r="B61" s="341" t="s">
        <v>667</v>
      </c>
      <c r="C61" s="54">
        <f ca="1">ROUND(F61*F62/10000,1)</f>
        <v>0.2</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1478.79</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6.1</v>
      </c>
      <c r="D63" s="2617" t="s">
        <v>1803</v>
      </c>
      <c r="E63" s="784" t="s">
        <v>1747</v>
      </c>
      <c r="F63" s="817">
        <f t="shared" ca="1" si="0"/>
        <v>0.01</v>
      </c>
      <c r="I63" s="3144" t="s">
        <v>2370</v>
      </c>
      <c r="J63" s="3145">
        <v>70</v>
      </c>
      <c r="K63" s="3145">
        <v>50</v>
      </c>
      <c r="L63" s="3145">
        <v>80</v>
      </c>
      <c r="M63" s="3147">
        <v>0.02</v>
      </c>
      <c r="O63" s="2376" t="s">
        <v>2391</v>
      </c>
      <c r="P63" s="2377" t="s">
        <v>2408</v>
      </c>
      <c r="Q63" s="2378">
        <f ca="1">Q57+Q58</f>
        <v>2037.48</v>
      </c>
      <c r="R63" s="2381" t="s">
        <v>2392</v>
      </c>
    </row>
    <row r="64" spans="1:18" s="2058" customFormat="1" ht="16.5" thickBot="1">
      <c r="A64" s="1648" t="s">
        <v>1890</v>
      </c>
      <c r="B64" s="784" t="s">
        <v>678</v>
      </c>
      <c r="C64" s="53">
        <f ca="1">ROUND(C55*F64,1)</f>
        <v>0.6</v>
      </c>
      <c r="D64" s="2617" t="s">
        <v>679</v>
      </c>
      <c r="E64" s="784" t="s">
        <v>1747</v>
      </c>
      <c r="F64" s="818">
        <f t="shared" ca="1" si="0"/>
        <v>1E-3</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0.01</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-7</v>
      </c>
      <c r="D66" s="2616" t="s">
        <v>699</v>
      </c>
      <c r="E66" s="2615"/>
      <c r="F66" s="820"/>
      <c r="K66" s="2085"/>
      <c r="O66" s="2376" t="s">
        <v>2379</v>
      </c>
      <c r="P66" s="2377" t="s">
        <v>2409</v>
      </c>
      <c r="Q66" s="2378">
        <f ca="1">C40+J29</f>
        <v>2037.48</v>
      </c>
      <c r="R66" s="2377" t="s">
        <v>2380</v>
      </c>
    </row>
    <row r="67" spans="1:18" s="2058" customFormat="1" ht="20.25" thickBot="1">
      <c r="A67" s="781" t="s">
        <v>1780</v>
      </c>
      <c r="B67" s="2231" t="s">
        <v>2301</v>
      </c>
      <c r="C67" s="783">
        <f ca="1">ROUND(C66*(1-((1+F69)/(1+F67))^F68)/(F67-F69),0)</f>
        <v>-140</v>
      </c>
      <c r="D67" s="814" t="s">
        <v>703</v>
      </c>
      <c r="E67" s="784" t="s">
        <v>704</v>
      </c>
      <c r="F67" s="794">
        <f ca="1">F40</f>
        <v>3.5000000000000003E-2</v>
      </c>
      <c r="K67" s="2085"/>
      <c r="O67" s="2376" t="s">
        <v>2381</v>
      </c>
      <c r="P67" s="2377" t="s">
        <v>2412</v>
      </c>
      <c r="Q67" s="2378">
        <f ca="1">L60</f>
        <v>0</v>
      </c>
      <c r="R67" s="2381" t="s">
        <v>2414</v>
      </c>
    </row>
    <row r="68" spans="1:18" ht="21.75" thickBot="1">
      <c r="A68" s="786"/>
      <c r="B68" s="787"/>
      <c r="C68" s="788"/>
      <c r="D68" s="821" t="s">
        <v>1808</v>
      </c>
      <c r="E68" s="784" t="s">
        <v>1784</v>
      </c>
      <c r="F68" s="822">
        <f ca="1">F41</f>
        <v>35.03</v>
      </c>
      <c r="O68" s="2379" t="s">
        <v>2383</v>
      </c>
      <c r="P68" s="2377" t="s">
        <v>2413</v>
      </c>
      <c r="Q68" s="2383">
        <f ca="1">L51</f>
        <v>1309</v>
      </c>
      <c r="R68" s="2384" t="s">
        <v>2416</v>
      </c>
    </row>
    <row r="69" spans="1:18" ht="20.25" thickBot="1">
      <c r="A69" s="790"/>
      <c r="B69" s="791"/>
      <c r="C69" s="792"/>
      <c r="D69" s="816"/>
      <c r="E69" s="784" t="s">
        <v>709</v>
      </c>
      <c r="F69" s="2349"/>
      <c r="O69" s="2379" t="s">
        <v>2384</v>
      </c>
      <c r="P69" s="2385" t="s">
        <v>2398</v>
      </c>
      <c r="Q69" s="2378">
        <f ca="1">ROUND(Q70-Q71*Q72,0)</f>
        <v>61</v>
      </c>
      <c r="R69" s="2381"/>
    </row>
    <row r="70" spans="1:18" ht="15.75" thickBot="1">
      <c r="A70" s="823" t="s">
        <v>1787</v>
      </c>
      <c r="B70" s="824" t="s">
        <v>1810</v>
      </c>
      <c r="C70" s="825">
        <f ca="1">ROUND(C67*10000/F70,0)</f>
        <v>-592</v>
      </c>
      <c r="D70" s="826" t="s">
        <v>1811</v>
      </c>
      <c r="E70" s="827" t="s">
        <v>1812</v>
      </c>
      <c r="F70" s="828">
        <f ca="1">F43</f>
        <v>2364.58</v>
      </c>
      <c r="O70" s="2379" t="s">
        <v>2399</v>
      </c>
      <c r="P70" s="2385" t="s">
        <v>2400</v>
      </c>
      <c r="Q70" s="2378">
        <f ca="1">C39</f>
        <v>88.53</v>
      </c>
      <c r="R70" s="2377" t="s">
        <v>2380</v>
      </c>
    </row>
    <row r="71" spans="1:18" ht="15.75" thickBot="1">
      <c r="O71" s="2379" t="s">
        <v>2401</v>
      </c>
      <c r="P71" s="2385" t="s">
        <v>2402</v>
      </c>
      <c r="Q71" s="2378">
        <f ca="1">C13</f>
        <v>614.07000000000005</v>
      </c>
      <c r="R71" s="2377" t="s">
        <v>2380</v>
      </c>
    </row>
    <row r="72" spans="1:18" ht="15.75" thickBot="1">
      <c r="O72" s="2379" t="s">
        <v>2403</v>
      </c>
      <c r="P72" s="2385" t="s">
        <v>2404</v>
      </c>
      <c r="Q72" s="2380">
        <f ca="1">J36</f>
        <v>4.4999999999999998E-2</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f ca="1">Q66+Q67</f>
        <v>2037.48</v>
      </c>
      <c r="R76" s="2381" t="s">
        <v>2392</v>
      </c>
    </row>
  </sheetData>
  <sheetProtection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2" t="s">
        <v>2471</v>
      </c>
      <c r="B1" s="3653"/>
      <c r="C1" s="3654"/>
      <c r="D1" s="3655">
        <f>SUM(I10,I15,I20,I21,I23)</f>
        <v>0</v>
      </c>
      <c r="E1" s="3655"/>
      <c r="F1" s="3655"/>
      <c r="G1" s="3655"/>
      <c r="H1" s="3655"/>
      <c r="I1" s="3656"/>
    </row>
    <row r="2" spans="1:9">
      <c r="A2" s="3657" t="s">
        <v>2472</v>
      </c>
      <c r="B2" s="3658" t="s">
        <v>2473</v>
      </c>
      <c r="C2" s="3658"/>
      <c r="D2" s="2485" t="s">
        <v>2474</v>
      </c>
      <c r="E2" s="2485" t="s">
        <v>2475</v>
      </c>
      <c r="F2" s="2485" t="s">
        <v>2476</v>
      </c>
      <c r="G2" s="2485" t="s">
        <v>2477</v>
      </c>
      <c r="H2" s="2485" t="s">
        <v>2478</v>
      </c>
      <c r="I2" s="2486" t="s">
        <v>2479</v>
      </c>
    </row>
    <row r="3" spans="1:9">
      <c r="A3" s="3657"/>
      <c r="B3" s="3658" t="s">
        <v>2480</v>
      </c>
      <c r="C3" s="3658"/>
      <c r="D3" s="2487"/>
      <c r="E3" s="2485"/>
      <c r="F3" s="2488"/>
      <c r="G3" s="2488"/>
      <c r="H3" s="2489"/>
      <c r="I3" s="2490">
        <f>ROUND(D3*E3*F3*G3*H3/10000,0)</f>
        <v>0</v>
      </c>
    </row>
    <row r="4" spans="1:9">
      <c r="A4" s="3657"/>
      <c r="B4" s="3658" t="s">
        <v>2481</v>
      </c>
      <c r="C4" s="3658"/>
      <c r="D4" s="2487"/>
      <c r="E4" s="2485"/>
      <c r="F4" s="2488"/>
      <c r="G4" s="2488"/>
      <c r="H4" s="2489"/>
      <c r="I4" s="2490">
        <f t="shared" ref="I4:I9" si="0">ROUND(D4*E4*F4*G4*H4/10000,0)</f>
        <v>0</v>
      </c>
    </row>
    <row r="5" spans="1:9">
      <c r="A5" s="3657"/>
      <c r="B5" s="3658" t="s">
        <v>2482</v>
      </c>
      <c r="C5" s="3658"/>
      <c r="D5" s="2487"/>
      <c r="E5" s="2485"/>
      <c r="F5" s="2488"/>
      <c r="G5" s="2488"/>
      <c r="H5" s="2489"/>
      <c r="I5" s="2490">
        <f t="shared" si="0"/>
        <v>0</v>
      </c>
    </row>
    <row r="6" spans="1:9">
      <c r="A6" s="3657"/>
      <c r="B6" s="3658" t="s">
        <v>2483</v>
      </c>
      <c r="C6" s="3658"/>
      <c r="D6" s="2487"/>
      <c r="E6" s="2485"/>
      <c r="F6" s="2488"/>
      <c r="G6" s="2488"/>
      <c r="H6" s="2489"/>
      <c r="I6" s="2490">
        <f t="shared" si="0"/>
        <v>0</v>
      </c>
    </row>
    <row r="7" spans="1:9">
      <c r="A7" s="3657"/>
      <c r="B7" s="3658" t="s">
        <v>2484</v>
      </c>
      <c r="C7" s="3658"/>
      <c r="D7" s="2487"/>
      <c r="E7" s="2485"/>
      <c r="F7" s="2488"/>
      <c r="G7" s="2488"/>
      <c r="H7" s="2489"/>
      <c r="I7" s="2490">
        <f t="shared" si="0"/>
        <v>0</v>
      </c>
    </row>
    <row r="8" spans="1:9">
      <c r="A8" s="3657"/>
      <c r="B8" s="3658" t="s">
        <v>2485</v>
      </c>
      <c r="C8" s="3658"/>
      <c r="D8" s="2487"/>
      <c r="E8" s="2485"/>
      <c r="F8" s="2488"/>
      <c r="G8" s="2488"/>
      <c r="H8" s="2489"/>
      <c r="I8" s="2490">
        <f t="shared" si="0"/>
        <v>0</v>
      </c>
    </row>
    <row r="9" spans="1:9">
      <c r="A9" s="3657"/>
      <c r="B9" s="3658" t="s">
        <v>2486</v>
      </c>
      <c r="C9" s="3658"/>
      <c r="D9" s="2487"/>
      <c r="E9" s="2485"/>
      <c r="F9" s="2488"/>
      <c r="G9" s="2488"/>
      <c r="H9" s="2489"/>
      <c r="I9" s="2490">
        <f t="shared" si="0"/>
        <v>0</v>
      </c>
    </row>
    <row r="10" spans="1:9">
      <c r="A10" s="3657"/>
      <c r="B10" s="3659" t="s">
        <v>2487</v>
      </c>
      <c r="C10" s="3659"/>
      <c r="D10" s="2491">
        <v>527</v>
      </c>
      <c r="E10" s="2491" t="e">
        <f>ROUND(D1*10000/D10/H9,0)</f>
        <v>#DIV/0!</v>
      </c>
      <c r="F10" s="2492"/>
      <c r="G10" s="2492"/>
      <c r="H10" s="2493"/>
      <c r="I10" s="2494">
        <f>SUM(I3:I9)</f>
        <v>0</v>
      </c>
    </row>
    <row r="11" spans="1:9" ht="14.25">
      <c r="A11" s="3657" t="s">
        <v>2488</v>
      </c>
      <c r="B11" s="3658" t="s">
        <v>2489</v>
      </c>
      <c r="C11" s="3658"/>
      <c r="D11" s="2487" t="s">
        <v>2490</v>
      </c>
      <c r="E11" s="2487" t="s">
        <v>2491</v>
      </c>
      <c r="F11" s="2488" t="s">
        <v>2492</v>
      </c>
      <c r="G11" s="2488" t="s">
        <v>2493</v>
      </c>
      <c r="H11" s="2495" t="s">
        <v>2494</v>
      </c>
      <c r="I11" s="2486" t="s">
        <v>2495</v>
      </c>
    </row>
    <row r="12" spans="1:9">
      <c r="A12" s="3657"/>
      <c r="B12" s="3658" t="s">
        <v>2496</v>
      </c>
      <c r="C12" s="3658"/>
      <c r="D12" s="2487"/>
      <c r="E12" s="2487"/>
      <c r="F12" s="2488"/>
      <c r="G12" s="2489"/>
      <c r="H12" s="2496"/>
      <c r="I12" s="2486">
        <f>ROUND(D12*E12*F12*G12/10000,0)</f>
        <v>0</v>
      </c>
    </row>
    <row r="13" spans="1:9">
      <c r="A13" s="3657"/>
      <c r="B13" s="3658" t="s">
        <v>2497</v>
      </c>
      <c r="C13" s="3658"/>
      <c r="D13" s="2487"/>
      <c r="E13" s="2487"/>
      <c r="F13" s="2488"/>
      <c r="G13" s="2489"/>
      <c r="H13" s="2496"/>
      <c r="I13" s="2486">
        <f>ROUND(D13*E13*F13*G13/10000,0)</f>
        <v>0</v>
      </c>
    </row>
    <row r="14" spans="1:9">
      <c r="A14" s="3657"/>
      <c r="B14" s="3658" t="s">
        <v>2498</v>
      </c>
      <c r="C14" s="3658"/>
      <c r="D14" s="2487"/>
      <c r="E14" s="2487"/>
      <c r="F14" s="2488"/>
      <c r="G14" s="2489"/>
      <c r="H14" s="2496"/>
      <c r="I14" s="2486">
        <f>ROUND(D14*E14*F14*G14/10000,0)</f>
        <v>0</v>
      </c>
    </row>
    <row r="15" spans="1:9">
      <c r="A15" s="3657"/>
      <c r="B15" s="3659" t="s">
        <v>2487</v>
      </c>
      <c r="C15" s="3659"/>
      <c r="D15" s="2491"/>
      <c r="E15" s="2491">
        <f>SUM(E12:E14)</f>
        <v>0</v>
      </c>
      <c r="F15" s="2492"/>
      <c r="G15" s="2489"/>
      <c r="H15" s="2496"/>
      <c r="I15" s="2497">
        <f>SUM(I12:I14)</f>
        <v>0</v>
      </c>
    </row>
    <row r="16" spans="1:9" ht="24">
      <c r="A16" s="3657" t="s">
        <v>2499</v>
      </c>
      <c r="B16" s="3658" t="s">
        <v>2500</v>
      </c>
      <c r="C16" s="3658"/>
      <c r="D16" s="2487" t="s">
        <v>2501</v>
      </c>
      <c r="E16" s="2498" t="s">
        <v>2502</v>
      </c>
      <c r="F16" s="2488" t="s">
        <v>2503</v>
      </c>
      <c r="G16" s="2489" t="s">
        <v>2493</v>
      </c>
      <c r="H16" s="2495" t="s">
        <v>2494</v>
      </c>
      <c r="I16" s="2486" t="s">
        <v>2495</v>
      </c>
    </row>
    <row r="17" spans="1:9" ht="14.25">
      <c r="A17" s="3657"/>
      <c r="B17" s="3658" t="s">
        <v>2504</v>
      </c>
      <c r="C17" s="3658"/>
      <c r="D17" s="2487"/>
      <c r="E17" s="2487"/>
      <c r="F17" s="2488"/>
      <c r="G17" s="2489"/>
      <c r="H17" s="2499"/>
      <c r="I17" s="2500">
        <f>ROUND(D17*E17*F17*G17/10000,0)</f>
        <v>0</v>
      </c>
    </row>
    <row r="18" spans="1:9" ht="14.25">
      <c r="A18" s="3657"/>
      <c r="B18" s="3658" t="s">
        <v>2505</v>
      </c>
      <c r="C18" s="3658"/>
      <c r="D18" s="2487"/>
      <c r="E18" s="2487"/>
      <c r="F18" s="2488"/>
      <c r="G18" s="2489"/>
      <c r="H18" s="2499"/>
      <c r="I18" s="2500">
        <f>ROUND(D18*E18*F18*G18/10000,0)</f>
        <v>0</v>
      </c>
    </row>
    <row r="19" spans="1:9" ht="14.25">
      <c r="A19" s="3657"/>
      <c r="B19" s="3658" t="s">
        <v>2506</v>
      </c>
      <c r="C19" s="3658"/>
      <c r="D19" s="2487"/>
      <c r="E19" s="2487"/>
      <c r="F19" s="2488"/>
      <c r="G19" s="2489"/>
      <c r="H19" s="2499"/>
      <c r="I19" s="2500">
        <f>ROUND(D19*E19*F19*G19/10000,0)</f>
        <v>0</v>
      </c>
    </row>
    <row r="20" spans="1:9">
      <c r="A20" s="3657"/>
      <c r="B20" s="3659" t="s">
        <v>2487</v>
      </c>
      <c r="C20" s="3659"/>
      <c r="D20" s="2491">
        <f>SUM(D17:D19)</f>
        <v>0</v>
      </c>
      <c r="E20" s="2491"/>
      <c r="F20" s="2492"/>
      <c r="G20" s="2489"/>
      <c r="H20" s="2496"/>
      <c r="I20" s="2497">
        <f>SUM(I17:I19)</f>
        <v>0</v>
      </c>
    </row>
    <row r="21" spans="1:9">
      <c r="A21" s="3657" t="s">
        <v>2507</v>
      </c>
      <c r="B21" s="3661"/>
      <c r="C21" s="3661"/>
      <c r="D21" s="3661"/>
      <c r="E21" s="3661"/>
      <c r="F21" s="3661"/>
      <c r="G21" s="3661"/>
      <c r="H21" s="2501">
        <v>0.1</v>
      </c>
      <c r="I21" s="2494">
        <f>ROUND(I10*H21,0)</f>
        <v>0</v>
      </c>
    </row>
    <row r="22" spans="1:9" ht="14.25">
      <c r="A22" s="3662" t="s">
        <v>2508</v>
      </c>
      <c r="B22" s="3663"/>
      <c r="C22" s="3664"/>
      <c r="D22" s="2502" t="s">
        <v>2509</v>
      </c>
      <c r="E22" s="2502" t="s">
        <v>2510</v>
      </c>
      <c r="F22" s="2503" t="s">
        <v>2511</v>
      </c>
      <c r="G22" s="2503" t="s">
        <v>2512</v>
      </c>
      <c r="H22" s="2495" t="s">
        <v>2513</v>
      </c>
      <c r="I22" s="2486" t="s">
        <v>2514</v>
      </c>
    </row>
    <row r="23" spans="1:9" ht="14.25" thickBot="1">
      <c r="A23" s="3665"/>
      <c r="B23" s="3666"/>
      <c r="C23" s="3667"/>
      <c r="D23" s="2504"/>
      <c r="E23" s="2504"/>
      <c r="F23" s="2504"/>
      <c r="G23" s="2505"/>
      <c r="H23" s="2506"/>
      <c r="I23" s="2507">
        <f>ROUND(E23*D23*F23*(1-G23)/10000,0)</f>
        <v>0</v>
      </c>
    </row>
    <row r="26" spans="1:9">
      <c r="A26" s="2508" t="s">
        <v>2515</v>
      </c>
      <c r="B26" s="2508"/>
      <c r="C26" s="2508"/>
      <c r="D26" s="2508"/>
      <c r="E26" s="3668">
        <f>C27-C30-C31-C32</f>
        <v>0</v>
      </c>
      <c r="F26" s="3668"/>
      <c r="G26" s="3668"/>
      <c r="H26" s="3018" t="s">
        <v>2842</v>
      </c>
    </row>
    <row r="27" spans="1:9">
      <c r="A27" s="2509">
        <v>1</v>
      </c>
      <c r="B27" s="2510" t="s">
        <v>2516</v>
      </c>
      <c r="C27" s="2510"/>
      <c r="D27" s="2510"/>
      <c r="E27" s="3669"/>
      <c r="F27" s="3669"/>
      <c r="G27" s="3669"/>
    </row>
    <row r="28" spans="1:9">
      <c r="A28" s="2511" t="s">
        <v>2517</v>
      </c>
      <c r="B28" s="2510" t="s">
        <v>2518</v>
      </c>
      <c r="C28" s="2510"/>
      <c r="D28" s="2510"/>
      <c r="E28" s="3669"/>
      <c r="F28" s="3669"/>
      <c r="G28" s="3669"/>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660"/>
      <c r="F32" s="3660"/>
      <c r="G32" s="3660"/>
    </row>
    <row r="33" spans="1:7" hidden="1">
      <c r="A33" s="3670" t="s">
        <v>2526</v>
      </c>
      <c r="B33" s="3671"/>
      <c r="C33" s="3671"/>
      <c r="D33" s="3672"/>
      <c r="E33" s="3668"/>
      <c r="F33" s="3668"/>
      <c r="G33" s="3668"/>
    </row>
    <row r="34" spans="1:7" hidden="1">
      <c r="A34" s="2513">
        <v>1</v>
      </c>
      <c r="B34" s="2510" t="s">
        <v>2527</v>
      </c>
      <c r="C34" s="2510"/>
      <c r="D34" s="2510"/>
      <c r="E34" s="3669"/>
      <c r="F34" s="3669"/>
      <c r="G34" s="3669"/>
    </row>
    <row r="35" spans="1:7" hidden="1">
      <c r="A35" s="2513">
        <v>2</v>
      </c>
      <c r="B35" s="2510" t="s">
        <v>2528</v>
      </c>
      <c r="C35" s="2510"/>
      <c r="D35" s="2510"/>
      <c r="E35" s="3669"/>
      <c r="F35" s="3669"/>
      <c r="G35" s="3669"/>
    </row>
    <row r="36" spans="1:7" hidden="1">
      <c r="A36" s="2513">
        <v>3</v>
      </c>
      <c r="B36" s="2510" t="s">
        <v>2529</v>
      </c>
      <c r="C36" s="2510"/>
      <c r="D36" s="2510"/>
      <c r="E36" s="3669"/>
      <c r="F36" s="3669"/>
      <c r="G36" s="3669"/>
    </row>
    <row r="37" spans="1:7" hidden="1">
      <c r="A37" s="2513">
        <v>4</v>
      </c>
      <c r="B37" s="2510" t="s">
        <v>2530</v>
      </c>
      <c r="C37" s="2510"/>
      <c r="D37" s="2510"/>
      <c r="E37" s="3669"/>
      <c r="F37" s="3669"/>
      <c r="G37" s="3669"/>
    </row>
    <row r="38" spans="1:7" hidden="1">
      <c r="A38" s="3670" t="s">
        <v>2531</v>
      </c>
      <c r="B38" s="3671"/>
      <c r="C38" s="3671"/>
      <c r="D38" s="3672"/>
      <c r="E38" s="3668"/>
      <c r="F38" s="3668"/>
      <c r="G38" s="36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0.83399999999999996</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26985</v>
      </c>
      <c r="C2" s="2103"/>
      <c r="D2" s="2103"/>
      <c r="E2" s="2103"/>
      <c r="F2" s="2103"/>
      <c r="G2" s="2103"/>
      <c r="H2" s="2103"/>
      <c r="I2" s="2103"/>
      <c r="J2" s="2103"/>
      <c r="K2" s="2103"/>
    </row>
    <row r="3" spans="1:31" s="2040" customFormat="1" ht="18" customHeight="1">
      <c r="A3" s="2105" t="s">
        <v>1684</v>
      </c>
      <c r="B3" s="2106">
        <f ca="1">ROUND(B2*10000/IF(B1="",'数据-汇总表'!E3,INDIRECT("'数据-取费表'!K"&amp;$K$1)),0)</f>
        <v>17492</v>
      </c>
      <c r="C3" s="2103"/>
      <c r="D3" s="2103"/>
      <c r="E3" s="2103"/>
      <c r="F3" s="2103"/>
      <c r="G3" s="2103"/>
      <c r="H3" s="2103"/>
      <c r="I3" s="2103"/>
      <c r="J3" s="2103"/>
      <c r="K3" s="2103"/>
    </row>
    <row r="4" spans="1:31" s="2040" customFormat="1" ht="18" customHeight="1">
      <c r="A4" s="426" t="s">
        <v>467</v>
      </c>
      <c r="B4" s="427">
        <f ca="1">ROUND(B2*10000/IF(B1="",'数据-汇总表'!D3,INDIRECT("'数据-取费表'!R"&amp;$K$1)),0)</f>
        <v>27970</v>
      </c>
      <c r="C4" s="428"/>
      <c r="D4" s="422"/>
      <c r="E4" s="422"/>
      <c r="F4" s="422"/>
      <c r="G4" s="422"/>
      <c r="H4" s="422"/>
      <c r="I4" s="422"/>
      <c r="J4" s="422"/>
      <c r="K4" s="422"/>
    </row>
    <row r="5" spans="1:31" s="2040" customFormat="1" ht="18" customHeight="1" thickBot="1">
      <c r="A5" s="429"/>
      <c r="B5" s="430">
        <f ca="1">ROUND(B2/(IF(B1="",'数据-汇总表'!D3,INDIRECT("'数据-取费表'!R"&amp;$K$1))/666.67),0)</f>
        <v>1865</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51</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2829">
        <f>ROUND(C6*F24,0)</f>
        <v>482</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201</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201</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8439</v>
      </c>
      <c r="D30" s="477">
        <f ca="1">C32</f>
        <v>0.1032</v>
      </c>
      <c r="E30" s="469" t="s">
        <v>494</v>
      </c>
      <c r="F30" s="471"/>
      <c r="G30" s="2797" t="s">
        <v>2968</v>
      </c>
      <c r="H30" s="2790"/>
      <c r="I30" s="2790"/>
      <c r="J30" s="2790"/>
      <c r="K30" s="2791"/>
    </row>
    <row r="31" spans="1:14" s="2119" customFormat="1" ht="13.5" customHeight="1">
      <c r="A31" s="803" t="s">
        <v>1856</v>
      </c>
      <c r="B31" s="2835"/>
      <c r="C31" s="450">
        <f ca="1">C18+C19+C20+C23+C24+C26+C29</f>
        <v>8439</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478">
        <f ca="1">C35</f>
        <v>1700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1700</v>
      </c>
      <c r="D35" s="1628"/>
      <c r="E35" s="2841"/>
      <c r="F35" s="1629"/>
      <c r="G35" s="2799"/>
      <c r="H35" s="2800"/>
      <c r="I35" s="2800"/>
      <c r="J35" s="2800"/>
      <c r="K35" s="2801"/>
    </row>
    <row r="36" spans="1:11" s="2084" customFormat="1" ht="13.5" customHeight="1" thickBot="1">
      <c r="A36" s="284" t="s">
        <v>1844</v>
      </c>
      <c r="B36" s="2803"/>
      <c r="C36" s="2842">
        <f ca="1">ROUND((C6-C30-C33)/(1+D30+D33),0)</f>
        <v>26985</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9" zoomScale="80" zoomScaleNormal="80" workbookViewId="0">
      <selection activeCell="K42" sqref="K4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82" t="s">
        <v>521</v>
      </c>
      <c r="D4" s="3583"/>
      <c r="E4" s="3616" t="s">
        <v>522</v>
      </c>
      <c r="F4" s="3617"/>
      <c r="G4" s="3582" t="s">
        <v>523</v>
      </c>
      <c r="H4" s="3583"/>
      <c r="I4" s="3582" t="s">
        <v>524</v>
      </c>
      <c r="J4" s="3583"/>
      <c r="K4" s="853" t="s">
        <v>525</v>
      </c>
      <c r="L4" s="2132"/>
      <c r="M4" s="2133"/>
      <c r="N4" s="2133"/>
      <c r="O4" s="2133"/>
      <c r="P4" s="3584" t="s">
        <v>526</v>
      </c>
      <c r="Q4" s="3585"/>
      <c r="R4" s="3590" t="s">
        <v>522</v>
      </c>
      <c r="S4" s="3591"/>
      <c r="T4" s="3590" t="s">
        <v>523</v>
      </c>
      <c r="U4" s="3591"/>
      <c r="V4" s="3577" t="s">
        <v>524</v>
      </c>
      <c r="W4" s="3577"/>
      <c r="X4" s="1566"/>
      <c r="Y4" s="3590" t="s">
        <v>526</v>
      </c>
      <c r="Z4" s="3591"/>
      <c r="AA4" s="3579" t="s">
        <v>522</v>
      </c>
      <c r="AB4" s="3579" t="s">
        <v>523</v>
      </c>
      <c r="AC4" s="3579" t="s">
        <v>524</v>
      </c>
    </row>
    <row r="5" spans="1:29" ht="36.75" customHeight="1">
      <c r="A5" s="515"/>
      <c r="B5" s="516"/>
      <c r="C5" s="3677" t="s">
        <v>3027</v>
      </c>
      <c r="D5" s="3599"/>
      <c r="E5" s="3676" t="s">
        <v>3028</v>
      </c>
      <c r="F5" s="3619"/>
      <c r="G5" s="3676" t="s">
        <v>3028</v>
      </c>
      <c r="H5" s="3619"/>
      <c r="I5" s="3676" t="s">
        <v>3028</v>
      </c>
      <c r="J5" s="3619"/>
      <c r="K5" s="854"/>
      <c r="L5" s="2132"/>
      <c r="M5" s="2133"/>
      <c r="N5" s="2133"/>
      <c r="O5" s="2133"/>
      <c r="P5" s="3586"/>
      <c r="Q5" s="3587"/>
      <c r="R5" s="3592"/>
      <c r="S5" s="3593"/>
      <c r="T5" s="3592"/>
      <c r="U5" s="3593"/>
      <c r="V5" s="3577"/>
      <c r="W5" s="3577"/>
      <c r="X5" s="1566"/>
      <c r="Y5" s="3592"/>
      <c r="Z5" s="3593"/>
      <c r="AA5" s="3580"/>
      <c r="AB5" s="3580"/>
      <c r="AC5" s="3580"/>
    </row>
    <row r="6" spans="1:29" ht="15.75" thickBot="1">
      <c r="A6" s="517"/>
      <c r="B6" s="518"/>
      <c r="C6" s="3596" t="s">
        <v>2929</v>
      </c>
      <c r="D6" s="3597"/>
      <c r="E6" s="3614" t="s">
        <v>2929</v>
      </c>
      <c r="F6" s="3615"/>
      <c r="G6" s="3596" t="s">
        <v>2929</v>
      </c>
      <c r="H6" s="3597"/>
      <c r="I6" s="3596" t="s">
        <v>2929</v>
      </c>
      <c r="J6" s="3597"/>
      <c r="K6" s="854" t="s">
        <v>527</v>
      </c>
      <c r="L6" s="2132"/>
      <c r="M6" s="2133"/>
      <c r="N6" s="2133"/>
      <c r="O6" s="2133"/>
      <c r="P6" s="3588"/>
      <c r="Q6" s="3589"/>
      <c r="R6" s="3592"/>
      <c r="S6" s="3593"/>
      <c r="T6" s="3594"/>
      <c r="U6" s="3595"/>
      <c r="V6" s="3577"/>
      <c r="W6" s="3577"/>
      <c r="X6" s="1566"/>
      <c r="Y6" s="3594"/>
      <c r="Z6" s="3595"/>
      <c r="AA6" s="3581"/>
      <c r="AB6" s="3581"/>
      <c r="AC6" s="3581"/>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607" t="s">
        <v>529</v>
      </c>
      <c r="Q7" s="3609"/>
      <c r="R7" s="1567" t="s">
        <v>13</v>
      </c>
      <c r="S7" s="1568">
        <f t="shared" ref="S7:S15" si="0">F7</f>
        <v>100</v>
      </c>
      <c r="T7" s="1567" t="s">
        <v>13</v>
      </c>
      <c r="U7" s="1568">
        <f t="shared" ref="U7:U15" si="1">H7</f>
        <v>99.8</v>
      </c>
      <c r="V7" s="1567" t="s">
        <v>13</v>
      </c>
      <c r="W7" s="1568">
        <f t="shared" ref="W7:W15" si="2">J7</f>
        <v>100</v>
      </c>
      <c r="X7" s="1569"/>
      <c r="Y7" s="3607" t="s">
        <v>529</v>
      </c>
      <c r="Z7" s="3608"/>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607" t="s">
        <v>532</v>
      </c>
      <c r="Q8" s="3608"/>
      <c r="R8" s="1567" t="s">
        <v>13</v>
      </c>
      <c r="S8" s="1568">
        <f t="shared" si="0"/>
        <v>100</v>
      </c>
      <c r="T8" s="1567" t="s">
        <v>13</v>
      </c>
      <c r="U8" s="1568">
        <f t="shared" si="1"/>
        <v>100</v>
      </c>
      <c r="V8" s="1567" t="s">
        <v>13</v>
      </c>
      <c r="W8" s="1568">
        <f t="shared" si="2"/>
        <v>100</v>
      </c>
      <c r="X8" s="1569"/>
      <c r="Y8" s="3607" t="s">
        <v>532</v>
      </c>
      <c r="Z8" s="3608"/>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76" t="s">
        <v>534</v>
      </c>
      <c r="Q9" s="1150" t="str">
        <f t="shared" ref="Q9:Q15" si="6">B9</f>
        <v>用途</v>
      </c>
      <c r="R9" s="1567" t="s">
        <v>8</v>
      </c>
      <c r="S9" s="1568">
        <f t="shared" si="0"/>
        <v>100</v>
      </c>
      <c r="T9" s="1567" t="s">
        <v>8</v>
      </c>
      <c r="U9" s="1568">
        <f t="shared" si="1"/>
        <v>100</v>
      </c>
      <c r="V9" s="1567" t="s">
        <v>8</v>
      </c>
      <c r="W9" s="1568">
        <f t="shared" si="2"/>
        <v>100</v>
      </c>
      <c r="X9" s="1569"/>
      <c r="Y9" s="3440" t="s">
        <v>535</v>
      </c>
      <c r="Z9" s="1149" t="str">
        <f t="shared" ref="Z9:Z15" si="7">Q9</f>
        <v>用途</v>
      </c>
      <c r="AA9" s="1570">
        <f t="shared" si="3"/>
        <v>1</v>
      </c>
      <c r="AB9" s="1570">
        <f t="shared" si="4"/>
        <v>1</v>
      </c>
      <c r="AC9" s="1570">
        <f t="shared" si="5"/>
        <v>1</v>
      </c>
    </row>
    <row r="10" spans="1:29" s="1337" customFormat="1" ht="27.75" thickBot="1">
      <c r="A10" s="2892"/>
      <c r="B10" s="2897" t="s">
        <v>2757</v>
      </c>
      <c r="C10" s="3223"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76"/>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76"/>
      <c r="Q11" s="1150" t="str">
        <f t="shared" si="6"/>
        <v>容积率</v>
      </c>
      <c r="R11" s="1567" t="s">
        <v>11</v>
      </c>
      <c r="S11" s="1568">
        <f t="shared" si="0"/>
        <v>100</v>
      </c>
      <c r="T11" s="1567" t="s">
        <v>11</v>
      </c>
      <c r="U11" s="1568">
        <f t="shared" si="1"/>
        <v>100</v>
      </c>
      <c r="V11" s="1567" t="s">
        <v>11</v>
      </c>
      <c r="W11" s="1568">
        <f t="shared" si="2"/>
        <v>100</v>
      </c>
      <c r="X11" s="1569"/>
      <c r="Y11" s="3440"/>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76"/>
      <c r="Q12" s="1150">
        <f t="shared" si="6"/>
        <v>111</v>
      </c>
      <c r="R12" s="1567" t="s">
        <v>11</v>
      </c>
      <c r="S12" s="1568">
        <f t="shared" si="0"/>
        <v>100</v>
      </c>
      <c r="T12" s="1567" t="s">
        <v>11</v>
      </c>
      <c r="U12" s="1568">
        <f t="shared" si="1"/>
        <v>100</v>
      </c>
      <c r="V12" s="1567" t="s">
        <v>11</v>
      </c>
      <c r="W12" s="1568">
        <f t="shared" si="2"/>
        <v>100</v>
      </c>
      <c r="X12" s="1569"/>
      <c r="Y12" s="3440"/>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76"/>
      <c r="Q13" s="1150">
        <f t="shared" si="6"/>
        <v>111</v>
      </c>
      <c r="R13" s="1567" t="s">
        <v>11</v>
      </c>
      <c r="S13" s="1568">
        <f t="shared" si="0"/>
        <v>100</v>
      </c>
      <c r="T13" s="1567" t="s">
        <v>11</v>
      </c>
      <c r="U13" s="1568">
        <f t="shared" si="1"/>
        <v>100</v>
      </c>
      <c r="V13" s="1567" t="s">
        <v>11</v>
      </c>
      <c r="W13" s="1568">
        <f t="shared" si="2"/>
        <v>100</v>
      </c>
      <c r="X13" s="1569"/>
      <c r="Y13" s="3440"/>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76"/>
      <c r="Q14" s="1150">
        <f t="shared" si="6"/>
        <v>111</v>
      </c>
      <c r="R14" s="1567" t="s">
        <v>11</v>
      </c>
      <c r="S14" s="1568">
        <f t="shared" si="0"/>
        <v>100</v>
      </c>
      <c r="T14" s="1567" t="s">
        <v>11</v>
      </c>
      <c r="U14" s="1568">
        <f t="shared" si="1"/>
        <v>100</v>
      </c>
      <c r="V14" s="1567" t="s">
        <v>11</v>
      </c>
      <c r="W14" s="1568">
        <f t="shared" si="2"/>
        <v>100</v>
      </c>
      <c r="X14" s="1569"/>
      <c r="Y14" s="3440"/>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610" t="s">
        <v>539</v>
      </c>
      <c r="Q15" s="1571" t="str">
        <f t="shared" si="6"/>
        <v>居住社区成熟度</v>
      </c>
      <c r="R15" s="1572" t="s">
        <v>11</v>
      </c>
      <c r="S15" s="1573">
        <f t="shared" si="0"/>
        <v>100</v>
      </c>
      <c r="T15" s="1572" t="s">
        <v>11</v>
      </c>
      <c r="U15" s="1573">
        <f t="shared" si="1"/>
        <v>100</v>
      </c>
      <c r="V15" s="1572" t="s">
        <v>11</v>
      </c>
      <c r="W15" s="1573">
        <f t="shared" si="2"/>
        <v>100</v>
      </c>
      <c r="X15" s="1566"/>
      <c r="Y15" s="3610"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611"/>
      <c r="Q16" s="1571"/>
      <c r="R16" s="1572"/>
      <c r="S16" s="1573"/>
      <c r="T16" s="1572"/>
      <c r="U16" s="1573"/>
      <c r="V16" s="1572"/>
      <c r="W16" s="1573"/>
      <c r="X16" s="1566"/>
      <c r="Y16" s="3611"/>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611"/>
      <c r="Q17" s="1571" t="str">
        <f>B17</f>
        <v>交通便捷度</v>
      </c>
      <c r="R17" s="1572" t="s">
        <v>11</v>
      </c>
      <c r="S17" s="1573">
        <f>F17</f>
        <v>100</v>
      </c>
      <c r="T17" s="1572" t="s">
        <v>11</v>
      </c>
      <c r="U17" s="1573">
        <f>H17</f>
        <v>100</v>
      </c>
      <c r="V17" s="1572" t="s">
        <v>11</v>
      </c>
      <c r="W17" s="1573">
        <f>J17</f>
        <v>100</v>
      </c>
      <c r="X17" s="1566"/>
      <c r="Y17" s="3611"/>
      <c r="Z17" s="1574" t="str">
        <f>Q17</f>
        <v>交通便捷度</v>
      </c>
      <c r="AA17" s="1575">
        <f t="shared" si="3"/>
        <v>1</v>
      </c>
      <c r="AB17" s="1575">
        <f t="shared" si="4"/>
        <v>1</v>
      </c>
      <c r="AC17" s="1575">
        <f t="shared" si="5"/>
        <v>1</v>
      </c>
    </row>
    <row r="18" spans="1:29" ht="15">
      <c r="A18" s="532"/>
      <c r="B18" s="595"/>
      <c r="C18" s="3246" t="s">
        <v>3032</v>
      </c>
      <c r="D18" s="559"/>
      <c r="E18" s="568" t="s">
        <v>3032</v>
      </c>
      <c r="F18" s="563"/>
      <c r="G18" s="569" t="s">
        <v>3032</v>
      </c>
      <c r="H18" s="555"/>
      <c r="I18" s="568" t="s">
        <v>3032</v>
      </c>
      <c r="J18" s="555"/>
      <c r="K18" s="870"/>
      <c r="L18" s="2141"/>
      <c r="M18" s="2133"/>
      <c r="N18" s="2133"/>
      <c r="O18" s="2140"/>
      <c r="P18" s="3611"/>
      <c r="Q18" s="1571"/>
      <c r="R18" s="1572"/>
      <c r="S18" s="1573"/>
      <c r="T18" s="1572"/>
      <c r="U18" s="1573"/>
      <c r="V18" s="1572"/>
      <c r="W18" s="1573"/>
      <c r="X18" s="1566"/>
      <c r="Y18" s="3611"/>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611"/>
      <c r="Q19" s="1571" t="str">
        <f>B19</f>
        <v>公共配套设施</v>
      </c>
      <c r="R19" s="1572" t="s">
        <v>11</v>
      </c>
      <c r="S19" s="1573">
        <f>F19</f>
        <v>100</v>
      </c>
      <c r="T19" s="1572" t="s">
        <v>11</v>
      </c>
      <c r="U19" s="1573">
        <f>H19</f>
        <v>100</v>
      </c>
      <c r="V19" s="1572" t="s">
        <v>11</v>
      </c>
      <c r="W19" s="1573">
        <f>J19</f>
        <v>100</v>
      </c>
      <c r="X19" s="1566"/>
      <c r="Y19" s="3611"/>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611"/>
      <c r="Q20" s="1571"/>
      <c r="R20" s="1572"/>
      <c r="S20" s="1573"/>
      <c r="T20" s="1572"/>
      <c r="U20" s="1573"/>
      <c r="V20" s="1572"/>
      <c r="W20" s="1573"/>
      <c r="X20" s="1566"/>
      <c r="Y20" s="3611"/>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611"/>
      <c r="Q21" s="2557" t="str">
        <f>B21</f>
        <v>基础设施水平</v>
      </c>
      <c r="R21" s="1572" t="s">
        <v>11</v>
      </c>
      <c r="S21" s="1573">
        <f>F21</f>
        <v>100</v>
      </c>
      <c r="T21" s="1572" t="s">
        <v>11</v>
      </c>
      <c r="U21" s="1573">
        <f>H21</f>
        <v>100</v>
      </c>
      <c r="V21" s="1572" t="s">
        <v>11</v>
      </c>
      <c r="W21" s="1573">
        <f>J21</f>
        <v>100</v>
      </c>
      <c r="X21" s="2559"/>
      <c r="Y21" s="3611"/>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611"/>
      <c r="Q22" s="2557"/>
      <c r="R22" s="1572"/>
      <c r="S22" s="1573"/>
      <c r="T22" s="1572"/>
      <c r="U22" s="1573"/>
      <c r="V22" s="1572"/>
      <c r="W22" s="1573"/>
      <c r="X22" s="2559"/>
      <c r="Y22" s="3611"/>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611"/>
      <c r="Q23" s="1571" t="str">
        <f>B23</f>
        <v>自然及人文环境</v>
      </c>
      <c r="R23" s="1572" t="s">
        <v>11</v>
      </c>
      <c r="S23" s="1573">
        <f>F23</f>
        <v>100</v>
      </c>
      <c r="T23" s="1572" t="s">
        <v>11</v>
      </c>
      <c r="U23" s="1573">
        <f>H23</f>
        <v>100</v>
      </c>
      <c r="V23" s="1572" t="s">
        <v>11</v>
      </c>
      <c r="W23" s="1573">
        <f>J23</f>
        <v>100</v>
      </c>
      <c r="X23" s="1566"/>
      <c r="Y23" s="3611"/>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611"/>
      <c r="Q24" s="1571"/>
      <c r="R24" s="1572"/>
      <c r="S24" s="1573"/>
      <c r="T24" s="1572"/>
      <c r="U24" s="1573"/>
      <c r="V24" s="1572"/>
      <c r="W24" s="1573"/>
      <c r="X24" s="1566"/>
      <c r="Y24" s="3611"/>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611"/>
      <c r="Q25" s="1571" t="str">
        <f t="shared" ref="Q25:Q46" si="11">B25</f>
        <v>楼层-1</v>
      </c>
      <c r="R25" s="1572" t="s">
        <v>11</v>
      </c>
      <c r="S25" s="1573">
        <f>F25</f>
        <v>100</v>
      </c>
      <c r="T25" s="1572" t="s">
        <v>11</v>
      </c>
      <c r="U25" s="1573">
        <f>H25</f>
        <v>100</v>
      </c>
      <c r="V25" s="1572" t="s">
        <v>11</v>
      </c>
      <c r="W25" s="1573">
        <f>J25</f>
        <v>100</v>
      </c>
      <c r="X25" s="1566"/>
      <c r="Y25" s="3611"/>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611"/>
      <c r="Q26" s="1571" t="str">
        <f t="shared" si="11"/>
        <v>朝向</v>
      </c>
      <c r="R26" s="1572" t="s">
        <v>11</v>
      </c>
      <c r="S26" s="1573">
        <f>F26</f>
        <v>100</v>
      </c>
      <c r="T26" s="1572" t="s">
        <v>11</v>
      </c>
      <c r="U26" s="1573">
        <f>H26</f>
        <v>100</v>
      </c>
      <c r="V26" s="1572" t="s">
        <v>11</v>
      </c>
      <c r="W26" s="1573">
        <f>J26</f>
        <v>100</v>
      </c>
      <c r="X26" s="1566"/>
      <c r="Y26" s="3611"/>
      <c r="Z26" s="1574" t="str">
        <f>Q26</f>
        <v>朝向</v>
      </c>
      <c r="AA26" s="1575">
        <f t="shared" si="3"/>
        <v>1</v>
      </c>
      <c r="AB26" s="1575">
        <f t="shared" si="4"/>
        <v>1</v>
      </c>
      <c r="AC26" s="1575">
        <f t="shared" si="5"/>
        <v>1</v>
      </c>
    </row>
    <row r="27" spans="1:29" s="1219" customFormat="1" ht="27">
      <c r="A27" s="536"/>
      <c r="B27" s="537" t="s">
        <v>723</v>
      </c>
      <c r="C27" s="3197" t="s">
        <v>3150</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611"/>
      <c r="Q27" s="1150" t="str">
        <f t="shared" si="11"/>
        <v>道路级别</v>
      </c>
      <c r="R27" s="1567" t="s">
        <v>11</v>
      </c>
      <c r="S27" s="1568">
        <f>F27</f>
        <v>100</v>
      </c>
      <c r="T27" s="1567" t="s">
        <v>11</v>
      </c>
      <c r="U27" s="1568">
        <f>H27</f>
        <v>100</v>
      </c>
      <c r="V27" s="1567" t="s">
        <v>11</v>
      </c>
      <c r="W27" s="1568">
        <f>J27</f>
        <v>100</v>
      </c>
      <c r="X27" s="1569"/>
      <c r="Y27" s="3611"/>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611"/>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611"/>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611"/>
      <c r="Q29" s="1571">
        <f t="shared" si="11"/>
        <v>111</v>
      </c>
      <c r="R29" s="1572" t="s">
        <v>11</v>
      </c>
      <c r="S29" s="1573">
        <f t="shared" si="12"/>
        <v>100</v>
      </c>
      <c r="T29" s="1572" t="s">
        <v>11</v>
      </c>
      <c r="U29" s="1573">
        <f t="shared" si="13"/>
        <v>100</v>
      </c>
      <c r="V29" s="1572" t="s">
        <v>11</v>
      </c>
      <c r="W29" s="1573">
        <f t="shared" si="14"/>
        <v>100</v>
      </c>
      <c r="X29" s="1566"/>
      <c r="Y29" s="3611"/>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611"/>
      <c r="Q30" s="1571">
        <f t="shared" si="11"/>
        <v>111</v>
      </c>
      <c r="R30" s="1572" t="s">
        <v>11</v>
      </c>
      <c r="S30" s="1573">
        <f t="shared" si="12"/>
        <v>100</v>
      </c>
      <c r="T30" s="1572" t="s">
        <v>11</v>
      </c>
      <c r="U30" s="1573">
        <f t="shared" si="13"/>
        <v>100</v>
      </c>
      <c r="V30" s="1572" t="s">
        <v>11</v>
      </c>
      <c r="W30" s="1573">
        <f t="shared" si="14"/>
        <v>100</v>
      </c>
      <c r="X30" s="1566"/>
      <c r="Y30" s="3611"/>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611"/>
      <c r="Q31" s="1571">
        <f t="shared" si="11"/>
        <v>111</v>
      </c>
      <c r="R31" s="1572" t="s">
        <v>11</v>
      </c>
      <c r="S31" s="1573">
        <f t="shared" si="12"/>
        <v>100</v>
      </c>
      <c r="T31" s="1572" t="s">
        <v>11</v>
      </c>
      <c r="U31" s="1573">
        <f t="shared" si="13"/>
        <v>100</v>
      </c>
      <c r="V31" s="1572" t="s">
        <v>11</v>
      </c>
      <c r="W31" s="1573">
        <f t="shared" si="14"/>
        <v>100</v>
      </c>
      <c r="X31" s="1566"/>
      <c r="Y31" s="3611"/>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612" t="s">
        <v>549</v>
      </c>
      <c r="Q32" s="1571" t="str">
        <f t="shared" si="11"/>
        <v>建筑类型</v>
      </c>
      <c r="R32" s="1572" t="s">
        <v>11</v>
      </c>
      <c r="S32" s="1573">
        <f t="shared" si="12"/>
        <v>100</v>
      </c>
      <c r="T32" s="1572" t="s">
        <v>11</v>
      </c>
      <c r="U32" s="1573">
        <f t="shared" si="13"/>
        <v>100</v>
      </c>
      <c r="V32" s="1572" t="s">
        <v>11</v>
      </c>
      <c r="W32" s="1573">
        <f t="shared" si="14"/>
        <v>100</v>
      </c>
      <c r="X32" s="1566"/>
      <c r="Y32" s="3613"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613"/>
      <c r="Q33" s="1604" t="str">
        <f t="shared" si="11"/>
        <v>项目建筑规模</v>
      </c>
      <c r="R33" s="1576" t="s">
        <v>11</v>
      </c>
      <c r="S33" s="1577">
        <f t="shared" si="12"/>
        <v>100</v>
      </c>
      <c r="T33" s="1576" t="s">
        <v>11</v>
      </c>
      <c r="U33" s="1577">
        <f t="shared" si="13"/>
        <v>100</v>
      </c>
      <c r="V33" s="1576" t="s">
        <v>11</v>
      </c>
      <c r="W33" s="1577">
        <f t="shared" si="14"/>
        <v>100</v>
      </c>
      <c r="X33" s="1578"/>
      <c r="Y33" s="3613"/>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613"/>
      <c r="Q34" s="1571" t="str">
        <f t="shared" si="11"/>
        <v>建筑结构</v>
      </c>
      <c r="R34" s="1572" t="s">
        <v>11</v>
      </c>
      <c r="S34" s="1573">
        <f t="shared" si="12"/>
        <v>100</v>
      </c>
      <c r="T34" s="1572" t="s">
        <v>11</v>
      </c>
      <c r="U34" s="1573">
        <f t="shared" si="13"/>
        <v>100</v>
      </c>
      <c r="V34" s="1572" t="s">
        <v>11</v>
      </c>
      <c r="W34" s="1573">
        <f t="shared" si="14"/>
        <v>100</v>
      </c>
      <c r="X34" s="1566"/>
      <c r="Y34" s="3613"/>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613"/>
      <c r="Q35" s="1571" t="str">
        <f t="shared" si="11"/>
        <v>建筑品质</v>
      </c>
      <c r="R35" s="1572" t="s">
        <v>11</v>
      </c>
      <c r="S35" s="1573">
        <f t="shared" si="12"/>
        <v>100</v>
      </c>
      <c r="T35" s="1572" t="s">
        <v>11</v>
      </c>
      <c r="U35" s="1573">
        <f t="shared" si="13"/>
        <v>100</v>
      </c>
      <c r="V35" s="1572" t="s">
        <v>11</v>
      </c>
      <c r="W35" s="1573">
        <f t="shared" si="14"/>
        <v>100</v>
      </c>
      <c r="X35" s="1566"/>
      <c r="Y35" s="3613"/>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613"/>
      <c r="Q36" s="1571" t="str">
        <f t="shared" si="11"/>
        <v>公共部分装修</v>
      </c>
      <c r="R36" s="1572" t="s">
        <v>11</v>
      </c>
      <c r="S36" s="1573">
        <f t="shared" si="12"/>
        <v>100</v>
      </c>
      <c r="T36" s="1572" t="s">
        <v>11</v>
      </c>
      <c r="U36" s="1573">
        <f t="shared" si="13"/>
        <v>100</v>
      </c>
      <c r="V36" s="1572" t="s">
        <v>11</v>
      </c>
      <c r="W36" s="1573">
        <f t="shared" si="14"/>
        <v>100</v>
      </c>
      <c r="X36" s="1566"/>
      <c r="Y36" s="3613"/>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613"/>
      <c r="Q37" s="1150" t="str">
        <f t="shared" si="11"/>
        <v>成新度</v>
      </c>
      <c r="R37" s="1567" t="s">
        <v>11</v>
      </c>
      <c r="S37" s="1568">
        <f t="shared" si="12"/>
        <v>100</v>
      </c>
      <c r="T37" s="1567" t="s">
        <v>11</v>
      </c>
      <c r="U37" s="1568">
        <f t="shared" si="13"/>
        <v>100</v>
      </c>
      <c r="V37" s="1567" t="s">
        <v>11</v>
      </c>
      <c r="W37" s="1568">
        <f t="shared" si="14"/>
        <v>100</v>
      </c>
      <c r="X37" s="1569"/>
      <c r="Y37" s="3613"/>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613" t="s">
        <v>549</v>
      </c>
      <c r="Q38" s="1571" t="str">
        <f t="shared" si="11"/>
        <v>物业管理</v>
      </c>
      <c r="R38" s="1572" t="s">
        <v>11</v>
      </c>
      <c r="S38" s="1573">
        <f t="shared" si="12"/>
        <v>100</v>
      </c>
      <c r="T38" s="1572" t="s">
        <v>11</v>
      </c>
      <c r="U38" s="1573">
        <f t="shared" si="13"/>
        <v>100</v>
      </c>
      <c r="V38" s="1572" t="s">
        <v>11</v>
      </c>
      <c r="W38" s="1573">
        <f t="shared" si="14"/>
        <v>100</v>
      </c>
      <c r="X38" s="1566"/>
      <c r="Y38" s="3613"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613"/>
      <c r="Q39" s="1571" t="str">
        <f t="shared" si="11"/>
        <v>市政基础设施</v>
      </c>
      <c r="R39" s="1572" t="s">
        <v>11</v>
      </c>
      <c r="S39" s="1573">
        <f t="shared" si="12"/>
        <v>100</v>
      </c>
      <c r="T39" s="1572" t="s">
        <v>11</v>
      </c>
      <c r="U39" s="1573">
        <f t="shared" si="13"/>
        <v>100</v>
      </c>
      <c r="V39" s="1572" t="s">
        <v>11</v>
      </c>
      <c r="W39" s="1573">
        <f t="shared" si="14"/>
        <v>100</v>
      </c>
      <c r="X39" s="1566"/>
      <c r="Y39" s="3613"/>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613"/>
      <c r="Q40" s="1571" t="str">
        <f t="shared" si="11"/>
        <v>房型</v>
      </c>
      <c r="R40" s="1572" t="s">
        <v>11</v>
      </c>
      <c r="S40" s="1573">
        <f t="shared" si="12"/>
        <v>100</v>
      </c>
      <c r="T40" s="1572" t="s">
        <v>11</v>
      </c>
      <c r="U40" s="1573">
        <f t="shared" si="13"/>
        <v>100</v>
      </c>
      <c r="V40" s="1572" t="s">
        <v>11</v>
      </c>
      <c r="W40" s="1573">
        <f t="shared" si="14"/>
        <v>100</v>
      </c>
      <c r="X40" s="1566"/>
      <c r="Y40" s="3613"/>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613"/>
      <c r="Q41" s="1604" t="str">
        <f t="shared" si="11"/>
        <v>单套/主力户型建筑面积</v>
      </c>
      <c r="R41" s="1576" t="s">
        <v>11</v>
      </c>
      <c r="S41" s="1577">
        <f t="shared" si="12"/>
        <v>100</v>
      </c>
      <c r="T41" s="1576" t="s">
        <v>11</v>
      </c>
      <c r="U41" s="1577">
        <f t="shared" si="13"/>
        <v>100</v>
      </c>
      <c r="V41" s="1576" t="s">
        <v>11</v>
      </c>
      <c r="W41" s="1577">
        <f t="shared" si="14"/>
        <v>100</v>
      </c>
      <c r="X41" s="1578"/>
      <c r="Y41" s="3613"/>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4"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613"/>
      <c r="Q42" s="1571" t="str">
        <f t="shared" si="11"/>
        <v>内部装修</v>
      </c>
      <c r="R42" s="1572" t="s">
        <v>11</v>
      </c>
      <c r="S42" s="1573">
        <f t="shared" si="12"/>
        <v>100</v>
      </c>
      <c r="T42" s="1572" t="s">
        <v>11</v>
      </c>
      <c r="U42" s="1573">
        <f t="shared" si="13"/>
        <v>102</v>
      </c>
      <c r="V42" s="1572" t="s">
        <v>11</v>
      </c>
      <c r="W42" s="1573">
        <f t="shared" si="14"/>
        <v>102</v>
      </c>
      <c r="X42" s="1566"/>
      <c r="Y42" s="3613"/>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613"/>
      <c r="Q43" s="1571" t="str">
        <f t="shared" si="11"/>
        <v>内部装修维护情况</v>
      </c>
      <c r="R43" s="1572" t="s">
        <v>11</v>
      </c>
      <c r="S43" s="1573">
        <f t="shared" si="12"/>
        <v>100</v>
      </c>
      <c r="T43" s="1572" t="s">
        <v>11</v>
      </c>
      <c r="U43" s="1573">
        <f t="shared" si="13"/>
        <v>100</v>
      </c>
      <c r="V43" s="1572" t="s">
        <v>11</v>
      </c>
      <c r="W43" s="1573">
        <f t="shared" si="14"/>
        <v>100</v>
      </c>
      <c r="X43" s="1566"/>
      <c r="Y43" s="3613"/>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613"/>
      <c r="Q44" s="1150" t="str">
        <f t="shared" si="11"/>
        <v>建成年代</v>
      </c>
      <c r="R44" s="1567" t="s">
        <v>11</v>
      </c>
      <c r="S44" s="1568">
        <f t="shared" si="12"/>
        <v>99.5</v>
      </c>
      <c r="T44" s="1567" t="s">
        <v>11</v>
      </c>
      <c r="U44" s="1568">
        <f t="shared" si="13"/>
        <v>99.5</v>
      </c>
      <c r="V44" s="1567" t="s">
        <v>11</v>
      </c>
      <c r="W44" s="1568">
        <f t="shared" si="14"/>
        <v>100</v>
      </c>
      <c r="X44" s="1569"/>
      <c r="Y44" s="3613"/>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613"/>
      <c r="Q45" s="1571">
        <f t="shared" si="11"/>
        <v>111</v>
      </c>
      <c r="R45" s="1572" t="s">
        <v>11</v>
      </c>
      <c r="S45" s="1573">
        <f t="shared" si="12"/>
        <v>100</v>
      </c>
      <c r="T45" s="1572" t="s">
        <v>11</v>
      </c>
      <c r="U45" s="1573">
        <f t="shared" si="13"/>
        <v>100</v>
      </c>
      <c r="V45" s="1572" t="s">
        <v>11</v>
      </c>
      <c r="W45" s="1573">
        <f t="shared" si="14"/>
        <v>100</v>
      </c>
      <c r="X45" s="1566"/>
      <c r="Y45" s="3613"/>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75"/>
      <c r="Q46" s="1571">
        <f t="shared" si="11"/>
        <v>111</v>
      </c>
      <c r="R46" s="1572" t="s">
        <v>10</v>
      </c>
      <c r="S46" s="1573">
        <f t="shared" si="12"/>
        <v>100</v>
      </c>
      <c r="T46" s="1572" t="s">
        <v>10</v>
      </c>
      <c r="U46" s="1573">
        <f t="shared" si="13"/>
        <v>100</v>
      </c>
      <c r="V46" s="1572" t="s">
        <v>10</v>
      </c>
      <c r="W46" s="1573">
        <f t="shared" si="14"/>
        <v>100</v>
      </c>
      <c r="X46" s="1566"/>
      <c r="Y46" s="3675"/>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76" t="str">
        <f>A47</f>
        <v>成交单价（元/平方米）</v>
      </c>
      <c r="Q47" s="3576"/>
      <c r="R47" s="3674">
        <f>E47</f>
        <v>45828</v>
      </c>
      <c r="S47" s="3674"/>
      <c r="T47" s="3674">
        <f>G47</f>
        <v>45439</v>
      </c>
      <c r="U47" s="3674"/>
      <c r="V47" s="3674">
        <f>I47</f>
        <v>48117</v>
      </c>
      <c r="W47" s="3674"/>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76" t="str">
        <f>A48</f>
        <v>比较价格（元/平方米）</v>
      </c>
      <c r="Q48" s="3576"/>
      <c r="R48" s="3674">
        <f>IF(F1="售价",ROUND(PRODUCT(R47,AA7:AA46),0),ROUND(PRODUCT(R47,AA7:AA46),1))</f>
        <v>46058</v>
      </c>
      <c r="S48" s="3674"/>
      <c r="T48" s="3674">
        <f>IF(F1="售价",ROUND(PRODUCT(T47,AB7:AB46),0),ROUND(PRODUCT(T47,AB7:AB46),1))</f>
        <v>45545</v>
      </c>
      <c r="U48" s="3674"/>
      <c r="V48" s="3674">
        <f>IF(F1="售价",ROUND(PRODUCT(V47,AC7:AC46),0),ROUND(PRODUCT(V47,AC7:AC46),1))</f>
        <v>47892</v>
      </c>
      <c r="W48" s="3674"/>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73" t="str">
        <f>A49</f>
        <v>估价对象XX用房的比较价格（楼面单价，元/平方米）</v>
      </c>
      <c r="Q49" s="3574"/>
      <c r="R49" s="3673">
        <f>IF(F1="售价",ROUND(AVERAGE(R48:V48),0),ROUND(AVERAGE(R48:V48),1))</f>
        <v>46498</v>
      </c>
      <c r="S49" s="3673"/>
      <c r="T49" s="3673"/>
      <c r="U49" s="3673"/>
      <c r="V49" s="3673"/>
      <c r="W49" s="367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82" t="s">
        <v>521</v>
      </c>
      <c r="D4" s="3583"/>
      <c r="E4" s="3616" t="s">
        <v>522</v>
      </c>
      <c r="F4" s="3617"/>
      <c r="G4" s="3582" t="s">
        <v>523</v>
      </c>
      <c r="H4" s="3583"/>
      <c r="I4" s="3582" t="s">
        <v>524</v>
      </c>
      <c r="J4" s="3583"/>
      <c r="K4" s="514" t="s">
        <v>525</v>
      </c>
      <c r="L4" s="2132"/>
      <c r="M4" s="2133"/>
      <c r="N4" s="2133"/>
      <c r="O4" s="2133"/>
      <c r="P4" s="3584" t="s">
        <v>526</v>
      </c>
      <c r="Q4" s="3585"/>
      <c r="R4" s="3590" t="s">
        <v>522</v>
      </c>
      <c r="S4" s="3591"/>
      <c r="T4" s="3590" t="s">
        <v>523</v>
      </c>
      <c r="U4" s="3591"/>
      <c r="V4" s="3577" t="s">
        <v>524</v>
      </c>
      <c r="W4" s="3577"/>
      <c r="X4" s="1566"/>
      <c r="Y4" s="3590" t="s">
        <v>526</v>
      </c>
      <c r="Z4" s="3591"/>
      <c r="AA4" s="3579" t="s">
        <v>522</v>
      </c>
      <c r="AB4" s="3577" t="s">
        <v>523</v>
      </c>
      <c r="AC4" s="3579" t="s">
        <v>524</v>
      </c>
    </row>
    <row r="5" spans="1:29" ht="15">
      <c r="A5" s="515"/>
      <c r="B5" s="516"/>
      <c r="C5" s="3598" t="str">
        <f>'不动产比较法-住宅'!C5:D5</f>
        <v>朝阳区王四营乡东部道口村柏阳景园</v>
      </c>
      <c r="D5" s="3599"/>
      <c r="E5" s="3676" t="s">
        <v>3086</v>
      </c>
      <c r="F5" s="3619"/>
      <c r="G5" s="3676" t="s">
        <v>3086</v>
      </c>
      <c r="H5" s="3619"/>
      <c r="I5" s="3677" t="s">
        <v>3087</v>
      </c>
      <c r="J5" s="3599"/>
      <c r="K5" s="514"/>
      <c r="L5" s="2132"/>
      <c r="M5" s="2133"/>
      <c r="N5" s="2133"/>
      <c r="O5" s="2133"/>
      <c r="P5" s="3586"/>
      <c r="Q5" s="3587"/>
      <c r="R5" s="3592"/>
      <c r="S5" s="3593"/>
      <c r="T5" s="3592"/>
      <c r="U5" s="3593"/>
      <c r="V5" s="3577"/>
      <c r="W5" s="3577"/>
      <c r="X5" s="1566"/>
      <c r="Y5" s="3592"/>
      <c r="Z5" s="3593"/>
      <c r="AA5" s="3580"/>
      <c r="AB5" s="3577"/>
      <c r="AC5" s="3580"/>
    </row>
    <row r="6" spans="1:29" ht="15.75" thickBot="1">
      <c r="A6" s="517"/>
      <c r="B6" s="518"/>
      <c r="C6" s="3596" t="s">
        <v>2929</v>
      </c>
      <c r="D6" s="3597"/>
      <c r="E6" s="3614" t="s">
        <v>2929</v>
      </c>
      <c r="F6" s="3615"/>
      <c r="G6" s="3596" t="s">
        <v>2929</v>
      </c>
      <c r="H6" s="3597"/>
      <c r="I6" s="3596" t="s">
        <v>2929</v>
      </c>
      <c r="J6" s="3597"/>
      <c r="K6" s="514" t="s">
        <v>527</v>
      </c>
      <c r="L6" s="2132"/>
      <c r="M6" s="2133"/>
      <c r="N6" s="2133"/>
      <c r="O6" s="2133"/>
      <c r="P6" s="3588"/>
      <c r="Q6" s="3589"/>
      <c r="R6" s="3592"/>
      <c r="S6" s="3593"/>
      <c r="T6" s="3594"/>
      <c r="U6" s="3595"/>
      <c r="V6" s="3577"/>
      <c r="W6" s="3577"/>
      <c r="X6" s="1566"/>
      <c r="Y6" s="3594"/>
      <c r="Z6" s="3595"/>
      <c r="AA6" s="3581"/>
      <c r="AB6" s="3577"/>
      <c r="AC6" s="3581"/>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607" t="s">
        <v>529</v>
      </c>
      <c r="Q7" s="3609"/>
      <c r="R7" s="1567" t="s">
        <v>8</v>
      </c>
      <c r="S7" s="1568">
        <f t="shared" ref="S7:S15" si="0">F7</f>
        <v>100</v>
      </c>
      <c r="T7" s="1567" t="s">
        <v>8</v>
      </c>
      <c r="U7" s="1568">
        <f t="shared" ref="U7:U15" si="1">H7</f>
        <v>100</v>
      </c>
      <c r="V7" s="1567" t="s">
        <v>8</v>
      </c>
      <c r="W7" s="1568">
        <f t="shared" ref="W7:W15" si="2">J7</f>
        <v>100</v>
      </c>
      <c r="X7" s="1569"/>
      <c r="Y7" s="3607" t="s">
        <v>529</v>
      </c>
      <c r="Z7" s="3608"/>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607" t="s">
        <v>532</v>
      </c>
      <c r="Q8" s="3608"/>
      <c r="R8" s="1567" t="s">
        <v>8</v>
      </c>
      <c r="S8" s="1568">
        <f t="shared" si="0"/>
        <v>100</v>
      </c>
      <c r="T8" s="1567" t="s">
        <v>8</v>
      </c>
      <c r="U8" s="1568">
        <f t="shared" si="1"/>
        <v>100</v>
      </c>
      <c r="V8" s="1567" t="s">
        <v>8</v>
      </c>
      <c r="W8" s="1568">
        <f t="shared" si="2"/>
        <v>100</v>
      </c>
      <c r="X8" s="1569"/>
      <c r="Y8" s="3607" t="s">
        <v>532</v>
      </c>
      <c r="Z8" s="3608"/>
      <c r="AA8" s="1570">
        <f t="shared" ref="AA8:AA46" si="3">D8/F8</f>
        <v>1</v>
      </c>
      <c r="AB8" s="1570">
        <f t="shared" ref="AB8:AB46" si="4">D8/H8</f>
        <v>1</v>
      </c>
      <c r="AC8" s="1570">
        <f t="shared" ref="AC8:AC46" si="5">D8/J8</f>
        <v>1</v>
      </c>
    </row>
    <row r="9" spans="1:29" s="1219" customFormat="1" ht="15">
      <c r="A9" s="2891"/>
      <c r="B9" s="2898" t="s">
        <v>2756</v>
      </c>
      <c r="C9" s="3194" t="s">
        <v>3088</v>
      </c>
      <c r="D9" s="254">
        <v>100</v>
      </c>
      <c r="E9" s="3203" t="s">
        <v>3088</v>
      </c>
      <c r="F9" s="254">
        <f>SUMIF(63:63,E9,64:64)-SUMIF(63:63,C9,64:64)+100</f>
        <v>100</v>
      </c>
      <c r="G9" s="3204" t="s">
        <v>3088</v>
      </c>
      <c r="H9" s="254">
        <f>SUMIF(63:63,G9,64:64)-SUMIF(63:63,C9,64:64)+100</f>
        <v>100</v>
      </c>
      <c r="I9" s="3204" t="s">
        <v>3088</v>
      </c>
      <c r="J9" s="254">
        <f>SUMIF(63:63,I9,64:64)-SUMIF(63:63,C9,64:64)+100</f>
        <v>100</v>
      </c>
      <c r="K9" s="524"/>
      <c r="L9" s="2134"/>
      <c r="M9" s="2135"/>
      <c r="N9" s="2135"/>
      <c r="O9" s="2136"/>
      <c r="P9" s="3576" t="s">
        <v>534</v>
      </c>
      <c r="Q9" s="1150" t="str">
        <f t="shared" ref="Q9:Q15" si="6">B9</f>
        <v>用途</v>
      </c>
      <c r="R9" s="1567" t="s">
        <v>8</v>
      </c>
      <c r="S9" s="1568">
        <f t="shared" si="0"/>
        <v>100</v>
      </c>
      <c r="T9" s="1567" t="s">
        <v>8</v>
      </c>
      <c r="U9" s="1568">
        <f t="shared" si="1"/>
        <v>100</v>
      </c>
      <c r="V9" s="1567" t="s">
        <v>8</v>
      </c>
      <c r="W9" s="1568">
        <f t="shared" si="2"/>
        <v>100</v>
      </c>
      <c r="X9" s="1569"/>
      <c r="Y9" s="3440"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3090</v>
      </c>
      <c r="D10" s="255">
        <v>100</v>
      </c>
      <c r="E10" s="861" t="s">
        <v>3090</v>
      </c>
      <c r="F10" s="255">
        <f>SUMIF(65:65,E10,66:66)-SUMIF(65:65,C10,66:66)+100</f>
        <v>100</v>
      </c>
      <c r="G10" s="862" t="s">
        <v>3090</v>
      </c>
      <c r="H10" s="255">
        <f>SUMIF(65:65,G10,66:66)-SUMIF(65:65,C10,66:66)+100</f>
        <v>100</v>
      </c>
      <c r="I10" s="861" t="s">
        <v>3089</v>
      </c>
      <c r="J10" s="255">
        <f>SUMIF(65:65,I10,66:66)-SUMIF(65:65,C10,66:66)+100</f>
        <v>100.25</v>
      </c>
      <c r="K10" s="584">
        <v>0.25</v>
      </c>
      <c r="L10" s="2137"/>
      <c r="M10" s="2177"/>
      <c r="N10" s="2177"/>
      <c r="O10" s="2138"/>
      <c r="P10" s="3576"/>
      <c r="Q10" s="1150" t="str">
        <f t="shared" si="6"/>
        <v>土地使用年限（年）</v>
      </c>
      <c r="R10" s="1567" t="s">
        <v>8</v>
      </c>
      <c r="S10" s="1568">
        <f t="shared" si="0"/>
        <v>100</v>
      </c>
      <c r="T10" s="1567" t="s">
        <v>8</v>
      </c>
      <c r="U10" s="1568">
        <f t="shared" si="1"/>
        <v>100</v>
      </c>
      <c r="V10" s="1567" t="s">
        <v>8</v>
      </c>
      <c r="W10" s="1568">
        <f t="shared" si="2"/>
        <v>100.25</v>
      </c>
      <c r="X10" s="1569"/>
      <c r="Y10" s="3440"/>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76"/>
      <c r="Q11" s="1150" t="str">
        <f t="shared" si="6"/>
        <v>容积率</v>
      </c>
      <c r="R11" s="1567" t="s">
        <v>8</v>
      </c>
      <c r="S11" s="1568">
        <f t="shared" si="0"/>
        <v>100</v>
      </c>
      <c r="T11" s="1567" t="s">
        <v>8</v>
      </c>
      <c r="U11" s="1568">
        <f t="shared" si="1"/>
        <v>100</v>
      </c>
      <c r="V11" s="1567" t="s">
        <v>8</v>
      </c>
      <c r="W11" s="1568">
        <f t="shared" si="2"/>
        <v>100</v>
      </c>
      <c r="X11" s="1569"/>
      <c r="Y11" s="3440"/>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76"/>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76"/>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76"/>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610" t="s">
        <v>539</v>
      </c>
      <c r="Q15" s="1571" t="str">
        <f t="shared" si="6"/>
        <v>商业繁华度</v>
      </c>
      <c r="R15" s="1572" t="s">
        <v>8</v>
      </c>
      <c r="S15" s="1573">
        <f t="shared" si="0"/>
        <v>100</v>
      </c>
      <c r="T15" s="1572" t="s">
        <v>8</v>
      </c>
      <c r="U15" s="1573">
        <f t="shared" si="1"/>
        <v>100</v>
      </c>
      <c r="V15" s="1572" t="s">
        <v>8</v>
      </c>
      <c r="W15" s="1573">
        <f t="shared" si="2"/>
        <v>100</v>
      </c>
      <c r="X15" s="1566"/>
      <c r="Y15" s="3610"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611"/>
      <c r="Q16" s="1571"/>
      <c r="R16" s="1572"/>
      <c r="S16" s="1573"/>
      <c r="T16" s="1572"/>
      <c r="U16" s="1573"/>
      <c r="V16" s="1572"/>
      <c r="W16" s="1573"/>
      <c r="X16" s="1566"/>
      <c r="Y16" s="3611"/>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611"/>
      <c r="Q17" s="1571" t="str">
        <f>B17</f>
        <v>交通便捷度</v>
      </c>
      <c r="R17" s="1572" t="s">
        <v>8</v>
      </c>
      <c r="S17" s="1573">
        <f>F17</f>
        <v>99</v>
      </c>
      <c r="T17" s="1572" t="s">
        <v>8</v>
      </c>
      <c r="U17" s="1573">
        <f>H17</f>
        <v>99</v>
      </c>
      <c r="V17" s="1572" t="s">
        <v>8</v>
      </c>
      <c r="W17" s="1573">
        <f>J17</f>
        <v>99</v>
      </c>
      <c r="X17" s="1566"/>
      <c r="Y17" s="3611"/>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611"/>
      <c r="Q18" s="1571"/>
      <c r="R18" s="1572"/>
      <c r="S18" s="1573"/>
      <c r="T18" s="1572"/>
      <c r="U18" s="1573"/>
      <c r="V18" s="1572"/>
      <c r="W18" s="1573"/>
      <c r="X18" s="1566"/>
      <c r="Y18" s="3611"/>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611"/>
      <c r="Q19" s="1571" t="str">
        <f>B19</f>
        <v>公共配套设施</v>
      </c>
      <c r="R19" s="1572" t="s">
        <v>8</v>
      </c>
      <c r="S19" s="1573">
        <f>F19</f>
        <v>100</v>
      </c>
      <c r="T19" s="1572" t="s">
        <v>8</v>
      </c>
      <c r="U19" s="1573">
        <f>H19</f>
        <v>100</v>
      </c>
      <c r="V19" s="1572" t="s">
        <v>8</v>
      </c>
      <c r="W19" s="1573">
        <f>J19</f>
        <v>100</v>
      </c>
      <c r="X19" s="1566"/>
      <c r="Y19" s="3611"/>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611"/>
      <c r="Q20" s="1571"/>
      <c r="R20" s="1572"/>
      <c r="S20" s="1573"/>
      <c r="T20" s="1572"/>
      <c r="U20" s="1573"/>
      <c r="V20" s="1572"/>
      <c r="W20" s="1573"/>
      <c r="X20" s="1566"/>
      <c r="Y20" s="3611"/>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611"/>
      <c r="Q21" s="2557" t="str">
        <f>B21</f>
        <v>基础设施水平</v>
      </c>
      <c r="R21" s="1572" t="s">
        <v>8</v>
      </c>
      <c r="S21" s="1573">
        <f>F21</f>
        <v>100</v>
      </c>
      <c r="T21" s="1572" t="s">
        <v>8</v>
      </c>
      <c r="U21" s="1573">
        <f>H21</f>
        <v>100</v>
      </c>
      <c r="V21" s="1572" t="s">
        <v>8</v>
      </c>
      <c r="W21" s="1573">
        <f>J21</f>
        <v>100</v>
      </c>
      <c r="X21" s="2559"/>
      <c r="Y21" s="3611"/>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611"/>
      <c r="Q22" s="2557"/>
      <c r="R22" s="1572"/>
      <c r="S22" s="1573"/>
      <c r="T22" s="1572"/>
      <c r="U22" s="1573"/>
      <c r="V22" s="1572"/>
      <c r="W22" s="1573"/>
      <c r="X22" s="2559"/>
      <c r="Y22" s="3611"/>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611"/>
      <c r="Q23" s="1571" t="str">
        <f>B23</f>
        <v>自然及人文环境</v>
      </c>
      <c r="R23" s="1572" t="s">
        <v>8</v>
      </c>
      <c r="S23" s="1573">
        <f>F23</f>
        <v>100</v>
      </c>
      <c r="T23" s="1572" t="s">
        <v>8</v>
      </c>
      <c r="U23" s="1573">
        <f>H23</f>
        <v>100</v>
      </c>
      <c r="V23" s="1572" t="s">
        <v>8</v>
      </c>
      <c r="W23" s="1573">
        <f>J23</f>
        <v>100</v>
      </c>
      <c r="X23" s="1566"/>
      <c r="Y23" s="3611"/>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611"/>
      <c r="Q24" s="1571"/>
      <c r="R24" s="1572"/>
      <c r="S24" s="1573"/>
      <c r="T24" s="1572"/>
      <c r="U24" s="1573"/>
      <c r="V24" s="1572"/>
      <c r="W24" s="1573"/>
      <c r="X24" s="1566"/>
      <c r="Y24" s="3611"/>
      <c r="Z24" s="1574"/>
      <c r="AA24" s="1575">
        <v>1</v>
      </c>
      <c r="AB24" s="1575">
        <v>1</v>
      </c>
      <c r="AC24" s="1575">
        <v>1</v>
      </c>
    </row>
    <row r="25" spans="1:29" ht="15">
      <c r="A25" s="532"/>
      <c r="B25" s="527" t="s">
        <v>546</v>
      </c>
      <c r="C25" s="583" t="s">
        <v>3094</v>
      </c>
      <c r="D25" s="540">
        <v>100</v>
      </c>
      <c r="E25" s="583" t="s">
        <v>3094</v>
      </c>
      <c r="F25" s="575">
        <f>SUMIF(86:86,E25,87:87)-SUMIF(86:86,C25,87:87)+100</f>
        <v>100</v>
      </c>
      <c r="G25" s="583" t="s">
        <v>3094</v>
      </c>
      <c r="H25" s="540">
        <f>SUMIF(86:86,G25,87:87)-SUMIF(86:86,C25,87:87)+100</f>
        <v>100</v>
      </c>
      <c r="I25" s="583" t="s">
        <v>3094</v>
      </c>
      <c r="J25" s="540">
        <f>SUMIF(86:86,I25,87:87)-SUMIF(86:86,C25,87:87)+100</f>
        <v>100</v>
      </c>
      <c r="K25" s="584">
        <v>1</v>
      </c>
      <c r="L25" s="2141"/>
      <c r="M25" s="2133"/>
      <c r="N25" s="2133"/>
      <c r="O25" s="2140"/>
      <c r="P25" s="3611"/>
      <c r="Q25" s="1571" t="str">
        <f t="shared" ref="Q25:Q46" si="11">B25</f>
        <v>临街状况</v>
      </c>
      <c r="R25" s="1572" t="s">
        <v>8</v>
      </c>
      <c r="S25" s="1573">
        <f>F25</f>
        <v>100</v>
      </c>
      <c r="T25" s="1572" t="s">
        <v>8</v>
      </c>
      <c r="U25" s="1573">
        <f>H25</f>
        <v>100</v>
      </c>
      <c r="V25" s="1572" t="s">
        <v>8</v>
      </c>
      <c r="W25" s="1573">
        <f>J25</f>
        <v>100</v>
      </c>
      <c r="X25" s="1566"/>
      <c r="Y25" s="3611"/>
      <c r="Z25" s="1574" t="str">
        <f>Q25</f>
        <v>临街状况</v>
      </c>
      <c r="AA25" s="1575">
        <f t="shared" si="3"/>
        <v>1</v>
      </c>
      <c r="AB25" s="1575">
        <f t="shared" si="4"/>
        <v>1</v>
      </c>
      <c r="AC25" s="1575">
        <f t="shared" si="5"/>
        <v>1</v>
      </c>
    </row>
    <row r="26" spans="1:29" ht="15">
      <c r="A26" s="532"/>
      <c r="B26" s="877" t="s">
        <v>757</v>
      </c>
      <c r="C26" s="3205" t="s">
        <v>3096</v>
      </c>
      <c r="D26" s="540">
        <v>100</v>
      </c>
      <c r="E26" s="3205" t="s">
        <v>3096</v>
      </c>
      <c r="F26" s="575">
        <f>SUMIF(88:88,E26,89:89)-SUMIF(88:88,C26,89:89)+100</f>
        <v>100</v>
      </c>
      <c r="G26" s="3205" t="s">
        <v>3096</v>
      </c>
      <c r="H26" s="540">
        <f>SUMIF(88:88,G26,89:89)-SUMIF(88:88,C26,89:89)+100</f>
        <v>100</v>
      </c>
      <c r="I26" s="3205" t="s">
        <v>3096</v>
      </c>
      <c r="J26" s="540">
        <f>SUMIF(88:88,I26,89:89)-SUMIF(88:88,C26,89:89)+100</f>
        <v>100</v>
      </c>
      <c r="K26" s="581"/>
      <c r="L26" s="2141"/>
      <c r="M26" s="2133"/>
      <c r="N26" s="2133"/>
      <c r="O26" s="2140"/>
      <c r="P26" s="3611"/>
      <c r="Q26" s="1571" t="str">
        <f t="shared" si="11"/>
        <v>平面位置/可视性</v>
      </c>
      <c r="R26" s="1572" t="s">
        <v>8</v>
      </c>
      <c r="S26" s="1573">
        <f>F26</f>
        <v>100</v>
      </c>
      <c r="T26" s="1572" t="s">
        <v>8</v>
      </c>
      <c r="U26" s="1573">
        <f>H26</f>
        <v>100</v>
      </c>
      <c r="V26" s="1572" t="s">
        <v>8</v>
      </c>
      <c r="W26" s="1573">
        <f>J26</f>
        <v>100</v>
      </c>
      <c r="X26" s="1566"/>
      <c r="Y26" s="3611"/>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611"/>
      <c r="Q27" s="1150" t="str">
        <f t="shared" si="11"/>
        <v>人流量</v>
      </c>
      <c r="R27" s="1567" t="s">
        <v>8</v>
      </c>
      <c r="S27" s="1568">
        <f>F27</f>
        <v>100</v>
      </c>
      <c r="T27" s="1567" t="s">
        <v>8</v>
      </c>
      <c r="U27" s="1568">
        <f>H27</f>
        <v>100</v>
      </c>
      <c r="V27" s="1567" t="s">
        <v>8</v>
      </c>
      <c r="W27" s="1568">
        <f>J27</f>
        <v>100</v>
      </c>
      <c r="X27" s="1569"/>
      <c r="Y27" s="3611"/>
      <c r="Z27" s="1149" t="str">
        <f>Q27</f>
        <v>人流量</v>
      </c>
      <c r="AA27" s="1575">
        <f>D27/F27</f>
        <v>1</v>
      </c>
      <c r="AB27" s="1575">
        <f>D27/H27</f>
        <v>1</v>
      </c>
      <c r="AC27" s="1575">
        <f>D27/J27</f>
        <v>1</v>
      </c>
    </row>
    <row r="28" spans="1:29" ht="15">
      <c r="A28" s="532"/>
      <c r="B28" s="527" t="s">
        <v>760</v>
      </c>
      <c r="C28" s="583" t="s">
        <v>3101</v>
      </c>
      <c r="D28" s="540">
        <v>100</v>
      </c>
      <c r="E28" s="583" t="s">
        <v>3101</v>
      </c>
      <c r="F28" s="575">
        <f>SUMIF(92:92,E28,93:93)-SUMIF(92:92,C28,93:93)+100</f>
        <v>100</v>
      </c>
      <c r="G28" s="583" t="s">
        <v>3101</v>
      </c>
      <c r="H28" s="540">
        <f>SUMIF(92:92,G28,93:93)-SUMIF(92:92,C28,93:93)+100</f>
        <v>100</v>
      </c>
      <c r="I28" s="583" t="s">
        <v>3101</v>
      </c>
      <c r="J28" s="540">
        <f>SUMIF(92:92,I28,93:93)-SUMIF(92:92,C28,93:93)+100</f>
        <v>100</v>
      </c>
      <c r="K28" s="581"/>
      <c r="L28" s="2141"/>
      <c r="M28" s="2133"/>
      <c r="N28" s="2133"/>
      <c r="O28" s="2140"/>
      <c r="P28" s="36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611"/>
      <c r="Z28" s="1574" t="str">
        <f t="shared" ref="Z28:Z46" si="15">Q28</f>
        <v>楼层</v>
      </c>
      <c r="AA28" s="1575">
        <f t="shared" si="3"/>
        <v>1</v>
      </c>
      <c r="AB28" s="1575">
        <f t="shared" si="4"/>
        <v>1</v>
      </c>
      <c r="AC28" s="1575">
        <f t="shared" si="5"/>
        <v>1</v>
      </c>
    </row>
    <row r="29" spans="1:29" ht="27.75" thickBot="1">
      <c r="A29" s="532"/>
      <c r="B29" s="3198" t="s">
        <v>3116</v>
      </c>
      <c r="C29" s="3207" t="s">
        <v>3038</v>
      </c>
      <c r="D29" s="540">
        <v>100</v>
      </c>
      <c r="E29" s="3205" t="s">
        <v>3091</v>
      </c>
      <c r="F29" s="575">
        <f>SUMIF(94:94,E29,95:95)-SUMIF(94:94,C29,95:95)+100</f>
        <v>98</v>
      </c>
      <c r="G29" s="3205" t="s">
        <v>3091</v>
      </c>
      <c r="H29" s="540">
        <f>SUMIF(94:94,G29,95:95)-SUMIF(94:94,C29,95:95)+100</f>
        <v>98</v>
      </c>
      <c r="I29" s="3205" t="s">
        <v>3151</v>
      </c>
      <c r="J29" s="540">
        <f>SUMIF(94:94,I29,95:95)-SUMIF(94:94,C29,95:95)+100</f>
        <v>98</v>
      </c>
      <c r="K29" s="581"/>
      <c r="L29" s="2141"/>
      <c r="M29" s="2133"/>
      <c r="N29" s="2133"/>
      <c r="O29" s="2140"/>
      <c r="P29" s="3611"/>
      <c r="Q29" s="1571" t="str">
        <f t="shared" si="11"/>
        <v>临路状况</v>
      </c>
      <c r="R29" s="1572" t="s">
        <v>8</v>
      </c>
      <c r="S29" s="1573">
        <f t="shared" si="12"/>
        <v>98</v>
      </c>
      <c r="T29" s="1572" t="s">
        <v>8</v>
      </c>
      <c r="U29" s="1573">
        <f t="shared" si="13"/>
        <v>98</v>
      </c>
      <c r="V29" s="1572" t="s">
        <v>8</v>
      </c>
      <c r="W29" s="1573">
        <f t="shared" si="14"/>
        <v>98</v>
      </c>
      <c r="X29" s="1566"/>
      <c r="Y29" s="3611"/>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611"/>
      <c r="Q30" s="1571">
        <f t="shared" si="11"/>
        <v>111</v>
      </c>
      <c r="R30" s="1572" t="s">
        <v>8</v>
      </c>
      <c r="S30" s="1573">
        <f t="shared" si="12"/>
        <v>100</v>
      </c>
      <c r="T30" s="1572" t="s">
        <v>8</v>
      </c>
      <c r="U30" s="1573">
        <f t="shared" si="13"/>
        <v>100</v>
      </c>
      <c r="V30" s="1572" t="s">
        <v>8</v>
      </c>
      <c r="W30" s="1573">
        <f t="shared" si="14"/>
        <v>100</v>
      </c>
      <c r="X30" s="1566"/>
      <c r="Y30" s="3611"/>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611"/>
      <c r="Q31" s="1571">
        <f t="shared" si="11"/>
        <v>111</v>
      </c>
      <c r="R31" s="1572" t="s">
        <v>8</v>
      </c>
      <c r="S31" s="1573">
        <f t="shared" si="12"/>
        <v>100</v>
      </c>
      <c r="T31" s="1572" t="s">
        <v>8</v>
      </c>
      <c r="U31" s="1573">
        <f t="shared" si="13"/>
        <v>100</v>
      </c>
      <c r="V31" s="1572" t="s">
        <v>8</v>
      </c>
      <c r="W31" s="1573">
        <f t="shared" si="14"/>
        <v>100</v>
      </c>
      <c r="X31" s="1566"/>
      <c r="Y31" s="3611"/>
      <c r="Z31" s="1574">
        <f t="shared" si="15"/>
        <v>111</v>
      </c>
      <c r="AA31" s="1575">
        <f t="shared" si="3"/>
        <v>1</v>
      </c>
      <c r="AB31" s="1575">
        <f t="shared" si="4"/>
        <v>1</v>
      </c>
      <c r="AC31" s="1575">
        <f t="shared" si="5"/>
        <v>1</v>
      </c>
    </row>
    <row r="32" spans="1:29" ht="15">
      <c r="A32" s="2884" t="s">
        <v>2755</v>
      </c>
      <c r="B32" s="172" t="s">
        <v>761</v>
      </c>
      <c r="C32" s="878" t="s">
        <v>3107</v>
      </c>
      <c r="D32" s="597">
        <v>100</v>
      </c>
      <c r="E32" s="878" t="s">
        <v>3103</v>
      </c>
      <c r="F32" s="575">
        <f>SUMIF(100:100,E32,101:101)-SUMIF(100:100,C32,101:101)+100</f>
        <v>98</v>
      </c>
      <c r="G32" s="878" t="s">
        <v>3103</v>
      </c>
      <c r="H32" s="540">
        <f>SUMIF(100:100,G32,101:101)-SUMIF(100:100,C32,101:101)+100</f>
        <v>98</v>
      </c>
      <c r="I32" s="878" t="s">
        <v>3105</v>
      </c>
      <c r="J32" s="597">
        <f>SUMIF(100:100,I32,101:101)-SUMIF(100:100,C32,101:101)+100</f>
        <v>99</v>
      </c>
      <c r="K32" s="584">
        <v>1</v>
      </c>
      <c r="L32" s="2141"/>
      <c r="M32" s="2133"/>
      <c r="N32" s="2133"/>
      <c r="O32" s="2140"/>
      <c r="P32" s="3612" t="s">
        <v>549</v>
      </c>
      <c r="Q32" s="1571" t="str">
        <f t="shared" si="11"/>
        <v>商业类型</v>
      </c>
      <c r="R32" s="1572" t="s">
        <v>8</v>
      </c>
      <c r="S32" s="1573">
        <f t="shared" si="12"/>
        <v>98</v>
      </c>
      <c r="T32" s="1572" t="s">
        <v>8</v>
      </c>
      <c r="U32" s="1573">
        <f t="shared" si="13"/>
        <v>98</v>
      </c>
      <c r="V32" s="1572" t="s">
        <v>8</v>
      </c>
      <c r="W32" s="1573">
        <f t="shared" si="14"/>
        <v>99</v>
      </c>
      <c r="X32" s="1566"/>
      <c r="Y32" s="3613"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613"/>
      <c r="Q33" s="1604" t="str">
        <f t="shared" si="11"/>
        <v>项目建筑规模</v>
      </c>
      <c r="R33" s="1576" t="s">
        <v>8</v>
      </c>
      <c r="S33" s="1577">
        <f t="shared" si="12"/>
        <v>101.5</v>
      </c>
      <c r="T33" s="1576" t="s">
        <v>8</v>
      </c>
      <c r="U33" s="1577">
        <f t="shared" si="13"/>
        <v>102</v>
      </c>
      <c r="V33" s="1576" t="s">
        <v>8</v>
      </c>
      <c r="W33" s="1577">
        <f t="shared" si="14"/>
        <v>102</v>
      </c>
      <c r="X33" s="1578"/>
      <c r="Y33" s="3613"/>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613"/>
      <c r="Q34" s="1571" t="str">
        <f t="shared" si="11"/>
        <v>建筑结构</v>
      </c>
      <c r="R34" s="1572" t="s">
        <v>8</v>
      </c>
      <c r="S34" s="1573">
        <f t="shared" si="12"/>
        <v>100</v>
      </c>
      <c r="T34" s="1572" t="s">
        <v>8</v>
      </c>
      <c r="U34" s="1573">
        <f t="shared" si="13"/>
        <v>100</v>
      </c>
      <c r="V34" s="1572" t="s">
        <v>8</v>
      </c>
      <c r="W34" s="1573">
        <f t="shared" si="14"/>
        <v>100</v>
      </c>
      <c r="X34" s="1566"/>
      <c r="Y34" s="3613"/>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613"/>
      <c r="Q35" s="1571" t="str">
        <f t="shared" si="11"/>
        <v>公共部分装修</v>
      </c>
      <c r="R35" s="1572" t="s">
        <v>8</v>
      </c>
      <c r="S35" s="1573">
        <f t="shared" si="12"/>
        <v>100</v>
      </c>
      <c r="T35" s="1572" t="s">
        <v>8</v>
      </c>
      <c r="U35" s="1573">
        <f t="shared" si="13"/>
        <v>100</v>
      </c>
      <c r="V35" s="1572" t="s">
        <v>8</v>
      </c>
      <c r="W35" s="1573">
        <f t="shared" si="14"/>
        <v>100</v>
      </c>
      <c r="X35" s="1566"/>
      <c r="Y35" s="3613"/>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613"/>
      <c r="Q36" s="1571" t="str">
        <f t="shared" si="11"/>
        <v>成新度</v>
      </c>
      <c r="R36" s="1572" t="s">
        <v>8</v>
      </c>
      <c r="S36" s="1573">
        <f t="shared" si="12"/>
        <v>100</v>
      </c>
      <c r="T36" s="1572" t="s">
        <v>8</v>
      </c>
      <c r="U36" s="1573">
        <f t="shared" si="13"/>
        <v>100</v>
      </c>
      <c r="V36" s="1572" t="s">
        <v>8</v>
      </c>
      <c r="W36" s="1573">
        <f t="shared" si="14"/>
        <v>100</v>
      </c>
      <c r="X36" s="1566"/>
      <c r="Y36" s="3613"/>
      <c r="Z36" s="1574" t="str">
        <f t="shared" si="15"/>
        <v>成新度</v>
      </c>
      <c r="AA36" s="1575">
        <f t="shared" si="3"/>
        <v>1</v>
      </c>
      <c r="AB36" s="1575">
        <f t="shared" si="4"/>
        <v>1</v>
      </c>
      <c r="AC36" s="1575">
        <f t="shared" si="5"/>
        <v>1</v>
      </c>
    </row>
    <row r="37" spans="1:29" s="1219" customFormat="1" ht="15">
      <c r="A37" s="600"/>
      <c r="B37" s="1894" t="s">
        <v>2565</v>
      </c>
      <c r="C37" s="599" t="s">
        <v>3113</v>
      </c>
      <c r="D37" s="255">
        <v>100</v>
      </c>
      <c r="E37" s="599" t="s">
        <v>3113</v>
      </c>
      <c r="F37" s="575">
        <f>SUMIF(112:112,E37,113:113)-SUMIF(112:112,C37,113:113)+100</f>
        <v>100</v>
      </c>
      <c r="G37" s="599" t="s">
        <v>3113</v>
      </c>
      <c r="H37" s="540">
        <f>SUMIF(112:112,G37,113:113)-SUMIF(112:112,C37,113:113)+100</f>
        <v>100</v>
      </c>
      <c r="I37" s="599" t="s">
        <v>3113</v>
      </c>
      <c r="J37" s="540">
        <f>SUMIF(112:112,I37,113:113)-SUMIF(112:112,C37,113:113)+100</f>
        <v>100</v>
      </c>
      <c r="K37" s="584"/>
      <c r="L37" s="2134"/>
      <c r="M37" s="2135"/>
      <c r="N37" s="2135"/>
      <c r="O37" s="2136"/>
      <c r="P37" s="3613"/>
      <c r="Q37" s="1150" t="str">
        <f t="shared" si="11"/>
        <v>市政基础设施</v>
      </c>
      <c r="R37" s="1567" t="s">
        <v>8</v>
      </c>
      <c r="S37" s="1568">
        <f t="shared" si="12"/>
        <v>100</v>
      </c>
      <c r="T37" s="1567" t="s">
        <v>8</v>
      </c>
      <c r="U37" s="1568">
        <f t="shared" si="13"/>
        <v>100</v>
      </c>
      <c r="V37" s="1567" t="s">
        <v>8</v>
      </c>
      <c r="W37" s="1568">
        <f t="shared" si="14"/>
        <v>100</v>
      </c>
      <c r="X37" s="1569"/>
      <c r="Y37" s="3613"/>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613" t="s">
        <v>765</v>
      </c>
      <c r="Q38" s="1571" t="str">
        <f t="shared" si="11"/>
        <v>业态</v>
      </c>
      <c r="R38" s="1572" t="s">
        <v>8</v>
      </c>
      <c r="S38" s="1573">
        <f t="shared" si="12"/>
        <v>100</v>
      </c>
      <c r="T38" s="1572" t="s">
        <v>8</v>
      </c>
      <c r="U38" s="1573">
        <f t="shared" si="13"/>
        <v>100</v>
      </c>
      <c r="V38" s="1572" t="s">
        <v>8</v>
      </c>
      <c r="W38" s="1573">
        <f t="shared" si="14"/>
        <v>100</v>
      </c>
      <c r="X38" s="1566"/>
      <c r="Y38" s="3613"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13"/>
      <c r="Q39" s="1571" t="str">
        <f t="shared" si="11"/>
        <v>层高</v>
      </c>
      <c r="R39" s="1572" t="s">
        <v>8</v>
      </c>
      <c r="S39" s="1573">
        <f t="shared" si="12"/>
        <v>100</v>
      </c>
      <c r="T39" s="1572" t="s">
        <v>8</v>
      </c>
      <c r="U39" s="1573">
        <f t="shared" si="13"/>
        <v>100</v>
      </c>
      <c r="V39" s="1572" t="s">
        <v>8</v>
      </c>
      <c r="W39" s="1573">
        <f t="shared" si="14"/>
        <v>100</v>
      </c>
      <c r="X39" s="1566"/>
      <c r="Y39" s="3613"/>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613"/>
      <c r="Q40" s="1571" t="str">
        <f t="shared" si="11"/>
        <v>单套建筑面积</v>
      </c>
      <c r="R40" s="1572" t="s">
        <v>8</v>
      </c>
      <c r="S40" s="1573">
        <f t="shared" si="12"/>
        <v>100</v>
      </c>
      <c r="T40" s="1572" t="s">
        <v>8</v>
      </c>
      <c r="U40" s="1573">
        <f t="shared" si="13"/>
        <v>100</v>
      </c>
      <c r="V40" s="1572" t="s">
        <v>8</v>
      </c>
      <c r="W40" s="1573">
        <f t="shared" si="14"/>
        <v>100</v>
      </c>
      <c r="X40" s="1566"/>
      <c r="Y40" s="3613"/>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613"/>
      <c r="Q41" s="1604" t="str">
        <f t="shared" si="11"/>
        <v>进深比</v>
      </c>
      <c r="R41" s="1576" t="s">
        <v>8</v>
      </c>
      <c r="S41" s="1577">
        <f t="shared" si="12"/>
        <v>100</v>
      </c>
      <c r="T41" s="1576" t="s">
        <v>8</v>
      </c>
      <c r="U41" s="1577">
        <f t="shared" si="13"/>
        <v>100</v>
      </c>
      <c r="V41" s="1576" t="s">
        <v>8</v>
      </c>
      <c r="W41" s="1577">
        <f t="shared" si="14"/>
        <v>100</v>
      </c>
      <c r="X41" s="1578"/>
      <c r="Y41" s="3613"/>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613"/>
      <c r="Q42" s="1571" t="str">
        <f t="shared" si="11"/>
        <v>内部装修</v>
      </c>
      <c r="R42" s="1572" t="s">
        <v>8</v>
      </c>
      <c r="S42" s="1573">
        <f t="shared" si="12"/>
        <v>100</v>
      </c>
      <c r="T42" s="1572" t="s">
        <v>8</v>
      </c>
      <c r="U42" s="1573">
        <f t="shared" si="13"/>
        <v>100</v>
      </c>
      <c r="V42" s="1572" t="s">
        <v>8</v>
      </c>
      <c r="W42" s="1573">
        <f t="shared" si="14"/>
        <v>100</v>
      </c>
      <c r="X42" s="1566"/>
      <c r="Y42" s="3613"/>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613"/>
      <c r="Q43" s="1571" t="str">
        <f t="shared" si="11"/>
        <v>内部装修维护情况</v>
      </c>
      <c r="R43" s="1572" t="s">
        <v>8</v>
      </c>
      <c r="S43" s="1573">
        <f t="shared" si="12"/>
        <v>100</v>
      </c>
      <c r="T43" s="1572" t="s">
        <v>8</v>
      </c>
      <c r="U43" s="1573">
        <f t="shared" si="13"/>
        <v>100</v>
      </c>
      <c r="V43" s="1572" t="s">
        <v>8</v>
      </c>
      <c r="W43" s="1573">
        <f t="shared" si="14"/>
        <v>100</v>
      </c>
      <c r="X43" s="1566"/>
      <c r="Y43" s="3613"/>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613"/>
      <c r="Q44" s="1150">
        <f t="shared" si="11"/>
        <v>111</v>
      </c>
      <c r="R44" s="1567" t="s">
        <v>8</v>
      </c>
      <c r="S44" s="1568">
        <f t="shared" si="12"/>
        <v>100</v>
      </c>
      <c r="T44" s="1567" t="s">
        <v>8</v>
      </c>
      <c r="U44" s="1568">
        <f t="shared" si="13"/>
        <v>100</v>
      </c>
      <c r="V44" s="1567" t="s">
        <v>8</v>
      </c>
      <c r="W44" s="1568">
        <f t="shared" si="14"/>
        <v>100</v>
      </c>
      <c r="X44" s="1569"/>
      <c r="Y44" s="3613"/>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613"/>
      <c r="Q45" s="1571">
        <f t="shared" si="11"/>
        <v>111</v>
      </c>
      <c r="R45" s="1572" t="s">
        <v>8</v>
      </c>
      <c r="S45" s="1573">
        <f t="shared" si="12"/>
        <v>100</v>
      </c>
      <c r="T45" s="1572" t="s">
        <v>8</v>
      </c>
      <c r="U45" s="1573">
        <f t="shared" si="13"/>
        <v>100</v>
      </c>
      <c r="V45" s="1572" t="s">
        <v>8</v>
      </c>
      <c r="W45" s="1573">
        <f t="shared" si="14"/>
        <v>100</v>
      </c>
      <c r="X45" s="1566"/>
      <c r="Y45" s="3613"/>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75"/>
      <c r="Q46" s="1571">
        <f t="shared" si="11"/>
        <v>111</v>
      </c>
      <c r="R46" s="1572" t="s">
        <v>8</v>
      </c>
      <c r="S46" s="1573">
        <f t="shared" si="12"/>
        <v>100</v>
      </c>
      <c r="T46" s="1572" t="s">
        <v>8</v>
      </c>
      <c r="U46" s="1573">
        <f t="shared" si="13"/>
        <v>100</v>
      </c>
      <c r="V46" s="1572" t="s">
        <v>8</v>
      </c>
      <c r="W46" s="1573">
        <f t="shared" si="14"/>
        <v>100</v>
      </c>
      <c r="X46" s="1566"/>
      <c r="Y46" s="3675"/>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76" t="str">
        <f>A47</f>
        <v>成交单价（元/平方米）</v>
      </c>
      <c r="Q47" s="3576"/>
      <c r="R47" s="3674">
        <f>E47</f>
        <v>30000</v>
      </c>
      <c r="S47" s="3674"/>
      <c r="T47" s="3674">
        <f>G47</f>
        <v>31250</v>
      </c>
      <c r="U47" s="3674"/>
      <c r="V47" s="3674">
        <f>I47</f>
        <v>29958</v>
      </c>
      <c r="W47" s="3674"/>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76" t="str">
        <f>A48</f>
        <v>比较价格（元/平方米）</v>
      </c>
      <c r="Q48" s="3576"/>
      <c r="R48" s="3674">
        <f>IF(F1="售价",ROUND(PRODUCT(R47,AA7:AA46),0),ROUND(PRODUCT(R47,AA7:AA46),1))</f>
        <v>31086</v>
      </c>
      <c r="S48" s="3674"/>
      <c r="T48" s="3674">
        <f>IF(F1="售价",ROUND(PRODUCT(T47,AB7:AB46),0),ROUND(PRODUCT(T47,AB7:AB46),1))</f>
        <v>32223</v>
      </c>
      <c r="U48" s="3674"/>
      <c r="V48" s="3674">
        <f>IF(F1="售价",ROUND(PRODUCT(V47,AC7:AC46),0),ROUND(PRODUCT(V47,AC7:AC46),1))</f>
        <v>30502</v>
      </c>
      <c r="W48" s="3674"/>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73" t="str">
        <f>A49</f>
        <v>估价对象XX用房的比较价格（楼面单价，元/平方米）</v>
      </c>
      <c r="Q49" s="3574"/>
      <c r="R49" s="3673">
        <f>IF(F1="售价",ROUND(AVERAGE(R48:V48),0),ROUND(AVERAGE(R48:V48),1))</f>
        <v>31270</v>
      </c>
      <c r="S49" s="3673"/>
      <c r="T49" s="3673"/>
      <c r="U49" s="3673"/>
      <c r="V49" s="3673"/>
      <c r="W49" s="367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3095</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3097</v>
      </c>
      <c r="D90" s="3196" t="s">
        <v>3098</v>
      </c>
      <c r="E90" s="3196" t="s">
        <v>3096</v>
      </c>
      <c r="F90" s="3196" t="s">
        <v>3099</v>
      </c>
      <c r="G90" s="3196" t="s">
        <v>3100</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3102</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3091</v>
      </c>
      <c r="E94" s="3205" t="s">
        <v>3092</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3108</v>
      </c>
      <c r="D100" s="3199" t="s">
        <v>3106</v>
      </c>
      <c r="E100" s="3199" t="s">
        <v>3104</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3109</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3110</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3111</v>
      </c>
      <c r="D112" s="3196" t="s">
        <v>3112</v>
      </c>
      <c r="E112" s="3196" t="s">
        <v>3114</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3110</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zoomScale="110" zoomScaleNormal="110" workbookViewId="0">
      <selection activeCell="E29" sqref="E2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157943</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30595</v>
      </c>
      <c r="U2" s="2903"/>
      <c r="V2" s="2914">
        <f ca="1">ROUND(T2*U2/10000,0)</f>
        <v>0</v>
      </c>
      <c r="W2" s="2188"/>
      <c r="X2" s="2188"/>
      <c r="Y2" s="2188"/>
      <c r="Z2" s="2188"/>
      <c r="AA2" s="2188"/>
      <c r="AB2" s="2188"/>
      <c r="AC2" s="2189"/>
    </row>
    <row r="3" spans="1:39" ht="24">
      <c r="A3" s="1410" t="s">
        <v>1687</v>
      </c>
      <c r="B3" s="1037">
        <f ca="1">ROUND(B2*10000/D1,0)</f>
        <v>16519</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21961</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17718</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14216</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SUMIF(L1:L12,'基准地价-55住宅'!G2,M1:M12)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12106</v>
      </c>
      <c r="U6" s="2903"/>
      <c r="V6" s="2914">
        <f t="shared" ca="1" si="1"/>
        <v>0</v>
      </c>
      <c r="W6" s="2188"/>
      <c r="X6" s="2188"/>
      <c r="Y6" s="2188"/>
      <c r="Z6" s="2188"/>
      <c r="AA6" s="2188"/>
      <c r="AB6" s="2188"/>
      <c r="AC6" s="2190"/>
      <c r="AD6" s="1418"/>
      <c r="AE6" s="1418"/>
      <c r="AF6" s="1418"/>
      <c r="AG6" s="1418"/>
      <c r="AH6" s="1418"/>
      <c r="AI6" s="1418"/>
      <c r="AJ6" s="1419"/>
    </row>
    <row r="7" spans="1:39" ht="24">
      <c r="A7" s="3687"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10646</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88"/>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79" t="s">
        <v>2782</v>
      </c>
      <c r="X8" s="3680"/>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88"/>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78"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88"/>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7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88"/>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78"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87"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78"/>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89"/>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78"/>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89"/>
      <c r="B14" s="1450"/>
      <c r="C14" s="3267" t="s">
        <v>3064</v>
      </c>
      <c r="D14" s="1452" t="s">
        <v>3064</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9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87"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88"/>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0.96350000000000002</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55.04</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1.0167999999999999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157943</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4942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18864</v>
      </c>
      <c r="D29" s="1503">
        <f>'数据-基础表'!I13</f>
        <v>83247.820000000007</v>
      </c>
      <c r="E29" s="1848">
        <f ca="1">ROUND(C29*D29/10000,0)</f>
        <v>157039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4716</v>
      </c>
      <c r="D30" s="1509">
        <v>10000</v>
      </c>
      <c r="E30" s="1848">
        <f ca="1">ROUND(C30*D30/10000,0)</f>
        <v>4716</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91" t="s">
        <v>2957</v>
      </c>
      <c r="B33" s="1523" t="s">
        <v>999</v>
      </c>
      <c r="C33" s="1062">
        <f ca="1">ROUND(D5*C19*C20*C24*F33,0)</f>
        <v>11496</v>
      </c>
      <c r="D33" s="1536"/>
      <c r="E33" s="1047">
        <f ca="1">ROUND(C33*D33/10000,0)</f>
        <v>0</v>
      </c>
      <c r="F33" s="1047">
        <f>SUMIF(修正!A45:A56,G2,修正!B45:B56)</f>
        <v>0.7</v>
      </c>
      <c r="G33" s="1047">
        <f t="shared" ref="G33" ca="1" si="6">ROUND(IF(E2="工业",C33*$M$39,C33*$M$38),0)</f>
        <v>2874</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92"/>
      <c r="B34" s="1444" t="s">
        <v>1000</v>
      </c>
      <c r="C34" s="1062">
        <f ca="1">ROUND(D5*C19*C20*C24*F34,0)</f>
        <v>6569</v>
      </c>
      <c r="D34" s="1536"/>
      <c r="E34" s="1047">
        <f t="shared" ref="E34:E39" ca="1" si="7">ROUND(C34*D34/10000,0)</f>
        <v>0</v>
      </c>
      <c r="F34" s="1047">
        <f>SUMIF(修正!A45:A56,G2,修正!C45:C56)</f>
        <v>0.4</v>
      </c>
      <c r="G34" s="1047">
        <f ca="1">ROUND(IF(E2="工业",C34*$M$39,C34*$M$38),0)</f>
        <v>1642</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92"/>
      <c r="B35" s="1444" t="s">
        <v>1001</v>
      </c>
      <c r="C35" s="1062">
        <f ca="1">ROUND(D5*C19*C20*C24*F35,0)</f>
        <v>4599</v>
      </c>
      <c r="D35" s="1536"/>
      <c r="E35" s="1047">
        <f t="shared" ca="1" si="7"/>
        <v>0</v>
      </c>
      <c r="F35" s="1047">
        <f>SUMIF(修正!A45:A56,G2,修正!D45:D56)</f>
        <v>0.28000000000000003</v>
      </c>
      <c r="G35" s="1047">
        <f ca="1">ROUND(IF(E2="工业",C35*$M$39,C35*$M$38),0)</f>
        <v>1150</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93"/>
      <c r="B36" s="1444" t="s">
        <v>1002</v>
      </c>
      <c r="C36" s="1062">
        <f ca="1">ROUND(D5*C19*C20*C24*F36,0)</f>
        <v>4106</v>
      </c>
      <c r="D36" s="1536"/>
      <c r="E36" s="1047">
        <f t="shared" ca="1" si="7"/>
        <v>0</v>
      </c>
      <c r="F36" s="1047">
        <f>SUMIF(修正!A45:A56,G2,修正!E45:E56)</f>
        <v>0.25</v>
      </c>
      <c r="G36" s="1047">
        <f ca="1">ROUND(IF(E2="工业",C36*$M$39,C36*$M$38),0)</f>
        <v>1027</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4106</v>
      </c>
      <c r="D37" s="1536"/>
      <c r="E37" s="1047">
        <f t="shared" ca="1" si="7"/>
        <v>0</v>
      </c>
      <c r="F37" s="1062">
        <f>SUMIF(修正!A45:A56,G2,修正!F45:F56)</f>
        <v>0.25</v>
      </c>
      <c r="G37" s="1047">
        <f ca="1">ROUND(IF(E2="工业",C37*$M$39,C37*$M$38),0)</f>
        <v>1027</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3823</v>
      </c>
      <c r="D38" s="1536">
        <f>结果表一!I5</f>
        <v>2364.58</v>
      </c>
      <c r="E38" s="1047">
        <f t="shared" ca="1" si="7"/>
        <v>904</v>
      </c>
      <c r="F38" s="1062">
        <f>SUMIF(修正!A45:A56,G2,修正!G45:G56)</f>
        <v>0.25</v>
      </c>
      <c r="G38" s="1047">
        <f ca="1">ROUND(IF(E2="工业",C38*$M$39,C38*$M$38),0)</f>
        <v>956</v>
      </c>
      <c r="H38" s="1047">
        <f t="shared" si="8"/>
        <v>2364.58</v>
      </c>
      <c r="I38" s="1047">
        <f t="shared" ca="1" si="9"/>
        <v>226</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3059</v>
      </c>
      <c r="D39" s="1537"/>
      <c r="E39" s="1050">
        <f t="shared" ca="1" si="7"/>
        <v>0</v>
      </c>
      <c r="F39" s="1064">
        <f>SUMIF(修正!A45:A56,G2,修正!H45:H56)</f>
        <v>0.2</v>
      </c>
      <c r="G39" s="1050">
        <f ca="1">ROUND(IF(E2="工业",C39*$M$39,C39*$M$38),0)</f>
        <v>765</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0.8972</v>
      </c>
      <c r="D41" s="378" t="s">
        <v>2982</v>
      </c>
      <c r="E41" s="3171">
        <f ca="1">G20</f>
        <v>0.05</v>
      </c>
      <c r="F41" s="378" t="s">
        <v>2983</v>
      </c>
      <c r="G41" s="396">
        <f>项目基本情况!H19</f>
        <v>35.03</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1.0167999999999999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3296" t="s">
        <v>3035</v>
      </c>
      <c r="D69" s="2395">
        <f t="shared" ref="D69:D77" si="20">SUMIF($J$68:$N$68,C69,J69:N69)</f>
        <v>0</v>
      </c>
      <c r="E69" s="2414">
        <f>ROUND(SUM(D69:D77),4)</f>
        <v>1.6799999999999999E-2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3296" t="s">
        <v>3035</v>
      </c>
      <c r="D70" s="2395">
        <f t="shared" si="20"/>
        <v>0</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96" t="s">
        <v>3032</v>
      </c>
      <c r="D72" s="2395">
        <f t="shared" si="20"/>
        <v>2.3999999999999998E-3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3296" t="s">
        <v>3035</v>
      </c>
      <c r="D73" s="2395">
        <f t="shared" si="20"/>
        <v>0</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3296" t="s">
        <v>3035</v>
      </c>
      <c r="D76" s="2395">
        <f t="shared" si="20"/>
        <v>0</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626" t="s">
        <v>1633</v>
      </c>
      <c r="B90" s="3626"/>
      <c r="C90" s="3626"/>
      <c r="D90" s="3626"/>
      <c r="E90" s="3626"/>
      <c r="F90" s="3626"/>
      <c r="G90" s="3626"/>
      <c r="H90" s="3626"/>
      <c r="I90" s="3626"/>
      <c r="J90" s="3626"/>
      <c r="K90" s="2428"/>
      <c r="L90" s="2428"/>
      <c r="M90" s="2428"/>
      <c r="N90" s="2428"/>
    </row>
    <row r="91" spans="1:40">
      <c r="A91" s="3625" t="s">
        <v>1443</v>
      </c>
      <c r="B91" s="3625" t="s">
        <v>1634</v>
      </c>
      <c r="C91" s="1139" t="s">
        <v>1635</v>
      </c>
      <c r="D91" s="1140"/>
      <c r="E91" s="1140"/>
      <c r="F91" s="1140"/>
      <c r="G91" s="1140"/>
      <c r="H91" s="1140"/>
      <c r="I91" s="1140"/>
      <c r="J91" s="1141"/>
      <c r="K91" s="1133"/>
      <c r="L91" s="1133"/>
      <c r="M91" s="1133"/>
      <c r="N91" s="1133"/>
    </row>
    <row r="92" spans="1:40">
      <c r="A92" s="3625"/>
      <c r="B92" s="3625"/>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81"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8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8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8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8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8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8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8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81"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82"/>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82"/>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82"/>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82"/>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82"/>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82"/>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82"/>
      <c r="B108" s="368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83"/>
      <c r="B109" s="3685"/>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86" t="s">
        <v>1639</v>
      </c>
      <c r="B110" s="3686"/>
      <c r="C110" s="3686"/>
      <c r="D110" s="3686"/>
      <c r="E110" s="3686"/>
      <c r="F110" s="3686"/>
      <c r="G110" s="3686"/>
      <c r="H110" s="3686"/>
      <c r="I110" s="3686"/>
      <c r="J110" s="3686"/>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3083</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87">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88"/>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79" t="s">
        <v>2782</v>
      </c>
      <c r="X8" s="3680"/>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88"/>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78"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88"/>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7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88"/>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78"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87"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78"/>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89"/>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78"/>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89"/>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90"/>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87"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88"/>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91"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92"/>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92"/>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93"/>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626" t="s">
        <v>1633</v>
      </c>
      <c r="B90" s="3626"/>
      <c r="C90" s="3626"/>
      <c r="D90" s="3626"/>
      <c r="E90" s="3626"/>
      <c r="F90" s="3626"/>
      <c r="G90" s="3626"/>
      <c r="H90" s="3626"/>
      <c r="I90" s="3626"/>
      <c r="J90" s="3626"/>
      <c r="K90" s="3179"/>
      <c r="L90" s="3179"/>
      <c r="M90" s="3179"/>
      <c r="N90" s="3179"/>
    </row>
    <row r="91" spans="1:40">
      <c r="A91" s="3625" t="s">
        <v>1443</v>
      </c>
      <c r="B91" s="3625" t="s">
        <v>1634</v>
      </c>
      <c r="C91" s="1139" t="s">
        <v>1635</v>
      </c>
      <c r="D91" s="1140"/>
      <c r="E91" s="1140"/>
      <c r="F91" s="1140"/>
      <c r="G91" s="1140"/>
      <c r="H91" s="1140"/>
      <c r="I91" s="1140"/>
      <c r="J91" s="1141"/>
      <c r="K91" s="1133"/>
      <c r="L91" s="1133"/>
      <c r="M91" s="1133"/>
      <c r="N91" s="1133"/>
    </row>
    <row r="92" spans="1:40">
      <c r="A92" s="3625"/>
      <c r="B92" s="3625"/>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81"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8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8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8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8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8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8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8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81"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82"/>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82"/>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82"/>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82"/>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82"/>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82"/>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82"/>
      <c r="B108" s="368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83"/>
      <c r="B109" s="3685"/>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86" t="s">
        <v>1639</v>
      </c>
      <c r="B110" s="3686"/>
      <c r="C110" s="3686"/>
      <c r="D110" s="3686"/>
      <c r="E110" s="3686"/>
      <c r="F110" s="3686"/>
      <c r="G110" s="3686"/>
      <c r="H110" s="3686"/>
      <c r="I110" s="3686"/>
      <c r="J110" s="3686"/>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82" t="s">
        <v>521</v>
      </c>
      <c r="D4" s="3583"/>
      <c r="E4" s="3616" t="s">
        <v>522</v>
      </c>
      <c r="F4" s="3617"/>
      <c r="G4" s="3582" t="s">
        <v>523</v>
      </c>
      <c r="H4" s="3583"/>
      <c r="I4" s="3582" t="s">
        <v>524</v>
      </c>
      <c r="J4" s="3583"/>
      <c r="K4" s="514" t="s">
        <v>525</v>
      </c>
      <c r="L4" s="2132"/>
      <c r="M4" s="2133"/>
      <c r="N4" s="2133"/>
      <c r="O4" s="2133"/>
      <c r="P4" s="3695" t="s">
        <v>526</v>
      </c>
      <c r="Q4" s="3585"/>
      <c r="R4" s="3590" t="s">
        <v>522</v>
      </c>
      <c r="S4" s="3591"/>
      <c r="T4" s="3590" t="s">
        <v>523</v>
      </c>
      <c r="U4" s="3591"/>
      <c r="V4" s="3577" t="s">
        <v>524</v>
      </c>
      <c r="W4" s="3577"/>
      <c r="X4" s="1566"/>
      <c r="Y4" s="3590" t="s">
        <v>526</v>
      </c>
      <c r="Z4" s="3591"/>
      <c r="AA4" s="3579" t="s">
        <v>522</v>
      </c>
      <c r="AB4" s="3579" t="s">
        <v>523</v>
      </c>
      <c r="AC4" s="3579" t="s">
        <v>524</v>
      </c>
    </row>
    <row r="5" spans="1:29" ht="15">
      <c r="A5" s="515"/>
      <c r="B5" s="516"/>
      <c r="C5" s="3598" t="s">
        <v>2925</v>
      </c>
      <c r="D5" s="3599"/>
      <c r="E5" s="3618" t="s">
        <v>2926</v>
      </c>
      <c r="F5" s="3619"/>
      <c r="G5" s="3598" t="s">
        <v>2927</v>
      </c>
      <c r="H5" s="3599"/>
      <c r="I5" s="3598" t="s">
        <v>2928</v>
      </c>
      <c r="J5" s="3599"/>
      <c r="K5" s="514"/>
      <c r="L5" s="2132"/>
      <c r="M5" s="2133"/>
      <c r="N5" s="2133"/>
      <c r="O5" s="2133"/>
      <c r="P5" s="3696"/>
      <c r="Q5" s="3587"/>
      <c r="R5" s="3592"/>
      <c r="S5" s="3593"/>
      <c r="T5" s="3592"/>
      <c r="U5" s="3593"/>
      <c r="V5" s="3577"/>
      <c r="W5" s="3577"/>
      <c r="X5" s="1566"/>
      <c r="Y5" s="3592"/>
      <c r="Z5" s="3593"/>
      <c r="AA5" s="3580"/>
      <c r="AB5" s="3580"/>
      <c r="AC5" s="3580"/>
    </row>
    <row r="6" spans="1:29" ht="15.75" thickBot="1">
      <c r="A6" s="517"/>
      <c r="B6" s="518"/>
      <c r="C6" s="3596" t="s">
        <v>2929</v>
      </c>
      <c r="D6" s="3597"/>
      <c r="E6" s="3614" t="s">
        <v>2929</v>
      </c>
      <c r="F6" s="3615"/>
      <c r="G6" s="3596" t="s">
        <v>2929</v>
      </c>
      <c r="H6" s="3597"/>
      <c r="I6" s="3596" t="s">
        <v>2929</v>
      </c>
      <c r="J6" s="3597"/>
      <c r="K6" s="514" t="s">
        <v>527</v>
      </c>
      <c r="L6" s="2132"/>
      <c r="M6" s="2133"/>
      <c r="N6" s="2133"/>
      <c r="O6" s="2133"/>
      <c r="P6" s="3697"/>
      <c r="Q6" s="3589"/>
      <c r="R6" s="3592"/>
      <c r="S6" s="3593"/>
      <c r="T6" s="3594"/>
      <c r="U6" s="3595"/>
      <c r="V6" s="3577"/>
      <c r="W6" s="3577"/>
      <c r="X6" s="1566"/>
      <c r="Y6" s="3594"/>
      <c r="Z6" s="3595"/>
      <c r="AA6" s="3581"/>
      <c r="AB6" s="3581"/>
      <c r="AC6" s="3581"/>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609" t="s">
        <v>529</v>
      </c>
      <c r="Q7" s="3609"/>
      <c r="R7" s="1567" t="s">
        <v>8</v>
      </c>
      <c r="S7" s="1568">
        <f t="shared" ref="S7:S15" si="0">F7</f>
        <v>0</v>
      </c>
      <c r="T7" s="1567" t="s">
        <v>8</v>
      </c>
      <c r="U7" s="1568">
        <f t="shared" ref="U7:U15" si="1">H7</f>
        <v>0</v>
      </c>
      <c r="V7" s="1567" t="s">
        <v>8</v>
      </c>
      <c r="W7" s="1568">
        <f t="shared" ref="W7:W15" si="2">J7</f>
        <v>0</v>
      </c>
      <c r="X7" s="1569"/>
      <c r="Y7" s="3607" t="s">
        <v>529</v>
      </c>
      <c r="Z7" s="3608"/>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609" t="s">
        <v>532</v>
      </c>
      <c r="Q8" s="3608"/>
      <c r="R8" s="1567" t="s">
        <v>8</v>
      </c>
      <c r="S8" s="1568">
        <f t="shared" si="0"/>
        <v>0</v>
      </c>
      <c r="T8" s="1567" t="s">
        <v>8</v>
      </c>
      <c r="U8" s="1568">
        <f t="shared" si="1"/>
        <v>0</v>
      </c>
      <c r="V8" s="1567" t="s">
        <v>8</v>
      </c>
      <c r="W8" s="1568">
        <f t="shared" si="2"/>
        <v>0</v>
      </c>
      <c r="X8" s="1569"/>
      <c r="Y8" s="3607" t="s">
        <v>532</v>
      </c>
      <c r="Z8" s="3608"/>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76" t="s">
        <v>534</v>
      </c>
      <c r="Q9" s="1150" t="str">
        <f t="shared" ref="Q9:Q15" si="6">B9</f>
        <v>用途</v>
      </c>
      <c r="R9" s="1567" t="s">
        <v>8</v>
      </c>
      <c r="S9" s="1568">
        <f t="shared" si="0"/>
        <v>100</v>
      </c>
      <c r="T9" s="1567" t="s">
        <v>8</v>
      </c>
      <c r="U9" s="1568">
        <f t="shared" si="1"/>
        <v>100</v>
      </c>
      <c r="V9" s="1567" t="s">
        <v>8</v>
      </c>
      <c r="W9" s="1568">
        <f t="shared" si="2"/>
        <v>100</v>
      </c>
      <c r="X9" s="1569"/>
      <c r="Y9" s="344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76"/>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76"/>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76"/>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76"/>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76"/>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610" t="s">
        <v>539</v>
      </c>
      <c r="Q15" s="1571" t="str">
        <f t="shared" si="6"/>
        <v>办公集聚程度</v>
      </c>
      <c r="R15" s="1572" t="s">
        <v>8</v>
      </c>
      <c r="S15" s="1573">
        <f t="shared" si="0"/>
        <v>100</v>
      </c>
      <c r="T15" s="1572" t="s">
        <v>8</v>
      </c>
      <c r="U15" s="1573">
        <f t="shared" si="1"/>
        <v>100</v>
      </c>
      <c r="V15" s="1572" t="s">
        <v>8</v>
      </c>
      <c r="W15" s="1573">
        <f t="shared" si="2"/>
        <v>100</v>
      </c>
      <c r="X15" s="1566"/>
      <c r="Y15" s="361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611"/>
      <c r="Q16" s="1571"/>
      <c r="R16" s="1572"/>
      <c r="S16" s="1573"/>
      <c r="T16" s="1572"/>
      <c r="U16" s="1573"/>
      <c r="V16" s="1572"/>
      <c r="W16" s="1573"/>
      <c r="X16" s="1566"/>
      <c r="Y16" s="3611"/>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611"/>
      <c r="Q17" s="1571" t="str">
        <f>B17</f>
        <v>交通便捷度</v>
      </c>
      <c r="R17" s="1572" t="s">
        <v>8</v>
      </c>
      <c r="S17" s="1573">
        <f>F17</f>
        <v>100</v>
      </c>
      <c r="T17" s="1572" t="s">
        <v>8</v>
      </c>
      <c r="U17" s="1573">
        <f>H17</f>
        <v>100</v>
      </c>
      <c r="V17" s="1572" t="s">
        <v>8</v>
      </c>
      <c r="W17" s="1573">
        <f>J17</f>
        <v>100</v>
      </c>
      <c r="X17" s="1566"/>
      <c r="Y17" s="361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611"/>
      <c r="Q18" s="1571"/>
      <c r="R18" s="1572"/>
      <c r="S18" s="1573"/>
      <c r="T18" s="1572"/>
      <c r="U18" s="1573"/>
      <c r="V18" s="1572"/>
      <c r="W18" s="1573"/>
      <c r="X18" s="1566"/>
      <c r="Y18" s="3611"/>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611"/>
      <c r="Q19" s="1571" t="str">
        <f>B19</f>
        <v>公共配套设施</v>
      </c>
      <c r="R19" s="1572" t="s">
        <v>8</v>
      </c>
      <c r="S19" s="1573">
        <f>F19</f>
        <v>100</v>
      </c>
      <c r="T19" s="1572" t="s">
        <v>8</v>
      </c>
      <c r="U19" s="1573">
        <f>H19</f>
        <v>100</v>
      </c>
      <c r="V19" s="1572" t="s">
        <v>8</v>
      </c>
      <c r="W19" s="1573">
        <f>J19</f>
        <v>100</v>
      </c>
      <c r="X19" s="1566"/>
      <c r="Y19" s="361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611"/>
      <c r="Q20" s="1571"/>
      <c r="R20" s="1572"/>
      <c r="S20" s="1573"/>
      <c r="T20" s="1572"/>
      <c r="U20" s="1573"/>
      <c r="V20" s="1572"/>
      <c r="W20" s="1573"/>
      <c r="X20" s="1566"/>
      <c r="Y20" s="3611"/>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611"/>
      <c r="Q21" s="2557" t="str">
        <f>B21</f>
        <v>基础设施水平</v>
      </c>
      <c r="R21" s="1572" t="s">
        <v>8</v>
      </c>
      <c r="S21" s="1573">
        <f>F21</f>
        <v>100</v>
      </c>
      <c r="T21" s="1572" t="s">
        <v>8</v>
      </c>
      <c r="U21" s="1573">
        <f>H21</f>
        <v>100</v>
      </c>
      <c r="V21" s="1572" t="s">
        <v>8</v>
      </c>
      <c r="W21" s="1573">
        <f>J21</f>
        <v>100</v>
      </c>
      <c r="X21" s="2559"/>
      <c r="Y21" s="3611"/>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611"/>
      <c r="Q22" s="2557"/>
      <c r="R22" s="1572"/>
      <c r="S22" s="1573"/>
      <c r="T22" s="1572"/>
      <c r="U22" s="1573"/>
      <c r="V22" s="1572"/>
      <c r="W22" s="1573"/>
      <c r="X22" s="2559"/>
      <c r="Y22" s="3611"/>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611"/>
      <c r="Q23" s="1571" t="str">
        <f>B23</f>
        <v>环境质量</v>
      </c>
      <c r="R23" s="1572" t="s">
        <v>8</v>
      </c>
      <c r="S23" s="1573">
        <f>F23</f>
        <v>100</v>
      </c>
      <c r="T23" s="1572" t="s">
        <v>8</v>
      </c>
      <c r="U23" s="1573">
        <f>H23</f>
        <v>100</v>
      </c>
      <c r="V23" s="1572" t="s">
        <v>8</v>
      </c>
      <c r="W23" s="1573">
        <f>J23</f>
        <v>100</v>
      </c>
      <c r="X23" s="1566"/>
      <c r="Y23" s="361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611"/>
      <c r="Q24" s="1571"/>
      <c r="R24" s="1572"/>
      <c r="S24" s="1573"/>
      <c r="T24" s="1572"/>
      <c r="U24" s="1573"/>
      <c r="V24" s="1572"/>
      <c r="W24" s="1573"/>
      <c r="X24" s="1566"/>
      <c r="Y24" s="3611"/>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611"/>
      <c r="Q25" s="1571" t="str">
        <f>B25</f>
        <v>毗邻道路的类型与等级</v>
      </c>
      <c r="R25" s="1572" t="s">
        <v>8</v>
      </c>
      <c r="S25" s="1573">
        <f>F25</f>
        <v>100</v>
      </c>
      <c r="T25" s="1572" t="s">
        <v>8</v>
      </c>
      <c r="U25" s="1573">
        <f>H25</f>
        <v>100</v>
      </c>
      <c r="V25" s="1572" t="s">
        <v>8</v>
      </c>
      <c r="W25" s="1573">
        <f>J25</f>
        <v>100</v>
      </c>
      <c r="X25" s="1566"/>
      <c r="Y25" s="361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611"/>
      <c r="Q26" s="1571"/>
      <c r="R26" s="1572"/>
      <c r="S26" s="1573"/>
      <c r="T26" s="1572"/>
      <c r="U26" s="1573"/>
      <c r="V26" s="1572"/>
      <c r="W26" s="1573"/>
      <c r="X26" s="1566"/>
      <c r="Y26" s="361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611"/>
      <c r="Q27" s="1571" t="str">
        <f t="shared" ref="Q27:Q47" si="11">B27</f>
        <v>楼层</v>
      </c>
      <c r="R27" s="1572" t="s">
        <v>8</v>
      </c>
      <c r="S27" s="1573">
        <f>F27</f>
        <v>100</v>
      </c>
      <c r="T27" s="1572" t="s">
        <v>8</v>
      </c>
      <c r="U27" s="1573">
        <f>H27</f>
        <v>100</v>
      </c>
      <c r="V27" s="1572" t="s">
        <v>8</v>
      </c>
      <c r="W27" s="1573">
        <f>J27</f>
        <v>100</v>
      </c>
      <c r="X27" s="1566"/>
      <c r="Y27" s="3611"/>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611"/>
      <c r="Q28" s="1150" t="str">
        <f t="shared" si="11"/>
        <v>朝向</v>
      </c>
      <c r="R28" s="1567" t="s">
        <v>8</v>
      </c>
      <c r="S28" s="1568">
        <f>F28</f>
        <v>100</v>
      </c>
      <c r="T28" s="1567" t="s">
        <v>8</v>
      </c>
      <c r="U28" s="1568">
        <f>H28</f>
        <v>100</v>
      </c>
      <c r="V28" s="1567" t="s">
        <v>8</v>
      </c>
      <c r="W28" s="1568">
        <f>J28</f>
        <v>100</v>
      </c>
      <c r="X28" s="1569"/>
      <c r="Y28" s="3611"/>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611"/>
      <c r="Q29" s="1571">
        <f t="shared" si="11"/>
        <v>111</v>
      </c>
      <c r="R29" s="1572" t="s">
        <v>8</v>
      </c>
      <c r="S29" s="1573">
        <f t="shared" ref="S29:S47" si="12">F29</f>
        <v>100</v>
      </c>
      <c r="T29" s="1572" t="s">
        <v>8</v>
      </c>
      <c r="U29" s="1573">
        <f t="shared" ref="U29:U47" si="13">H29</f>
        <v>100</v>
      </c>
      <c r="V29" s="1572" t="s">
        <v>8</v>
      </c>
      <c r="W29" s="1573">
        <f t="shared" ref="W29:W47" si="14">J29</f>
        <v>100</v>
      </c>
      <c r="X29" s="1566"/>
      <c r="Y29" s="3611"/>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611"/>
      <c r="Q30" s="1571">
        <f t="shared" si="11"/>
        <v>111</v>
      </c>
      <c r="R30" s="1572" t="s">
        <v>8</v>
      </c>
      <c r="S30" s="1573">
        <f t="shared" si="12"/>
        <v>100</v>
      </c>
      <c r="T30" s="1572" t="s">
        <v>8</v>
      </c>
      <c r="U30" s="1573">
        <f t="shared" si="13"/>
        <v>100</v>
      </c>
      <c r="V30" s="1572" t="s">
        <v>8</v>
      </c>
      <c r="W30" s="1573">
        <f t="shared" si="14"/>
        <v>100</v>
      </c>
      <c r="X30" s="1566"/>
      <c r="Y30" s="3611"/>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611"/>
      <c r="Q31" s="1571">
        <f t="shared" si="11"/>
        <v>111</v>
      </c>
      <c r="R31" s="1572" t="s">
        <v>8</v>
      </c>
      <c r="S31" s="1573">
        <f t="shared" si="12"/>
        <v>100</v>
      </c>
      <c r="T31" s="1572" t="s">
        <v>8</v>
      </c>
      <c r="U31" s="1573">
        <f t="shared" si="13"/>
        <v>100</v>
      </c>
      <c r="V31" s="1572" t="s">
        <v>8</v>
      </c>
      <c r="W31" s="1573">
        <f t="shared" si="14"/>
        <v>100</v>
      </c>
      <c r="X31" s="1566"/>
      <c r="Y31" s="3611"/>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611"/>
      <c r="Q32" s="1571">
        <f t="shared" si="11"/>
        <v>111</v>
      </c>
      <c r="R32" s="1572" t="s">
        <v>8</v>
      </c>
      <c r="S32" s="1573">
        <f t="shared" si="12"/>
        <v>100</v>
      </c>
      <c r="T32" s="1572" t="s">
        <v>8</v>
      </c>
      <c r="U32" s="1573">
        <f t="shared" si="13"/>
        <v>100</v>
      </c>
      <c r="V32" s="1572" t="s">
        <v>8</v>
      </c>
      <c r="W32" s="1573">
        <f t="shared" si="14"/>
        <v>100</v>
      </c>
      <c r="X32" s="1566"/>
      <c r="Y32" s="3611"/>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612" t="s">
        <v>549</v>
      </c>
      <c r="Q33" s="1571" t="str">
        <f t="shared" si="11"/>
        <v>建筑类型</v>
      </c>
      <c r="R33" s="1572" t="s">
        <v>8</v>
      </c>
      <c r="S33" s="1573">
        <f t="shared" si="12"/>
        <v>100</v>
      </c>
      <c r="T33" s="1572" t="s">
        <v>8</v>
      </c>
      <c r="U33" s="1573">
        <f t="shared" si="13"/>
        <v>100</v>
      </c>
      <c r="V33" s="1572" t="s">
        <v>8</v>
      </c>
      <c r="W33" s="1573">
        <f t="shared" si="14"/>
        <v>100</v>
      </c>
      <c r="X33" s="1566"/>
      <c r="Y33" s="3613"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613"/>
      <c r="Q34" s="1604" t="str">
        <f t="shared" si="11"/>
        <v>项目建筑规模</v>
      </c>
      <c r="R34" s="1576" t="s">
        <v>8</v>
      </c>
      <c r="S34" s="1577" t="e">
        <f t="shared" si="12"/>
        <v>#N/A</v>
      </c>
      <c r="T34" s="1576" t="s">
        <v>8</v>
      </c>
      <c r="U34" s="1577" t="e">
        <f t="shared" si="13"/>
        <v>#N/A</v>
      </c>
      <c r="V34" s="1576" t="s">
        <v>8</v>
      </c>
      <c r="W34" s="1577" t="e">
        <f t="shared" si="14"/>
        <v>#N/A</v>
      </c>
      <c r="X34" s="1578"/>
      <c r="Y34" s="361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613"/>
      <c r="Q35" s="1571" t="str">
        <f t="shared" si="11"/>
        <v>建筑结构</v>
      </c>
      <c r="R35" s="1572" t="s">
        <v>8</v>
      </c>
      <c r="S35" s="1573">
        <f t="shared" si="12"/>
        <v>100</v>
      </c>
      <c r="T35" s="1572" t="s">
        <v>8</v>
      </c>
      <c r="U35" s="1573">
        <f t="shared" si="13"/>
        <v>100</v>
      </c>
      <c r="V35" s="1572" t="s">
        <v>8</v>
      </c>
      <c r="W35" s="1573">
        <f t="shared" si="14"/>
        <v>100</v>
      </c>
      <c r="X35" s="1566"/>
      <c r="Y35" s="361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613"/>
      <c r="Q36" s="1571" t="str">
        <f t="shared" si="11"/>
        <v>公共部分装修</v>
      </c>
      <c r="R36" s="1572" t="s">
        <v>8</v>
      </c>
      <c r="S36" s="1573">
        <f t="shared" si="12"/>
        <v>100</v>
      </c>
      <c r="T36" s="1572" t="s">
        <v>8</v>
      </c>
      <c r="U36" s="1573">
        <f t="shared" si="13"/>
        <v>100</v>
      </c>
      <c r="V36" s="1572" t="s">
        <v>8</v>
      </c>
      <c r="W36" s="1573">
        <f t="shared" si="14"/>
        <v>100</v>
      </c>
      <c r="X36" s="1566"/>
      <c r="Y36" s="3613"/>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613"/>
      <c r="Q37" s="1571" t="str">
        <f t="shared" si="11"/>
        <v>成新度</v>
      </c>
      <c r="R37" s="1572" t="s">
        <v>8</v>
      </c>
      <c r="S37" s="1573" t="e">
        <f t="shared" si="12"/>
        <v>#N/A</v>
      </c>
      <c r="T37" s="1572" t="s">
        <v>8</v>
      </c>
      <c r="U37" s="1573" t="e">
        <f t="shared" si="13"/>
        <v>#N/A</v>
      </c>
      <c r="V37" s="1572" t="s">
        <v>8</v>
      </c>
      <c r="W37" s="1573" t="e">
        <f t="shared" si="14"/>
        <v>#N/A</v>
      </c>
      <c r="X37" s="1566"/>
      <c r="Y37" s="3613"/>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613"/>
      <c r="Q38" s="1150" t="str">
        <f t="shared" si="11"/>
        <v>写字楼等级</v>
      </c>
      <c r="R38" s="1567" t="s">
        <v>8</v>
      </c>
      <c r="S38" s="1568">
        <f t="shared" si="12"/>
        <v>100</v>
      </c>
      <c r="T38" s="1567" t="s">
        <v>8</v>
      </c>
      <c r="U38" s="1568">
        <f t="shared" si="13"/>
        <v>100</v>
      </c>
      <c r="V38" s="1567" t="s">
        <v>8</v>
      </c>
      <c r="W38" s="1568">
        <f t="shared" si="14"/>
        <v>100</v>
      </c>
      <c r="X38" s="1569"/>
      <c r="Y38" s="3613"/>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613" t="s">
        <v>549</v>
      </c>
      <c r="Q39" s="1571" t="str">
        <f t="shared" si="11"/>
        <v>物业管理</v>
      </c>
      <c r="R39" s="1572" t="s">
        <v>8</v>
      </c>
      <c r="S39" s="1573">
        <f t="shared" si="12"/>
        <v>100</v>
      </c>
      <c r="T39" s="1572" t="s">
        <v>8</v>
      </c>
      <c r="U39" s="1573">
        <f t="shared" si="13"/>
        <v>100</v>
      </c>
      <c r="V39" s="1572" t="s">
        <v>8</v>
      </c>
      <c r="W39" s="1573">
        <f t="shared" si="14"/>
        <v>100</v>
      </c>
      <c r="X39" s="1566"/>
      <c r="Y39" s="3613"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613"/>
      <c r="Q40" s="1571" t="str">
        <f t="shared" si="11"/>
        <v>市政基础设施</v>
      </c>
      <c r="R40" s="1572" t="s">
        <v>8</v>
      </c>
      <c r="S40" s="1573">
        <f t="shared" si="12"/>
        <v>100</v>
      </c>
      <c r="T40" s="1572" t="s">
        <v>8</v>
      </c>
      <c r="U40" s="1573">
        <f t="shared" si="13"/>
        <v>100</v>
      </c>
      <c r="V40" s="1572" t="s">
        <v>8</v>
      </c>
      <c r="W40" s="1573">
        <f t="shared" si="14"/>
        <v>100</v>
      </c>
      <c r="X40" s="1566"/>
      <c r="Y40" s="361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613"/>
      <c r="Q41" s="1571" t="str">
        <f t="shared" si="11"/>
        <v>层高</v>
      </c>
      <c r="R41" s="1572" t="s">
        <v>8</v>
      </c>
      <c r="S41" s="1573">
        <f t="shared" si="12"/>
        <v>100</v>
      </c>
      <c r="T41" s="1572" t="s">
        <v>8</v>
      </c>
      <c r="U41" s="1573">
        <f t="shared" si="13"/>
        <v>100</v>
      </c>
      <c r="V41" s="1572" t="s">
        <v>8</v>
      </c>
      <c r="W41" s="1573">
        <f t="shared" si="14"/>
        <v>100</v>
      </c>
      <c r="X41" s="1566"/>
      <c r="Y41" s="3613"/>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613"/>
      <c r="Q42" s="1604" t="str">
        <f t="shared" si="11"/>
        <v>单套建筑面积</v>
      </c>
      <c r="R42" s="1576" t="s">
        <v>8</v>
      </c>
      <c r="S42" s="1577">
        <f t="shared" si="12"/>
        <v>100</v>
      </c>
      <c r="T42" s="1576" t="s">
        <v>8</v>
      </c>
      <c r="U42" s="1577">
        <f t="shared" si="13"/>
        <v>100</v>
      </c>
      <c r="V42" s="1576" t="s">
        <v>8</v>
      </c>
      <c r="W42" s="1577">
        <f t="shared" si="14"/>
        <v>100</v>
      </c>
      <c r="X42" s="1578"/>
      <c r="Y42" s="361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613"/>
      <c r="Q43" s="1571" t="str">
        <f t="shared" si="11"/>
        <v>内部装修</v>
      </c>
      <c r="R43" s="1572" t="s">
        <v>8</v>
      </c>
      <c r="S43" s="1573">
        <f t="shared" si="12"/>
        <v>100</v>
      </c>
      <c r="T43" s="1572" t="s">
        <v>8</v>
      </c>
      <c r="U43" s="1573">
        <f t="shared" si="13"/>
        <v>100</v>
      </c>
      <c r="V43" s="1572" t="s">
        <v>8</v>
      </c>
      <c r="W43" s="1573">
        <f t="shared" si="14"/>
        <v>100</v>
      </c>
      <c r="X43" s="1566"/>
      <c r="Y43" s="361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613"/>
      <c r="Q44" s="1571" t="str">
        <f t="shared" si="11"/>
        <v>内部装修维护情况</v>
      </c>
      <c r="R44" s="1572" t="s">
        <v>8</v>
      </c>
      <c r="S44" s="1573">
        <f t="shared" si="12"/>
        <v>100</v>
      </c>
      <c r="T44" s="1572" t="s">
        <v>8</v>
      </c>
      <c r="U44" s="1573">
        <f t="shared" si="13"/>
        <v>100</v>
      </c>
      <c r="V44" s="1572" t="s">
        <v>8</v>
      </c>
      <c r="W44" s="1573">
        <f t="shared" si="14"/>
        <v>100</v>
      </c>
      <c r="X44" s="1566"/>
      <c r="Y44" s="3613"/>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613"/>
      <c r="Q45" s="1150">
        <f t="shared" si="11"/>
        <v>111</v>
      </c>
      <c r="R45" s="1567" t="s">
        <v>8</v>
      </c>
      <c r="S45" s="1568">
        <f t="shared" si="12"/>
        <v>100</v>
      </c>
      <c r="T45" s="1567" t="s">
        <v>8</v>
      </c>
      <c r="U45" s="1568">
        <f t="shared" si="13"/>
        <v>100</v>
      </c>
      <c r="V45" s="1567" t="s">
        <v>8</v>
      </c>
      <c r="W45" s="1568">
        <f t="shared" si="14"/>
        <v>100</v>
      </c>
      <c r="X45" s="1569"/>
      <c r="Y45" s="361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613"/>
      <c r="Q46" s="1571">
        <f t="shared" si="11"/>
        <v>111</v>
      </c>
      <c r="R46" s="1572" t="s">
        <v>8</v>
      </c>
      <c r="S46" s="1573">
        <f t="shared" si="12"/>
        <v>100</v>
      </c>
      <c r="T46" s="1572" t="s">
        <v>8</v>
      </c>
      <c r="U46" s="1573">
        <f t="shared" si="13"/>
        <v>100</v>
      </c>
      <c r="V46" s="1572" t="s">
        <v>8</v>
      </c>
      <c r="W46" s="1573">
        <f t="shared" si="14"/>
        <v>100</v>
      </c>
      <c r="X46" s="1566"/>
      <c r="Y46" s="3613"/>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75"/>
      <c r="Q47" s="1571">
        <f t="shared" si="11"/>
        <v>111</v>
      </c>
      <c r="R47" s="1572" t="s">
        <v>8</v>
      </c>
      <c r="S47" s="1573">
        <f t="shared" si="12"/>
        <v>100</v>
      </c>
      <c r="T47" s="1572" t="s">
        <v>8</v>
      </c>
      <c r="U47" s="1573">
        <f t="shared" si="13"/>
        <v>100</v>
      </c>
      <c r="V47" s="1572" t="s">
        <v>8</v>
      </c>
      <c r="W47" s="1573">
        <f t="shared" si="14"/>
        <v>100</v>
      </c>
      <c r="X47" s="1566"/>
      <c r="Y47" s="3675"/>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74" t="str">
        <f>A48</f>
        <v>成交单价（元/平方米）</v>
      </c>
      <c r="Q48" s="3576"/>
      <c r="R48" s="3674">
        <f>E48</f>
        <v>0</v>
      </c>
      <c r="S48" s="3674"/>
      <c r="T48" s="3674">
        <f>G48</f>
        <v>0</v>
      </c>
      <c r="U48" s="3674"/>
      <c r="V48" s="3674">
        <f>I48</f>
        <v>0</v>
      </c>
      <c r="W48" s="3674"/>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74" t="str">
        <f>A49</f>
        <v>比较价格（元/平方米）</v>
      </c>
      <c r="Q49" s="3576"/>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94" t="str">
        <f>A50</f>
        <v>估价对象XX用房的比较价格（楼面单价，元/平方米）</v>
      </c>
      <c r="Q50" s="3574"/>
      <c r="R50" s="3673" t="e">
        <f>IF(F1="售价",ROUND(AVERAGE(R49:V49),0),ROUND(AVERAGE(R49:V49),1))</f>
        <v>#DIV/0!</v>
      </c>
      <c r="S50" s="3673"/>
      <c r="T50" s="3673"/>
      <c r="U50" s="3673"/>
      <c r="V50" s="3673"/>
      <c r="W50" s="367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82" t="s">
        <v>521</v>
      </c>
      <c r="D4" s="3583"/>
      <c r="E4" s="3616" t="s">
        <v>522</v>
      </c>
      <c r="F4" s="3617"/>
      <c r="G4" s="3582" t="s">
        <v>523</v>
      </c>
      <c r="H4" s="3583"/>
      <c r="I4" s="3582" t="s">
        <v>524</v>
      </c>
      <c r="J4" s="3583"/>
      <c r="K4" s="514" t="s">
        <v>525</v>
      </c>
      <c r="L4" s="2132"/>
      <c r="M4" s="2133"/>
      <c r="N4" s="2133"/>
      <c r="O4" s="2133"/>
      <c r="P4" s="3584" t="s">
        <v>526</v>
      </c>
      <c r="Q4" s="3585"/>
      <c r="R4" s="3590" t="s">
        <v>522</v>
      </c>
      <c r="S4" s="3591"/>
      <c r="T4" s="3590" t="s">
        <v>523</v>
      </c>
      <c r="U4" s="3591"/>
      <c r="V4" s="3577" t="s">
        <v>524</v>
      </c>
      <c r="W4" s="3577"/>
      <c r="X4" s="1566"/>
      <c r="Y4" s="3590" t="s">
        <v>526</v>
      </c>
      <c r="Z4" s="3591"/>
      <c r="AA4" s="3579" t="s">
        <v>522</v>
      </c>
      <c r="AB4" s="3580" t="s">
        <v>523</v>
      </c>
      <c r="AC4" s="3579" t="s">
        <v>524</v>
      </c>
    </row>
    <row r="5" spans="1:29" ht="15">
      <c r="A5" s="515"/>
      <c r="B5" s="516"/>
      <c r="C5" s="3598" t="s">
        <v>2925</v>
      </c>
      <c r="D5" s="3599"/>
      <c r="E5" s="3618" t="s">
        <v>2926</v>
      </c>
      <c r="F5" s="3619"/>
      <c r="G5" s="3598" t="s">
        <v>2927</v>
      </c>
      <c r="H5" s="3599"/>
      <c r="I5" s="3598" t="s">
        <v>2928</v>
      </c>
      <c r="J5" s="3599"/>
      <c r="K5" s="514"/>
      <c r="L5" s="2132"/>
      <c r="M5" s="2133"/>
      <c r="N5" s="2133"/>
      <c r="O5" s="2133"/>
      <c r="P5" s="3586"/>
      <c r="Q5" s="3587"/>
      <c r="R5" s="3592"/>
      <c r="S5" s="3593"/>
      <c r="T5" s="3592"/>
      <c r="U5" s="3593"/>
      <c r="V5" s="3577"/>
      <c r="W5" s="3577"/>
      <c r="X5" s="1566"/>
      <c r="Y5" s="3592"/>
      <c r="Z5" s="3593"/>
      <c r="AA5" s="3580"/>
      <c r="AB5" s="3580"/>
      <c r="AC5" s="3580"/>
    </row>
    <row r="6" spans="1:29" ht="15.75" thickBot="1">
      <c r="A6" s="517"/>
      <c r="B6" s="518"/>
      <c r="C6" s="3596" t="s">
        <v>2929</v>
      </c>
      <c r="D6" s="3597"/>
      <c r="E6" s="3614" t="s">
        <v>2929</v>
      </c>
      <c r="F6" s="3615"/>
      <c r="G6" s="3596" t="s">
        <v>2929</v>
      </c>
      <c r="H6" s="3597"/>
      <c r="I6" s="3596" t="s">
        <v>2929</v>
      </c>
      <c r="J6" s="3597"/>
      <c r="K6" s="514" t="s">
        <v>527</v>
      </c>
      <c r="L6" s="2132"/>
      <c r="M6" s="2133"/>
      <c r="N6" s="2133"/>
      <c r="O6" s="2133"/>
      <c r="P6" s="3588"/>
      <c r="Q6" s="3589"/>
      <c r="R6" s="3592"/>
      <c r="S6" s="3593"/>
      <c r="T6" s="3594"/>
      <c r="U6" s="3595"/>
      <c r="V6" s="3577"/>
      <c r="W6" s="3577"/>
      <c r="X6" s="1566"/>
      <c r="Y6" s="3594"/>
      <c r="Z6" s="3595"/>
      <c r="AA6" s="3581"/>
      <c r="AB6" s="3581"/>
      <c r="AC6" s="3581"/>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607" t="s">
        <v>529</v>
      </c>
      <c r="Q7" s="3609"/>
      <c r="R7" s="1567" t="s">
        <v>8</v>
      </c>
      <c r="S7" s="1568">
        <f t="shared" ref="S7:S15" si="0">F7</f>
        <v>0</v>
      </c>
      <c r="T7" s="1567" t="s">
        <v>8</v>
      </c>
      <c r="U7" s="1568">
        <f t="shared" ref="U7:U15" si="1">H7</f>
        <v>0</v>
      </c>
      <c r="V7" s="1567" t="s">
        <v>8</v>
      </c>
      <c r="W7" s="1568">
        <f t="shared" ref="W7:W15" si="2">J7</f>
        <v>0</v>
      </c>
      <c r="X7" s="1569"/>
      <c r="Y7" s="3607" t="s">
        <v>529</v>
      </c>
      <c r="Z7" s="3608"/>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607" t="s">
        <v>532</v>
      </c>
      <c r="Q8" s="3608"/>
      <c r="R8" s="1567" t="s">
        <v>8</v>
      </c>
      <c r="S8" s="1568">
        <f t="shared" si="0"/>
        <v>0</v>
      </c>
      <c r="T8" s="1567" t="s">
        <v>8</v>
      </c>
      <c r="U8" s="1568">
        <f t="shared" si="1"/>
        <v>0</v>
      </c>
      <c r="V8" s="1567" t="s">
        <v>8</v>
      </c>
      <c r="W8" s="1568">
        <f t="shared" si="2"/>
        <v>0</v>
      </c>
      <c r="X8" s="1569"/>
      <c r="Y8" s="3607" t="s">
        <v>532</v>
      </c>
      <c r="Z8" s="3608"/>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76" t="s">
        <v>534</v>
      </c>
      <c r="Q9" s="1150" t="str">
        <f t="shared" ref="Q9:Q15" si="6">B9</f>
        <v>用途</v>
      </c>
      <c r="R9" s="1567" t="s">
        <v>8</v>
      </c>
      <c r="S9" s="1568">
        <f t="shared" si="0"/>
        <v>100</v>
      </c>
      <c r="T9" s="1567" t="s">
        <v>8</v>
      </c>
      <c r="U9" s="1568">
        <f t="shared" si="1"/>
        <v>100</v>
      </c>
      <c r="V9" s="1567" t="s">
        <v>8</v>
      </c>
      <c r="W9" s="1568">
        <f t="shared" si="2"/>
        <v>100</v>
      </c>
      <c r="X9" s="1569"/>
      <c r="Y9" s="3440"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76"/>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76"/>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76"/>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76"/>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76"/>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610" t="s">
        <v>539</v>
      </c>
      <c r="Q15" s="1571" t="str">
        <f t="shared" si="6"/>
        <v>产业集聚程度</v>
      </c>
      <c r="R15" s="1572" t="s">
        <v>8</v>
      </c>
      <c r="S15" s="1573">
        <f t="shared" si="0"/>
        <v>100</v>
      </c>
      <c r="T15" s="1572" t="s">
        <v>8</v>
      </c>
      <c r="U15" s="1573">
        <f t="shared" si="1"/>
        <v>100</v>
      </c>
      <c r="V15" s="1572" t="s">
        <v>8</v>
      </c>
      <c r="W15" s="1573">
        <f t="shared" si="2"/>
        <v>100</v>
      </c>
      <c r="X15" s="1566"/>
      <c r="Y15" s="361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611"/>
      <c r="Q16" s="1571"/>
      <c r="R16" s="1572"/>
      <c r="S16" s="1573"/>
      <c r="T16" s="1572"/>
      <c r="U16" s="1573"/>
      <c r="V16" s="1572"/>
      <c r="W16" s="1573"/>
      <c r="X16" s="1566"/>
      <c r="Y16" s="361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611"/>
      <c r="Q17" s="1571" t="str">
        <f>B17</f>
        <v>交通便捷度</v>
      </c>
      <c r="R17" s="1572" t="s">
        <v>8</v>
      </c>
      <c r="S17" s="1573">
        <f>F17</f>
        <v>100</v>
      </c>
      <c r="T17" s="1572" t="s">
        <v>8</v>
      </c>
      <c r="U17" s="1573">
        <f>H17</f>
        <v>100</v>
      </c>
      <c r="V17" s="1572" t="s">
        <v>8</v>
      </c>
      <c r="W17" s="1573">
        <f>J17</f>
        <v>100</v>
      </c>
      <c r="X17" s="1566"/>
      <c r="Y17" s="36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611"/>
      <c r="Q18" s="1571"/>
      <c r="R18" s="1572"/>
      <c r="S18" s="1573"/>
      <c r="T18" s="1572"/>
      <c r="U18" s="1573"/>
      <c r="V18" s="1572"/>
      <c r="W18" s="1573"/>
      <c r="X18" s="1566"/>
      <c r="Y18" s="3611"/>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611"/>
      <c r="Q19" s="1571" t="str">
        <f>B19</f>
        <v>公共配套设施</v>
      </c>
      <c r="R19" s="1572" t="s">
        <v>8</v>
      </c>
      <c r="S19" s="1573">
        <f>F19</f>
        <v>100</v>
      </c>
      <c r="T19" s="1572" t="s">
        <v>8</v>
      </c>
      <c r="U19" s="1573">
        <f>H19</f>
        <v>100</v>
      </c>
      <c r="V19" s="1572" t="s">
        <v>8</v>
      </c>
      <c r="W19" s="1573">
        <f>J19</f>
        <v>100</v>
      </c>
      <c r="X19" s="1566"/>
      <c r="Y19" s="361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611"/>
      <c r="Q20" s="1571"/>
      <c r="R20" s="1572"/>
      <c r="S20" s="1573"/>
      <c r="T20" s="1572"/>
      <c r="U20" s="1573"/>
      <c r="V20" s="1572"/>
      <c r="W20" s="1573"/>
      <c r="X20" s="1566"/>
      <c r="Y20" s="3611"/>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611"/>
      <c r="Q21" s="2557" t="str">
        <f>B21</f>
        <v>基础设施水平</v>
      </c>
      <c r="R21" s="1572" t="s">
        <v>8</v>
      </c>
      <c r="S21" s="1573">
        <f>F21</f>
        <v>100</v>
      </c>
      <c r="T21" s="1572" t="s">
        <v>8</v>
      </c>
      <c r="U21" s="1573">
        <f>H21</f>
        <v>100</v>
      </c>
      <c r="V21" s="1572" t="s">
        <v>8</v>
      </c>
      <c r="W21" s="1573">
        <f>J21</f>
        <v>100</v>
      </c>
      <c r="X21" s="2559"/>
      <c r="Y21" s="3611"/>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611"/>
      <c r="Q22" s="2557"/>
      <c r="R22" s="1572"/>
      <c r="S22" s="1573"/>
      <c r="T22" s="1572"/>
      <c r="U22" s="1573"/>
      <c r="V22" s="1572"/>
      <c r="W22" s="1573"/>
      <c r="X22" s="2559"/>
      <c r="Y22" s="3611"/>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611"/>
      <c r="Q23" s="1571" t="str">
        <f>B23</f>
        <v>环境质量</v>
      </c>
      <c r="R23" s="1572" t="s">
        <v>8</v>
      </c>
      <c r="S23" s="1573">
        <f>F23</f>
        <v>100</v>
      </c>
      <c r="T23" s="1572" t="s">
        <v>8</v>
      </c>
      <c r="U23" s="1573">
        <f>H23</f>
        <v>100</v>
      </c>
      <c r="V23" s="1572" t="s">
        <v>8</v>
      </c>
      <c r="W23" s="1573">
        <f>J23</f>
        <v>100</v>
      </c>
      <c r="X23" s="1566"/>
      <c r="Y23" s="3611"/>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611"/>
      <c r="Q24" s="1571"/>
      <c r="R24" s="1572"/>
      <c r="S24" s="1573"/>
      <c r="T24" s="1572"/>
      <c r="U24" s="1573"/>
      <c r="V24" s="1572"/>
      <c r="W24" s="1573"/>
      <c r="X24" s="1566"/>
      <c r="Y24" s="361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611"/>
      <c r="Q25" s="1571">
        <f>B25</f>
        <v>111</v>
      </c>
      <c r="R25" s="1572" t="s">
        <v>8</v>
      </c>
      <c r="S25" s="1573">
        <f>F25</f>
        <v>100</v>
      </c>
      <c r="T25" s="1572" t="s">
        <v>8</v>
      </c>
      <c r="U25" s="1573">
        <f>H25</f>
        <v>100</v>
      </c>
      <c r="V25" s="1572" t="s">
        <v>8</v>
      </c>
      <c r="W25" s="1573">
        <f>J25</f>
        <v>100</v>
      </c>
      <c r="X25" s="1566"/>
      <c r="Y25" s="361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611"/>
      <c r="Q26" s="1571">
        <f t="shared" ref="Q26:Q40" si="11">B26</f>
        <v>111</v>
      </c>
      <c r="R26" s="1572" t="s">
        <v>8</v>
      </c>
      <c r="S26" s="1573">
        <f>F26</f>
        <v>100</v>
      </c>
      <c r="T26" s="1572" t="s">
        <v>8</v>
      </c>
      <c r="U26" s="1573">
        <f>H26</f>
        <v>100</v>
      </c>
      <c r="V26" s="1572" t="s">
        <v>8</v>
      </c>
      <c r="W26" s="1573">
        <f>J26</f>
        <v>100</v>
      </c>
      <c r="X26" s="1566"/>
      <c r="Y26" s="361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611"/>
      <c r="Q27" s="1150">
        <f t="shared" si="11"/>
        <v>111</v>
      </c>
      <c r="R27" s="1567" t="s">
        <v>8</v>
      </c>
      <c r="S27" s="1568">
        <f>F27</f>
        <v>100</v>
      </c>
      <c r="T27" s="1567" t="s">
        <v>8</v>
      </c>
      <c r="U27" s="1568">
        <f>H27</f>
        <v>100</v>
      </c>
      <c r="V27" s="1567" t="s">
        <v>8</v>
      </c>
      <c r="W27" s="1568">
        <f>J27</f>
        <v>100</v>
      </c>
      <c r="X27" s="1569"/>
      <c r="Y27" s="361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611"/>
      <c r="Q28" s="1571">
        <f t="shared" si="11"/>
        <v>111</v>
      </c>
      <c r="R28" s="1572" t="s">
        <v>8</v>
      </c>
      <c r="S28" s="1573">
        <f t="shared" ref="S28:S40" si="12">F28</f>
        <v>100</v>
      </c>
      <c r="T28" s="1572" t="s">
        <v>8</v>
      </c>
      <c r="U28" s="1573">
        <f t="shared" ref="U28:U40" si="13">H28</f>
        <v>100</v>
      </c>
      <c r="V28" s="1572" t="s">
        <v>8</v>
      </c>
      <c r="W28" s="1573">
        <f t="shared" ref="W28:W40" si="14">J28</f>
        <v>100</v>
      </c>
      <c r="X28" s="1566"/>
      <c r="Y28" s="3611"/>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612" t="s">
        <v>549</v>
      </c>
      <c r="Q29" s="1571" t="str">
        <f t="shared" si="11"/>
        <v>建筑类型</v>
      </c>
      <c r="R29" s="1572" t="s">
        <v>8</v>
      </c>
      <c r="S29" s="1573">
        <f t="shared" si="12"/>
        <v>100</v>
      </c>
      <c r="T29" s="1572" t="s">
        <v>8</v>
      </c>
      <c r="U29" s="1573">
        <f t="shared" si="13"/>
        <v>100</v>
      </c>
      <c r="V29" s="1572" t="s">
        <v>8</v>
      </c>
      <c r="W29" s="1573">
        <f t="shared" si="14"/>
        <v>100</v>
      </c>
      <c r="X29" s="1566"/>
      <c r="Y29" s="3613"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613"/>
      <c r="Q30" s="1604" t="str">
        <f t="shared" si="11"/>
        <v>项目建筑规模</v>
      </c>
      <c r="R30" s="1576" t="s">
        <v>8</v>
      </c>
      <c r="S30" s="1577" t="e">
        <f t="shared" si="12"/>
        <v>#N/A</v>
      </c>
      <c r="T30" s="1576" t="s">
        <v>8</v>
      </c>
      <c r="U30" s="1577" t="e">
        <f t="shared" si="13"/>
        <v>#N/A</v>
      </c>
      <c r="V30" s="1576" t="s">
        <v>8</v>
      </c>
      <c r="W30" s="1577" t="e">
        <f t="shared" si="14"/>
        <v>#N/A</v>
      </c>
      <c r="X30" s="1578"/>
      <c r="Y30" s="361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613"/>
      <c r="Q31" s="1571" t="str">
        <f t="shared" si="11"/>
        <v>建筑结构</v>
      </c>
      <c r="R31" s="1572" t="s">
        <v>8</v>
      </c>
      <c r="S31" s="1573">
        <f t="shared" si="12"/>
        <v>100</v>
      </c>
      <c r="T31" s="1572" t="s">
        <v>8</v>
      </c>
      <c r="U31" s="1573">
        <f t="shared" si="13"/>
        <v>100</v>
      </c>
      <c r="V31" s="1572" t="s">
        <v>8</v>
      </c>
      <c r="W31" s="1573">
        <f t="shared" si="14"/>
        <v>100</v>
      </c>
      <c r="X31" s="1566"/>
      <c r="Y31" s="361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613"/>
      <c r="Q32" s="1571" t="str">
        <f t="shared" si="11"/>
        <v>公共部分装修</v>
      </c>
      <c r="R32" s="1572" t="s">
        <v>8</v>
      </c>
      <c r="S32" s="1573">
        <f t="shared" si="12"/>
        <v>100</v>
      </c>
      <c r="T32" s="1572" t="s">
        <v>8</v>
      </c>
      <c r="U32" s="1573">
        <f t="shared" si="13"/>
        <v>100</v>
      </c>
      <c r="V32" s="1572" t="s">
        <v>8</v>
      </c>
      <c r="W32" s="1573">
        <f t="shared" si="14"/>
        <v>100</v>
      </c>
      <c r="X32" s="1566"/>
      <c r="Y32" s="3613"/>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613"/>
      <c r="Q33" s="1571" t="str">
        <f t="shared" si="11"/>
        <v>成新度</v>
      </c>
      <c r="R33" s="1572" t="s">
        <v>8</v>
      </c>
      <c r="S33" s="1573" t="e">
        <f t="shared" si="12"/>
        <v>#N/A</v>
      </c>
      <c r="T33" s="1572" t="s">
        <v>8</v>
      </c>
      <c r="U33" s="1573" t="e">
        <f t="shared" si="13"/>
        <v>#N/A</v>
      </c>
      <c r="V33" s="1572" t="s">
        <v>8</v>
      </c>
      <c r="W33" s="1573" t="e">
        <f t="shared" si="14"/>
        <v>#N/A</v>
      </c>
      <c r="X33" s="1566"/>
      <c r="Y33" s="3613"/>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613"/>
      <c r="Q34" s="1150" t="str">
        <f t="shared" si="11"/>
        <v>物业管理</v>
      </c>
      <c r="R34" s="1567" t="s">
        <v>8</v>
      </c>
      <c r="S34" s="1568">
        <f t="shared" si="12"/>
        <v>100</v>
      </c>
      <c r="T34" s="1567" t="s">
        <v>8</v>
      </c>
      <c r="U34" s="1568">
        <f t="shared" si="13"/>
        <v>100</v>
      </c>
      <c r="V34" s="1567" t="s">
        <v>8</v>
      </c>
      <c r="W34" s="1568">
        <f t="shared" si="14"/>
        <v>100</v>
      </c>
      <c r="X34" s="1569"/>
      <c r="Y34" s="3613"/>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613" t="s">
        <v>549</v>
      </c>
      <c r="Q35" s="1571" t="str">
        <f t="shared" si="11"/>
        <v>市政基础设施</v>
      </c>
      <c r="R35" s="1572" t="s">
        <v>8</v>
      </c>
      <c r="S35" s="1573">
        <f t="shared" si="12"/>
        <v>100</v>
      </c>
      <c r="T35" s="1572" t="s">
        <v>8</v>
      </c>
      <c r="U35" s="1573">
        <f t="shared" si="13"/>
        <v>100</v>
      </c>
      <c r="V35" s="1572" t="s">
        <v>8</v>
      </c>
      <c r="W35" s="1573">
        <f t="shared" si="14"/>
        <v>100</v>
      </c>
      <c r="X35" s="1566"/>
      <c r="Y35" s="361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613"/>
      <c r="Q36" s="1571" t="str">
        <f t="shared" si="11"/>
        <v>内部装修</v>
      </c>
      <c r="R36" s="1572" t="s">
        <v>8</v>
      </c>
      <c r="S36" s="1573">
        <f t="shared" si="12"/>
        <v>100</v>
      </c>
      <c r="T36" s="1572" t="s">
        <v>8</v>
      </c>
      <c r="U36" s="1573">
        <f t="shared" si="13"/>
        <v>100</v>
      </c>
      <c r="V36" s="1572" t="s">
        <v>8</v>
      </c>
      <c r="W36" s="1573">
        <f t="shared" si="14"/>
        <v>100</v>
      </c>
      <c r="X36" s="1566"/>
      <c r="Y36" s="361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613"/>
      <c r="Q37" s="1571" t="str">
        <f t="shared" si="11"/>
        <v>内部装修状况</v>
      </c>
      <c r="R37" s="1572" t="s">
        <v>8</v>
      </c>
      <c r="S37" s="1573">
        <f t="shared" si="12"/>
        <v>100</v>
      </c>
      <c r="T37" s="1572" t="s">
        <v>8</v>
      </c>
      <c r="U37" s="1573">
        <f t="shared" si="13"/>
        <v>100</v>
      </c>
      <c r="V37" s="1572" t="s">
        <v>8</v>
      </c>
      <c r="W37" s="1573">
        <f t="shared" si="14"/>
        <v>100</v>
      </c>
      <c r="X37" s="1566"/>
      <c r="Y37" s="3613"/>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613"/>
      <c r="Q38" s="1604">
        <f t="shared" si="11"/>
        <v>111</v>
      </c>
      <c r="R38" s="1576" t="s">
        <v>8</v>
      </c>
      <c r="S38" s="1577">
        <f t="shared" si="12"/>
        <v>100</v>
      </c>
      <c r="T38" s="1576" t="s">
        <v>8</v>
      </c>
      <c r="U38" s="1577">
        <f t="shared" si="13"/>
        <v>100</v>
      </c>
      <c r="V38" s="1576" t="s">
        <v>8</v>
      </c>
      <c r="W38" s="1577">
        <f t="shared" si="14"/>
        <v>100</v>
      </c>
      <c r="X38" s="1578"/>
      <c r="Y38" s="3613"/>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613"/>
      <c r="Q39" s="1571">
        <f t="shared" si="11"/>
        <v>111</v>
      </c>
      <c r="R39" s="1572" t="s">
        <v>8</v>
      </c>
      <c r="S39" s="1573">
        <f t="shared" si="12"/>
        <v>100</v>
      </c>
      <c r="T39" s="1572" t="s">
        <v>8</v>
      </c>
      <c r="U39" s="1573">
        <f t="shared" si="13"/>
        <v>100</v>
      </c>
      <c r="V39" s="1572" t="s">
        <v>8</v>
      </c>
      <c r="W39" s="1573">
        <f t="shared" si="14"/>
        <v>100</v>
      </c>
      <c r="X39" s="1566"/>
      <c r="Y39" s="3613"/>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75"/>
      <c r="Q40" s="1571">
        <f t="shared" si="11"/>
        <v>111</v>
      </c>
      <c r="R40" s="1572" t="s">
        <v>8</v>
      </c>
      <c r="S40" s="1573">
        <f t="shared" si="12"/>
        <v>100</v>
      </c>
      <c r="T40" s="1572" t="s">
        <v>8</v>
      </c>
      <c r="U40" s="1573">
        <f t="shared" si="13"/>
        <v>100</v>
      </c>
      <c r="V40" s="1572" t="s">
        <v>8</v>
      </c>
      <c r="W40" s="1573">
        <f t="shared" si="14"/>
        <v>100</v>
      </c>
      <c r="X40" s="1566"/>
      <c r="Y40" s="3675"/>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76" t="str">
        <f>A41</f>
        <v>成交单价（元/平方米）</v>
      </c>
      <c r="Q41" s="3576"/>
      <c r="R41" s="3674">
        <f>E41</f>
        <v>0</v>
      </c>
      <c r="S41" s="3674"/>
      <c r="T41" s="3674">
        <f>G41</f>
        <v>0</v>
      </c>
      <c r="U41" s="3674"/>
      <c r="V41" s="3674">
        <f>I41</f>
        <v>0</v>
      </c>
      <c r="W41" s="3674"/>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76" t="str">
        <f>A42</f>
        <v>比较价格（元/平方米）</v>
      </c>
      <c r="Q42" s="3576"/>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73" t="str">
        <f>A43</f>
        <v>估价对象XX用房的比较价格（楼面单价，元/平方米）</v>
      </c>
      <c r="Q43" s="3574"/>
      <c r="R43" s="3673" t="e">
        <f>IF(F1="售价",ROUND(AVERAGE(R42:V42),0),ROUND(AVERAGE(R42:V42),1))</f>
        <v>#DIV/0!</v>
      </c>
      <c r="S43" s="3673"/>
      <c r="T43" s="3673"/>
      <c r="U43" s="3673"/>
      <c r="V43" s="3673"/>
      <c r="W43" s="367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82" t="s">
        <v>797</v>
      </c>
      <c r="D4" s="3583"/>
      <c r="E4" s="3582" t="s">
        <v>798</v>
      </c>
      <c r="F4" s="3583"/>
      <c r="G4" s="3582" t="s">
        <v>799</v>
      </c>
      <c r="H4" s="3583"/>
      <c r="I4" s="3582" t="s">
        <v>800</v>
      </c>
      <c r="J4" s="3583"/>
      <c r="K4" s="514" t="s">
        <v>801</v>
      </c>
      <c r="L4" s="2132"/>
      <c r="M4" s="2133"/>
      <c r="N4" s="2133"/>
      <c r="O4" s="2133"/>
      <c r="P4" s="3584" t="s">
        <v>802</v>
      </c>
      <c r="Q4" s="3585"/>
      <c r="R4" s="3590" t="s">
        <v>798</v>
      </c>
      <c r="S4" s="3591"/>
      <c r="T4" s="3590" t="s">
        <v>799</v>
      </c>
      <c r="U4" s="3591"/>
      <c r="V4" s="3577" t="s">
        <v>800</v>
      </c>
      <c r="W4" s="3577"/>
      <c r="X4" s="1566"/>
      <c r="Y4" s="3590" t="s">
        <v>802</v>
      </c>
      <c r="Z4" s="3591"/>
      <c r="AA4" s="3579" t="s">
        <v>798</v>
      </c>
      <c r="AB4" s="3580" t="s">
        <v>799</v>
      </c>
      <c r="AC4" s="3579" t="s">
        <v>800</v>
      </c>
    </row>
    <row r="5" spans="1:29" ht="15">
      <c r="A5" s="515"/>
      <c r="B5" s="516"/>
      <c r="C5" s="3598" t="s">
        <v>2925</v>
      </c>
      <c r="D5" s="3599"/>
      <c r="E5" s="3598" t="s">
        <v>2926</v>
      </c>
      <c r="F5" s="3599"/>
      <c r="G5" s="3598" t="s">
        <v>2927</v>
      </c>
      <c r="H5" s="3599"/>
      <c r="I5" s="3598" t="s">
        <v>2928</v>
      </c>
      <c r="J5" s="3599"/>
      <c r="K5" s="514"/>
      <c r="L5" s="2132"/>
      <c r="M5" s="2133"/>
      <c r="N5" s="2133"/>
      <c r="O5" s="2133"/>
      <c r="P5" s="3586"/>
      <c r="Q5" s="3587"/>
      <c r="R5" s="3592"/>
      <c r="S5" s="3593"/>
      <c r="T5" s="3592"/>
      <c r="U5" s="3593"/>
      <c r="V5" s="3577"/>
      <c r="W5" s="3577"/>
      <c r="X5" s="1566"/>
      <c r="Y5" s="3592"/>
      <c r="Z5" s="3593"/>
      <c r="AA5" s="3580"/>
      <c r="AB5" s="3580"/>
      <c r="AC5" s="3580"/>
    </row>
    <row r="6" spans="1:29" ht="15.75" thickBot="1">
      <c r="A6" s="517"/>
      <c r="B6" s="518"/>
      <c r="C6" s="3596" t="s">
        <v>2929</v>
      </c>
      <c r="D6" s="3597"/>
      <c r="E6" s="3600" t="s">
        <v>2929</v>
      </c>
      <c r="F6" s="3601"/>
      <c r="G6" s="3596" t="s">
        <v>2929</v>
      </c>
      <c r="H6" s="3597"/>
      <c r="I6" s="3596" t="s">
        <v>2929</v>
      </c>
      <c r="J6" s="3597"/>
      <c r="K6" s="514" t="s">
        <v>527</v>
      </c>
      <c r="L6" s="2132"/>
      <c r="M6" s="2133"/>
      <c r="N6" s="2133"/>
      <c r="O6" s="2133"/>
      <c r="P6" s="3588"/>
      <c r="Q6" s="3589"/>
      <c r="R6" s="3592"/>
      <c r="S6" s="3593"/>
      <c r="T6" s="3594"/>
      <c r="U6" s="3595"/>
      <c r="V6" s="3577"/>
      <c r="W6" s="3577"/>
      <c r="X6" s="1566"/>
      <c r="Y6" s="3594"/>
      <c r="Z6" s="3595"/>
      <c r="AA6" s="3581"/>
      <c r="AB6" s="3581"/>
      <c r="AC6" s="3581"/>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607" t="s">
        <v>529</v>
      </c>
      <c r="Q7" s="3609"/>
      <c r="R7" s="1567" t="s">
        <v>8</v>
      </c>
      <c r="S7" s="1568">
        <f t="shared" ref="S7:S14" si="0">F7</f>
        <v>0</v>
      </c>
      <c r="T7" s="1567" t="s">
        <v>8</v>
      </c>
      <c r="U7" s="1568">
        <f t="shared" ref="U7:U14" si="1">H7</f>
        <v>0</v>
      </c>
      <c r="V7" s="1567" t="s">
        <v>8</v>
      </c>
      <c r="W7" s="1568">
        <f t="shared" ref="W7:W14" si="2">J7</f>
        <v>0</v>
      </c>
      <c r="X7" s="1569"/>
      <c r="Y7" s="3607" t="s">
        <v>529</v>
      </c>
      <c r="Z7" s="3608"/>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607" t="s">
        <v>532</v>
      </c>
      <c r="Q8" s="3608"/>
      <c r="R8" s="1567" t="s">
        <v>8</v>
      </c>
      <c r="S8" s="1568">
        <f t="shared" si="0"/>
        <v>0</v>
      </c>
      <c r="T8" s="1567" t="s">
        <v>8</v>
      </c>
      <c r="U8" s="1568">
        <f t="shared" si="1"/>
        <v>0</v>
      </c>
      <c r="V8" s="1567" t="s">
        <v>8</v>
      </c>
      <c r="W8" s="1568">
        <f t="shared" si="2"/>
        <v>0</v>
      </c>
      <c r="X8" s="1569"/>
      <c r="Y8" s="3607" t="s">
        <v>532</v>
      </c>
      <c r="Z8" s="3608"/>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76" t="s">
        <v>534</v>
      </c>
      <c r="Q9" s="1150" t="str">
        <f t="shared" ref="Q9:Q14" si="6">B9</f>
        <v>用途</v>
      </c>
      <c r="R9" s="1567" t="s">
        <v>8</v>
      </c>
      <c r="S9" s="1568">
        <f t="shared" si="0"/>
        <v>100</v>
      </c>
      <c r="T9" s="1567" t="s">
        <v>8</v>
      </c>
      <c r="U9" s="1568">
        <f t="shared" si="1"/>
        <v>100</v>
      </c>
      <c r="V9" s="1567" t="s">
        <v>8</v>
      </c>
      <c r="W9" s="1568">
        <f t="shared" si="2"/>
        <v>100</v>
      </c>
      <c r="X9" s="1569"/>
      <c r="Y9" s="344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76"/>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76"/>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76"/>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76"/>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610" t="s">
        <v>539</v>
      </c>
      <c r="Q14" s="1571" t="str">
        <f t="shared" si="6"/>
        <v>交通便捷度</v>
      </c>
      <c r="R14" s="1572" t="s">
        <v>8</v>
      </c>
      <c r="S14" s="1573">
        <f t="shared" si="0"/>
        <v>100</v>
      </c>
      <c r="T14" s="1572" t="s">
        <v>8</v>
      </c>
      <c r="U14" s="1573">
        <f t="shared" si="1"/>
        <v>100</v>
      </c>
      <c r="V14" s="1572" t="s">
        <v>8</v>
      </c>
      <c r="W14" s="1573">
        <f t="shared" si="2"/>
        <v>100</v>
      </c>
      <c r="X14" s="1566"/>
      <c r="Y14" s="3610"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611"/>
      <c r="Q15" s="1571"/>
      <c r="R15" s="1572"/>
      <c r="S15" s="1573"/>
      <c r="T15" s="1572"/>
      <c r="U15" s="1573"/>
      <c r="V15" s="1572"/>
      <c r="W15" s="1573"/>
      <c r="X15" s="1566"/>
      <c r="Y15" s="3611"/>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611"/>
      <c r="Q16" s="1571" t="str">
        <f>B16</f>
        <v>公共配套设施</v>
      </c>
      <c r="R16" s="1572" t="s">
        <v>8</v>
      </c>
      <c r="S16" s="1573">
        <f>F16</f>
        <v>100</v>
      </c>
      <c r="T16" s="1572" t="s">
        <v>8</v>
      </c>
      <c r="U16" s="1573">
        <f>H16</f>
        <v>100</v>
      </c>
      <c r="V16" s="1572" t="s">
        <v>8</v>
      </c>
      <c r="W16" s="1573">
        <f>J16</f>
        <v>100</v>
      </c>
      <c r="X16" s="1566"/>
      <c r="Y16" s="361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611"/>
      <c r="Q17" s="1571"/>
      <c r="R17" s="1572"/>
      <c r="S17" s="1573"/>
      <c r="T17" s="1572"/>
      <c r="U17" s="1573"/>
      <c r="V17" s="1572"/>
      <c r="W17" s="1573"/>
      <c r="X17" s="1566"/>
      <c r="Y17" s="3611"/>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611"/>
      <c r="Q18" s="2557" t="str">
        <f>B18</f>
        <v>基础设施水平</v>
      </c>
      <c r="R18" s="1572" t="s">
        <v>8</v>
      </c>
      <c r="S18" s="1573">
        <f>F18</f>
        <v>100</v>
      </c>
      <c r="T18" s="1572" t="s">
        <v>8</v>
      </c>
      <c r="U18" s="1573">
        <f>H18</f>
        <v>100</v>
      </c>
      <c r="V18" s="1572" t="s">
        <v>8</v>
      </c>
      <c r="W18" s="1573">
        <f>J18</f>
        <v>100</v>
      </c>
      <c r="X18" s="2559"/>
      <c r="Y18" s="3611"/>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611"/>
      <c r="Q19" s="2557"/>
      <c r="R19" s="1572"/>
      <c r="S19" s="1573"/>
      <c r="T19" s="1572"/>
      <c r="U19" s="1573"/>
      <c r="V19" s="1572"/>
      <c r="W19" s="1573"/>
      <c r="X19" s="2559"/>
      <c r="Y19" s="3611"/>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611"/>
      <c r="Q20" s="1571" t="str">
        <f>B20</f>
        <v>自然及人文环境</v>
      </c>
      <c r="R20" s="1572" t="s">
        <v>8</v>
      </c>
      <c r="S20" s="1573">
        <f>F20</f>
        <v>100</v>
      </c>
      <c r="T20" s="1572" t="s">
        <v>8</v>
      </c>
      <c r="U20" s="1573">
        <f>H20</f>
        <v>100</v>
      </c>
      <c r="V20" s="1572" t="s">
        <v>8</v>
      </c>
      <c r="W20" s="1573">
        <f>J20</f>
        <v>100</v>
      </c>
      <c r="X20" s="1566"/>
      <c r="Y20" s="361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611"/>
      <c r="Q21" s="1571"/>
      <c r="R21" s="1572"/>
      <c r="S21" s="1573"/>
      <c r="T21" s="1572"/>
      <c r="U21" s="1573"/>
      <c r="V21" s="1572"/>
      <c r="W21" s="1573"/>
      <c r="X21" s="1566"/>
      <c r="Y21" s="3611"/>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611"/>
      <c r="Q22" s="1571" t="str">
        <f>B22</f>
        <v>楼层</v>
      </c>
      <c r="R22" s="1572" t="s">
        <v>8</v>
      </c>
      <c r="S22" s="1573">
        <f>F22</f>
        <v>100</v>
      </c>
      <c r="T22" s="1572" t="s">
        <v>8</v>
      </c>
      <c r="U22" s="1573">
        <f>H22</f>
        <v>100</v>
      </c>
      <c r="V22" s="1572" t="s">
        <v>8</v>
      </c>
      <c r="W22" s="1573">
        <f>J22</f>
        <v>100</v>
      </c>
      <c r="X22" s="1566"/>
      <c r="Y22" s="3611"/>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611"/>
      <c r="Q23" s="1571">
        <f>B23</f>
        <v>111</v>
      </c>
      <c r="R23" s="1572" t="s">
        <v>8</v>
      </c>
      <c r="S23" s="1573">
        <f>F23</f>
        <v>100</v>
      </c>
      <c r="T23" s="1572" t="s">
        <v>8</v>
      </c>
      <c r="U23" s="1573">
        <f>H23</f>
        <v>100</v>
      </c>
      <c r="V23" s="1572" t="s">
        <v>8</v>
      </c>
      <c r="W23" s="1573">
        <f>J23</f>
        <v>100</v>
      </c>
      <c r="X23" s="1566"/>
      <c r="Y23" s="3611"/>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611"/>
      <c r="Q24" s="1571">
        <f t="shared" ref="Q24:Q36" si="11">B24</f>
        <v>111</v>
      </c>
      <c r="R24" s="1572" t="s">
        <v>8</v>
      </c>
      <c r="S24" s="1573">
        <f>F24</f>
        <v>100</v>
      </c>
      <c r="T24" s="1572" t="s">
        <v>8</v>
      </c>
      <c r="U24" s="1573">
        <f>H24</f>
        <v>100</v>
      </c>
      <c r="V24" s="1572" t="s">
        <v>8</v>
      </c>
      <c r="W24" s="1573">
        <f>J24</f>
        <v>100</v>
      </c>
      <c r="X24" s="1566"/>
      <c r="Y24" s="3611"/>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611"/>
      <c r="Q25" s="1150">
        <f t="shared" si="11"/>
        <v>111</v>
      </c>
      <c r="R25" s="1567" t="s">
        <v>8</v>
      </c>
      <c r="S25" s="1568">
        <f>F25</f>
        <v>100</v>
      </c>
      <c r="T25" s="1567" t="s">
        <v>8</v>
      </c>
      <c r="U25" s="1568">
        <f>H25</f>
        <v>100</v>
      </c>
      <c r="V25" s="1567" t="s">
        <v>8</v>
      </c>
      <c r="W25" s="1568">
        <f>J25</f>
        <v>100</v>
      </c>
      <c r="X25" s="1569"/>
      <c r="Y25" s="3611"/>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61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613"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613"/>
      <c r="Q27" s="1604" t="str">
        <f t="shared" si="11"/>
        <v>项目停车位配比</v>
      </c>
      <c r="R27" s="1576" t="s">
        <v>8</v>
      </c>
      <c r="S27" s="1577">
        <f t="shared" si="12"/>
        <v>100</v>
      </c>
      <c r="T27" s="1576" t="s">
        <v>8</v>
      </c>
      <c r="U27" s="1577">
        <f t="shared" si="13"/>
        <v>100</v>
      </c>
      <c r="V27" s="1576" t="s">
        <v>8</v>
      </c>
      <c r="W27" s="1577">
        <f t="shared" si="14"/>
        <v>100</v>
      </c>
      <c r="X27" s="1578"/>
      <c r="Y27" s="3613"/>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613"/>
      <c r="Q28" s="1571" t="str">
        <f t="shared" si="11"/>
        <v>公共部分装修</v>
      </c>
      <c r="R28" s="1572" t="s">
        <v>8</v>
      </c>
      <c r="S28" s="1573">
        <f t="shared" si="12"/>
        <v>100</v>
      </c>
      <c r="T28" s="1572" t="s">
        <v>8</v>
      </c>
      <c r="U28" s="1573">
        <f t="shared" si="13"/>
        <v>100</v>
      </c>
      <c r="V28" s="1572" t="s">
        <v>8</v>
      </c>
      <c r="W28" s="1573">
        <f t="shared" si="14"/>
        <v>100</v>
      </c>
      <c r="X28" s="1566"/>
      <c r="Y28" s="3613"/>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613"/>
      <c r="Q29" s="1571" t="str">
        <f t="shared" si="11"/>
        <v>成新率</v>
      </c>
      <c r="R29" s="1572" t="s">
        <v>8</v>
      </c>
      <c r="S29" s="1573" t="e">
        <f t="shared" si="12"/>
        <v>#N/A</v>
      </c>
      <c r="T29" s="1572" t="s">
        <v>8</v>
      </c>
      <c r="U29" s="1573" t="e">
        <f t="shared" si="13"/>
        <v>#N/A</v>
      </c>
      <c r="V29" s="1572" t="s">
        <v>8</v>
      </c>
      <c r="W29" s="1573" t="e">
        <f t="shared" si="14"/>
        <v>#N/A</v>
      </c>
      <c r="X29" s="1566"/>
      <c r="Y29" s="3613"/>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613"/>
      <c r="Q30" s="1571" t="str">
        <f t="shared" si="11"/>
        <v>物业等级</v>
      </c>
      <c r="R30" s="1572" t="s">
        <v>8</v>
      </c>
      <c r="S30" s="1573">
        <f t="shared" si="12"/>
        <v>100</v>
      </c>
      <c r="T30" s="1572" t="s">
        <v>8</v>
      </c>
      <c r="U30" s="1573">
        <f t="shared" si="13"/>
        <v>100</v>
      </c>
      <c r="V30" s="1572" t="s">
        <v>8</v>
      </c>
      <c r="W30" s="1573">
        <f t="shared" si="14"/>
        <v>100</v>
      </c>
      <c r="X30" s="1566"/>
      <c r="Y30" s="3613"/>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613"/>
      <c r="Q31" s="1150" t="str">
        <f t="shared" si="11"/>
        <v>停车位面积</v>
      </c>
      <c r="R31" s="1567" t="s">
        <v>8</v>
      </c>
      <c r="S31" s="1568" t="e">
        <f t="shared" si="12"/>
        <v>#N/A</v>
      </c>
      <c r="T31" s="1567" t="s">
        <v>8</v>
      </c>
      <c r="U31" s="1568" t="e">
        <f t="shared" si="13"/>
        <v>#N/A</v>
      </c>
      <c r="V31" s="1567" t="s">
        <v>8</v>
      </c>
      <c r="W31" s="1568" t="e">
        <f t="shared" si="14"/>
        <v>#N/A</v>
      </c>
      <c r="X31" s="1569"/>
      <c r="Y31" s="3613"/>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613" t="s">
        <v>549</v>
      </c>
      <c r="Q32" s="1571" t="str">
        <f t="shared" si="11"/>
        <v>车位类型</v>
      </c>
      <c r="R32" s="1572" t="s">
        <v>8</v>
      </c>
      <c r="S32" s="1573">
        <f t="shared" si="12"/>
        <v>100</v>
      </c>
      <c r="T32" s="1572" t="s">
        <v>8</v>
      </c>
      <c r="U32" s="1573">
        <f t="shared" si="13"/>
        <v>100</v>
      </c>
      <c r="V32" s="1572" t="s">
        <v>8</v>
      </c>
      <c r="W32" s="1573">
        <f t="shared" si="14"/>
        <v>100</v>
      </c>
      <c r="X32" s="1566"/>
      <c r="Y32" s="3613"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613"/>
      <c r="Q33" s="1571" t="str">
        <f t="shared" si="11"/>
        <v>是否直接入户</v>
      </c>
      <c r="R33" s="1572" t="s">
        <v>8</v>
      </c>
      <c r="S33" s="1573">
        <f t="shared" si="12"/>
        <v>100</v>
      </c>
      <c r="T33" s="1572" t="s">
        <v>8</v>
      </c>
      <c r="U33" s="1573">
        <f t="shared" si="13"/>
        <v>100</v>
      </c>
      <c r="V33" s="1572" t="s">
        <v>8</v>
      </c>
      <c r="W33" s="1573">
        <f t="shared" si="14"/>
        <v>100</v>
      </c>
      <c r="X33" s="1566"/>
      <c r="Y33" s="3613"/>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613"/>
      <c r="Q34" s="1571">
        <f t="shared" si="11"/>
        <v>111</v>
      </c>
      <c r="R34" s="1572" t="s">
        <v>8</v>
      </c>
      <c r="S34" s="1573">
        <f t="shared" si="12"/>
        <v>100</v>
      </c>
      <c r="T34" s="1572" t="s">
        <v>8</v>
      </c>
      <c r="U34" s="1573">
        <f t="shared" si="13"/>
        <v>100</v>
      </c>
      <c r="V34" s="1572" t="s">
        <v>8</v>
      </c>
      <c r="W34" s="1573">
        <f t="shared" si="14"/>
        <v>100</v>
      </c>
      <c r="X34" s="1566"/>
      <c r="Y34" s="3613"/>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613"/>
      <c r="Q35" s="1604">
        <f t="shared" si="11"/>
        <v>111</v>
      </c>
      <c r="R35" s="1576" t="s">
        <v>8</v>
      </c>
      <c r="S35" s="1577">
        <f t="shared" si="12"/>
        <v>100</v>
      </c>
      <c r="T35" s="1576" t="s">
        <v>8</v>
      </c>
      <c r="U35" s="1577">
        <f t="shared" si="13"/>
        <v>100</v>
      </c>
      <c r="V35" s="1576" t="s">
        <v>8</v>
      </c>
      <c r="W35" s="1577">
        <f t="shared" si="14"/>
        <v>100</v>
      </c>
      <c r="X35" s="1578"/>
      <c r="Y35" s="3613"/>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613"/>
      <c r="Q36" s="1571">
        <f t="shared" si="11"/>
        <v>111</v>
      </c>
      <c r="R36" s="1572" t="s">
        <v>8</v>
      </c>
      <c r="S36" s="1573">
        <f t="shared" si="12"/>
        <v>100</v>
      </c>
      <c r="T36" s="1572" t="s">
        <v>8</v>
      </c>
      <c r="U36" s="1573">
        <f t="shared" si="13"/>
        <v>100</v>
      </c>
      <c r="V36" s="1572" t="s">
        <v>8</v>
      </c>
      <c r="W36" s="1573">
        <f t="shared" si="14"/>
        <v>100</v>
      </c>
      <c r="X36" s="1566"/>
      <c r="Y36" s="3613"/>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76" t="str">
        <f>A37</f>
        <v>成交单价</v>
      </c>
      <c r="Q37" s="3576"/>
      <c r="R37" s="3674">
        <f>E37</f>
        <v>0</v>
      </c>
      <c r="S37" s="3674"/>
      <c r="T37" s="3674">
        <f>G37</f>
        <v>0</v>
      </c>
      <c r="U37" s="3674"/>
      <c r="V37" s="3674">
        <f>I37</f>
        <v>0</v>
      </c>
      <c r="W37" s="3674"/>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76" t="str">
        <f>A38</f>
        <v>比较价格（元/平方米）</v>
      </c>
      <c r="Q38" s="3576"/>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73" t="str">
        <f>A39</f>
        <v>估价对象XX用房的比较价格（楼面单价，元/平方米）</v>
      </c>
      <c r="Q39" s="3574"/>
      <c r="R39" s="3673" t="e">
        <f>IF(F1="售价",ROUND(AVERAGE(R38:V38),0),ROUND(AVERAGE(R38:V38),1))</f>
        <v>#DIV/0!</v>
      </c>
      <c r="S39" s="3673"/>
      <c r="T39" s="3673"/>
      <c r="U39" s="3673"/>
      <c r="V39" s="3673"/>
      <c r="W39" s="367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82" t="s">
        <v>797</v>
      </c>
      <c r="D4" s="3583"/>
      <c r="E4" s="3616" t="s">
        <v>798</v>
      </c>
      <c r="F4" s="3617"/>
      <c r="G4" s="3582" t="s">
        <v>799</v>
      </c>
      <c r="H4" s="3583"/>
      <c r="I4" s="3582" t="s">
        <v>800</v>
      </c>
      <c r="J4" s="3583"/>
      <c r="K4" s="514" t="s">
        <v>801</v>
      </c>
      <c r="L4" s="2132"/>
      <c r="M4" s="2133"/>
      <c r="N4" s="2133"/>
      <c r="O4" s="2133"/>
      <c r="P4" s="3584" t="s">
        <v>802</v>
      </c>
      <c r="Q4" s="3585"/>
      <c r="R4" s="3590" t="s">
        <v>798</v>
      </c>
      <c r="S4" s="3591"/>
      <c r="T4" s="3590" t="s">
        <v>799</v>
      </c>
      <c r="U4" s="3591"/>
      <c r="V4" s="3577" t="s">
        <v>800</v>
      </c>
      <c r="W4" s="3577"/>
      <c r="X4" s="1566"/>
      <c r="Y4" s="3590" t="s">
        <v>802</v>
      </c>
      <c r="Z4" s="3591"/>
      <c r="AA4" s="3579" t="s">
        <v>798</v>
      </c>
      <c r="AB4" s="3580" t="s">
        <v>799</v>
      </c>
      <c r="AC4" s="3579" t="s">
        <v>800</v>
      </c>
    </row>
    <row r="5" spans="1:29" ht="15">
      <c r="A5" s="515"/>
      <c r="B5" s="516"/>
      <c r="C5" s="3598" t="s">
        <v>2925</v>
      </c>
      <c r="D5" s="3599"/>
      <c r="E5" s="3618" t="s">
        <v>2926</v>
      </c>
      <c r="F5" s="3619"/>
      <c r="G5" s="3598" t="s">
        <v>2927</v>
      </c>
      <c r="H5" s="3599"/>
      <c r="I5" s="3598" t="s">
        <v>2928</v>
      </c>
      <c r="J5" s="3599"/>
      <c r="K5" s="514"/>
      <c r="L5" s="2132"/>
      <c r="M5" s="2133"/>
      <c r="N5" s="2133"/>
      <c r="O5" s="2133"/>
      <c r="P5" s="3586"/>
      <c r="Q5" s="3587"/>
      <c r="R5" s="3592"/>
      <c r="S5" s="3593"/>
      <c r="T5" s="3592"/>
      <c r="U5" s="3593"/>
      <c r="V5" s="3577"/>
      <c r="W5" s="3577"/>
      <c r="X5" s="1566"/>
      <c r="Y5" s="3592"/>
      <c r="Z5" s="3593"/>
      <c r="AA5" s="3580"/>
      <c r="AB5" s="3580"/>
      <c r="AC5" s="3580"/>
    </row>
    <row r="6" spans="1:29" ht="15.75" thickBot="1">
      <c r="A6" s="517"/>
      <c r="B6" s="518"/>
      <c r="C6" s="3596" t="s">
        <v>2929</v>
      </c>
      <c r="D6" s="3597"/>
      <c r="E6" s="3614" t="s">
        <v>2929</v>
      </c>
      <c r="F6" s="3615"/>
      <c r="G6" s="3596" t="s">
        <v>2929</v>
      </c>
      <c r="H6" s="3597"/>
      <c r="I6" s="3596" t="s">
        <v>2929</v>
      </c>
      <c r="J6" s="3597"/>
      <c r="K6" s="514" t="s">
        <v>527</v>
      </c>
      <c r="L6" s="2132"/>
      <c r="M6" s="2133"/>
      <c r="N6" s="2133"/>
      <c r="O6" s="2133"/>
      <c r="P6" s="3588"/>
      <c r="Q6" s="3589"/>
      <c r="R6" s="3592"/>
      <c r="S6" s="3593"/>
      <c r="T6" s="3594"/>
      <c r="U6" s="3595"/>
      <c r="V6" s="3577"/>
      <c r="W6" s="3577"/>
      <c r="X6" s="1566"/>
      <c r="Y6" s="3594"/>
      <c r="Z6" s="3595"/>
      <c r="AA6" s="3581"/>
      <c r="AB6" s="3581"/>
      <c r="AC6" s="3581"/>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607" t="s">
        <v>529</v>
      </c>
      <c r="Q7" s="3609"/>
      <c r="R7" s="1567" t="s">
        <v>8</v>
      </c>
      <c r="S7" s="1568">
        <f t="shared" ref="S7:S14" si="0">F7</f>
        <v>0</v>
      </c>
      <c r="T7" s="1567" t="s">
        <v>8</v>
      </c>
      <c r="U7" s="1568">
        <f t="shared" ref="U7:U14" si="1">H7</f>
        <v>0</v>
      </c>
      <c r="V7" s="1567" t="s">
        <v>8</v>
      </c>
      <c r="W7" s="1568">
        <f t="shared" ref="W7:W14" si="2">J7</f>
        <v>0</v>
      </c>
      <c r="X7" s="1569"/>
      <c r="Y7" s="3607" t="s">
        <v>529</v>
      </c>
      <c r="Z7" s="3608"/>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607" t="s">
        <v>532</v>
      </c>
      <c r="Q8" s="3608"/>
      <c r="R8" s="1567" t="s">
        <v>8</v>
      </c>
      <c r="S8" s="1568">
        <f t="shared" si="0"/>
        <v>0</v>
      </c>
      <c r="T8" s="1567" t="s">
        <v>8</v>
      </c>
      <c r="U8" s="1568">
        <f t="shared" si="1"/>
        <v>0</v>
      </c>
      <c r="V8" s="1567" t="s">
        <v>8</v>
      </c>
      <c r="W8" s="1568">
        <f t="shared" si="2"/>
        <v>0</v>
      </c>
      <c r="X8" s="1569"/>
      <c r="Y8" s="3607" t="s">
        <v>532</v>
      </c>
      <c r="Z8" s="3608"/>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76" t="s">
        <v>534</v>
      </c>
      <c r="Q9" s="1150" t="str">
        <f t="shared" ref="Q9:Q14" si="6">B9</f>
        <v>用途</v>
      </c>
      <c r="R9" s="1567" t="s">
        <v>8</v>
      </c>
      <c r="S9" s="1568">
        <f t="shared" si="0"/>
        <v>100</v>
      </c>
      <c r="T9" s="1567" t="s">
        <v>8</v>
      </c>
      <c r="U9" s="1568">
        <f t="shared" si="1"/>
        <v>100</v>
      </c>
      <c r="V9" s="1567" t="s">
        <v>8</v>
      </c>
      <c r="W9" s="1568">
        <f t="shared" si="2"/>
        <v>100</v>
      </c>
      <c r="X9" s="1569"/>
      <c r="Y9" s="3440"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76"/>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76"/>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76"/>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76"/>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610" t="s">
        <v>539</v>
      </c>
      <c r="Q14" s="1571" t="str">
        <f t="shared" si="6"/>
        <v>交通便捷度</v>
      </c>
      <c r="R14" s="1572" t="s">
        <v>8</v>
      </c>
      <c r="S14" s="1573">
        <f t="shared" si="0"/>
        <v>100</v>
      </c>
      <c r="T14" s="1572" t="s">
        <v>8</v>
      </c>
      <c r="U14" s="1573">
        <f t="shared" si="1"/>
        <v>100</v>
      </c>
      <c r="V14" s="1572" t="s">
        <v>8</v>
      </c>
      <c r="W14" s="1573">
        <f t="shared" si="2"/>
        <v>100</v>
      </c>
      <c r="X14" s="1566"/>
      <c r="Y14" s="361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611"/>
      <c r="Q15" s="1571"/>
      <c r="R15" s="1572"/>
      <c r="S15" s="1573"/>
      <c r="T15" s="1572"/>
      <c r="U15" s="1573"/>
      <c r="V15" s="1572"/>
      <c r="W15" s="1573"/>
      <c r="X15" s="1566"/>
      <c r="Y15" s="3611"/>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611"/>
      <c r="Q16" s="1571" t="str">
        <f>B16</f>
        <v>公共配套设施</v>
      </c>
      <c r="R16" s="1572" t="s">
        <v>8</v>
      </c>
      <c r="S16" s="1573">
        <f>F16</f>
        <v>100</v>
      </c>
      <c r="T16" s="1572" t="s">
        <v>8</v>
      </c>
      <c r="U16" s="1573">
        <f>H16</f>
        <v>100</v>
      </c>
      <c r="V16" s="1572" t="s">
        <v>8</v>
      </c>
      <c r="W16" s="1573">
        <f>J16</f>
        <v>100</v>
      </c>
      <c r="X16" s="1566"/>
      <c r="Y16" s="361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611"/>
      <c r="Q17" s="1571"/>
      <c r="R17" s="1572"/>
      <c r="S17" s="1573"/>
      <c r="T17" s="1572"/>
      <c r="U17" s="1573"/>
      <c r="V17" s="1572"/>
      <c r="W17" s="1573"/>
      <c r="X17" s="1566"/>
      <c r="Y17" s="3611"/>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611"/>
      <c r="Q18" s="2557" t="str">
        <f>B18</f>
        <v>基础设施水平</v>
      </c>
      <c r="R18" s="1572" t="s">
        <v>8</v>
      </c>
      <c r="S18" s="1573">
        <f>F18</f>
        <v>100</v>
      </c>
      <c r="T18" s="1572" t="s">
        <v>8</v>
      </c>
      <c r="U18" s="1573">
        <f>H18</f>
        <v>100</v>
      </c>
      <c r="V18" s="1572" t="s">
        <v>8</v>
      </c>
      <c r="W18" s="1573">
        <f>J18</f>
        <v>100</v>
      </c>
      <c r="X18" s="2559"/>
      <c r="Y18" s="3611"/>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611"/>
      <c r="Q19" s="2557"/>
      <c r="R19" s="1572"/>
      <c r="S19" s="1573"/>
      <c r="T19" s="1572"/>
      <c r="U19" s="1573"/>
      <c r="V19" s="1572"/>
      <c r="W19" s="1573"/>
      <c r="X19" s="2559"/>
      <c r="Y19" s="3611"/>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611"/>
      <c r="Q20" s="1571" t="str">
        <f>B20</f>
        <v>自然及人文环境</v>
      </c>
      <c r="R20" s="1572" t="s">
        <v>8</v>
      </c>
      <c r="S20" s="1573">
        <f>F20</f>
        <v>100</v>
      </c>
      <c r="T20" s="1572" t="s">
        <v>8</v>
      </c>
      <c r="U20" s="1573">
        <f>H20</f>
        <v>100</v>
      </c>
      <c r="V20" s="1572" t="s">
        <v>8</v>
      </c>
      <c r="W20" s="1573">
        <f>J20</f>
        <v>100</v>
      </c>
      <c r="X20" s="1566"/>
      <c r="Y20" s="361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611"/>
      <c r="Q21" s="1571"/>
      <c r="R21" s="1572"/>
      <c r="S21" s="1573"/>
      <c r="T21" s="1572"/>
      <c r="U21" s="1573"/>
      <c r="V21" s="1572"/>
      <c r="W21" s="1573"/>
      <c r="X21" s="1566"/>
      <c r="Y21" s="361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611"/>
      <c r="Q22" s="1571" t="str">
        <f>B22</f>
        <v>楼层</v>
      </c>
      <c r="R22" s="1572" t="s">
        <v>8</v>
      </c>
      <c r="S22" s="1573">
        <f>F22</f>
        <v>100</v>
      </c>
      <c r="T22" s="1572" t="s">
        <v>8</v>
      </c>
      <c r="U22" s="1573">
        <f>H22</f>
        <v>100</v>
      </c>
      <c r="V22" s="1572" t="s">
        <v>8</v>
      </c>
      <c r="W22" s="1573">
        <f>J22</f>
        <v>100</v>
      </c>
      <c r="X22" s="1566"/>
      <c r="Y22" s="361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611"/>
      <c r="Q23" s="1571">
        <f>B23</f>
        <v>111</v>
      </c>
      <c r="R23" s="1572" t="s">
        <v>8</v>
      </c>
      <c r="S23" s="1573">
        <f>F23</f>
        <v>100</v>
      </c>
      <c r="T23" s="1572" t="s">
        <v>8</v>
      </c>
      <c r="U23" s="1573">
        <f>H23</f>
        <v>100</v>
      </c>
      <c r="V23" s="1572" t="s">
        <v>8</v>
      </c>
      <c r="W23" s="1573">
        <f>J23</f>
        <v>100</v>
      </c>
      <c r="X23" s="1566"/>
      <c r="Y23" s="361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611"/>
      <c r="Q24" s="1571">
        <f t="shared" ref="Q24:Q34" si="11">B24</f>
        <v>111</v>
      </c>
      <c r="R24" s="1572" t="s">
        <v>8</v>
      </c>
      <c r="S24" s="1573">
        <f>F24</f>
        <v>100</v>
      </c>
      <c r="T24" s="1572" t="s">
        <v>8</v>
      </c>
      <c r="U24" s="1573">
        <f>H24</f>
        <v>100</v>
      </c>
      <c r="V24" s="1572" t="s">
        <v>8</v>
      </c>
      <c r="W24" s="1573">
        <f>J24</f>
        <v>100</v>
      </c>
      <c r="X24" s="1566"/>
      <c r="Y24" s="3611"/>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611"/>
      <c r="Q25" s="1150">
        <f t="shared" si="11"/>
        <v>111</v>
      </c>
      <c r="R25" s="1567" t="s">
        <v>8</v>
      </c>
      <c r="S25" s="1568">
        <f>F25</f>
        <v>100</v>
      </c>
      <c r="T25" s="1567" t="s">
        <v>8</v>
      </c>
      <c r="U25" s="1568">
        <f>H25</f>
        <v>100</v>
      </c>
      <c r="V25" s="1567" t="s">
        <v>8</v>
      </c>
      <c r="W25" s="1568">
        <f>J25</f>
        <v>100</v>
      </c>
      <c r="X25" s="1569"/>
      <c r="Y25" s="3611"/>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61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613"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613"/>
      <c r="Q27" s="1604" t="str">
        <f t="shared" si="11"/>
        <v>成新率</v>
      </c>
      <c r="R27" s="1576" t="s">
        <v>8</v>
      </c>
      <c r="S27" s="1577" t="e">
        <f t="shared" si="12"/>
        <v>#N/A</v>
      </c>
      <c r="T27" s="1576" t="s">
        <v>8</v>
      </c>
      <c r="U27" s="1577" t="e">
        <f t="shared" si="13"/>
        <v>#N/A</v>
      </c>
      <c r="V27" s="1576" t="s">
        <v>8</v>
      </c>
      <c r="W27" s="1577" t="e">
        <f t="shared" si="14"/>
        <v>#N/A</v>
      </c>
      <c r="X27" s="1578"/>
      <c r="Y27" s="361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613"/>
      <c r="Q28" s="1571" t="str">
        <f t="shared" si="11"/>
        <v>物业等级</v>
      </c>
      <c r="R28" s="1572" t="s">
        <v>8</v>
      </c>
      <c r="S28" s="1573">
        <f t="shared" si="12"/>
        <v>100</v>
      </c>
      <c r="T28" s="1572" t="s">
        <v>8</v>
      </c>
      <c r="U28" s="1573">
        <f t="shared" si="13"/>
        <v>100</v>
      </c>
      <c r="V28" s="1572" t="s">
        <v>8</v>
      </c>
      <c r="W28" s="1573">
        <f t="shared" si="14"/>
        <v>100</v>
      </c>
      <c r="X28" s="1566"/>
      <c r="Y28" s="3613"/>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613"/>
      <c r="Q29" s="1571" t="str">
        <f t="shared" si="11"/>
        <v>有无电梯</v>
      </c>
      <c r="R29" s="1572" t="s">
        <v>8</v>
      </c>
      <c r="S29" s="1573">
        <f t="shared" si="12"/>
        <v>100</v>
      </c>
      <c r="T29" s="1572" t="s">
        <v>8</v>
      </c>
      <c r="U29" s="1573">
        <f t="shared" si="13"/>
        <v>100</v>
      </c>
      <c r="V29" s="1572" t="s">
        <v>8</v>
      </c>
      <c r="W29" s="1573">
        <f t="shared" si="14"/>
        <v>100</v>
      </c>
      <c r="X29" s="1566"/>
      <c r="Y29" s="3613"/>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613"/>
      <c r="Q30" s="1571" t="str">
        <f t="shared" si="11"/>
        <v>建筑面积</v>
      </c>
      <c r="R30" s="1572" t="s">
        <v>8</v>
      </c>
      <c r="S30" s="1573" t="e">
        <f t="shared" si="12"/>
        <v>#N/A</v>
      </c>
      <c r="T30" s="1572" t="s">
        <v>8</v>
      </c>
      <c r="U30" s="1573" t="e">
        <f t="shared" si="13"/>
        <v>#N/A</v>
      </c>
      <c r="V30" s="1572" t="s">
        <v>8</v>
      </c>
      <c r="W30" s="1573" t="e">
        <f t="shared" si="14"/>
        <v>#N/A</v>
      </c>
      <c r="X30" s="1566"/>
      <c r="Y30" s="3613"/>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613"/>
      <c r="Q31" s="1150" t="str">
        <f t="shared" si="11"/>
        <v>是否封闭</v>
      </c>
      <c r="R31" s="1567" t="s">
        <v>8</v>
      </c>
      <c r="S31" s="1568">
        <f t="shared" si="12"/>
        <v>100</v>
      </c>
      <c r="T31" s="1567" t="s">
        <v>8</v>
      </c>
      <c r="U31" s="1568">
        <f t="shared" si="13"/>
        <v>100</v>
      </c>
      <c r="V31" s="1567" t="s">
        <v>8</v>
      </c>
      <c r="W31" s="1568">
        <f t="shared" si="14"/>
        <v>100</v>
      </c>
      <c r="X31" s="1569"/>
      <c r="Y31" s="3613"/>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613" t="s">
        <v>549</v>
      </c>
      <c r="Q32" s="1571">
        <f t="shared" si="11"/>
        <v>111</v>
      </c>
      <c r="R32" s="1572" t="s">
        <v>8</v>
      </c>
      <c r="S32" s="1573">
        <f t="shared" si="12"/>
        <v>100</v>
      </c>
      <c r="T32" s="1572" t="s">
        <v>8</v>
      </c>
      <c r="U32" s="1573">
        <f t="shared" si="13"/>
        <v>100</v>
      </c>
      <c r="V32" s="1572" t="s">
        <v>8</v>
      </c>
      <c r="W32" s="1573">
        <f t="shared" si="14"/>
        <v>100</v>
      </c>
      <c r="X32" s="1566"/>
      <c r="Y32" s="3613"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613"/>
      <c r="Q33" s="1571">
        <f t="shared" si="11"/>
        <v>111</v>
      </c>
      <c r="R33" s="1572" t="s">
        <v>8</v>
      </c>
      <c r="S33" s="1573">
        <f t="shared" si="12"/>
        <v>100</v>
      </c>
      <c r="T33" s="1572" t="s">
        <v>8</v>
      </c>
      <c r="U33" s="1573">
        <f t="shared" si="13"/>
        <v>100</v>
      </c>
      <c r="V33" s="1572" t="s">
        <v>8</v>
      </c>
      <c r="W33" s="1573">
        <f t="shared" si="14"/>
        <v>100</v>
      </c>
      <c r="X33" s="1566"/>
      <c r="Y33" s="3613"/>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613"/>
      <c r="Q34" s="1571">
        <f t="shared" si="11"/>
        <v>111</v>
      </c>
      <c r="R34" s="1572" t="s">
        <v>8</v>
      </c>
      <c r="S34" s="1573">
        <f t="shared" si="12"/>
        <v>100</v>
      </c>
      <c r="T34" s="1572" t="s">
        <v>8</v>
      </c>
      <c r="U34" s="1573">
        <f t="shared" si="13"/>
        <v>100</v>
      </c>
      <c r="V34" s="1572" t="s">
        <v>8</v>
      </c>
      <c r="W34" s="1573">
        <f t="shared" si="14"/>
        <v>100</v>
      </c>
      <c r="X34" s="1566"/>
      <c r="Y34" s="3613"/>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76" t="str">
        <f>A35</f>
        <v>成交单价（元/平方米）</v>
      </c>
      <c r="Q35" s="3576"/>
      <c r="R35" s="3674">
        <f>E35</f>
        <v>0</v>
      </c>
      <c r="S35" s="3674"/>
      <c r="T35" s="3674">
        <f>G35</f>
        <v>0</v>
      </c>
      <c r="U35" s="3674"/>
      <c r="V35" s="3674">
        <f>I35</f>
        <v>0</v>
      </c>
      <c r="W35" s="3674"/>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76" t="str">
        <f>A36</f>
        <v>比较价格（元/平方米）</v>
      </c>
      <c r="Q36" s="3576"/>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73" t="str">
        <f>A37</f>
        <v>估价对象XX用房的比较价格（楼面单价，元/平方米）</v>
      </c>
      <c r="Q37" s="3574"/>
      <c r="R37" s="3673" t="e">
        <f>IF(F1="售价",ROUND(AVERAGE(R36:V36),0),ROUND(AVERAGE(R36:V36),1))</f>
        <v>#DIV/0!</v>
      </c>
      <c r="S37" s="3673"/>
      <c r="T37" s="3673"/>
      <c r="U37" s="3673"/>
      <c r="V37" s="3673"/>
      <c r="W37" s="367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701" t="s">
        <v>2304</v>
      </c>
      <c r="D1" s="3702"/>
      <c r="E1" s="3702"/>
      <c r="F1" s="3702"/>
      <c r="G1" s="3702"/>
      <c r="H1" s="3702"/>
      <c r="I1" s="3702"/>
      <c r="J1" s="3702"/>
      <c r="K1" s="3702"/>
      <c r="L1" s="3702"/>
      <c r="M1" s="3702"/>
      <c r="N1" s="3702"/>
      <c r="O1" s="3702"/>
      <c r="P1" s="3702"/>
      <c r="Q1" s="3702"/>
      <c r="R1" s="3702"/>
      <c r="S1" s="3703"/>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98" t="s">
        <v>20</v>
      </c>
      <c r="D22" s="3699"/>
      <c r="E22" s="3699"/>
      <c r="F22" s="3699"/>
      <c r="G22" s="3699"/>
      <c r="H22" s="3699"/>
      <c r="I22" s="3699"/>
      <c r="J22" s="3699"/>
      <c r="K22" s="3699"/>
      <c r="L22" s="3699"/>
      <c r="M22" s="3699"/>
      <c r="N22" s="3699"/>
      <c r="O22" s="3699"/>
      <c r="P22" s="3699"/>
      <c r="Q22" s="370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704" t="s">
        <v>1663</v>
      </c>
      <c r="B1" s="3705"/>
      <c r="C1" s="3705"/>
      <c r="D1" s="3705"/>
      <c r="E1" s="3705"/>
      <c r="F1" s="3705"/>
      <c r="G1" s="3705"/>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3084</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3085</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3093</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5.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J10"/>
  <sheetViews>
    <sheetView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268" t="s">
        <v>3153</v>
      </c>
      <c r="E1" s="3268" t="s">
        <v>3154</v>
      </c>
      <c r="F1" s="3183" t="s">
        <v>3161</v>
      </c>
      <c r="G1" s="3270" t="s">
        <v>3159</v>
      </c>
      <c r="H1" s="3270" t="s">
        <v>3160</v>
      </c>
      <c r="I1" s="3271" t="s">
        <v>3164</v>
      </c>
      <c r="J1" s="3271" t="s">
        <v>3165</v>
      </c>
    </row>
    <row r="2" spans="1:10" ht="40.5" customHeight="1">
      <c r="C2" s="3183" t="s">
        <v>3163</v>
      </c>
      <c r="D2" s="3184">
        <f>'[2]基准地价-住宅'!$C$29</f>
        <v>19656</v>
      </c>
      <c r="E2" s="3184">
        <f>'[3]基准地价-住宅'!$C$29</f>
        <v>21588</v>
      </c>
      <c r="F2" s="3184">
        <f>D2-E2</f>
        <v>-1932</v>
      </c>
      <c r="G2" s="3184">
        <f>[4]结果表一!$C$2</f>
        <v>83247.820000000007</v>
      </c>
      <c r="H2" s="3184">
        <f>[4]结果表一!$G$2</f>
        <v>83884.960000000006</v>
      </c>
      <c r="I2" s="3184">
        <f>D2*G2/10000</f>
        <v>163631.91499200001</v>
      </c>
      <c r="J2" s="3184">
        <f>E2*H2/10000</f>
        <v>181090.85164800001</v>
      </c>
    </row>
    <row r="3" spans="1:10" ht="20.25" customHeight="1">
      <c r="C3" s="3184" t="s">
        <v>3155</v>
      </c>
      <c r="D3" s="3184">
        <f ca="1">'基准地价-商业'!$C$29</f>
        <v>14769</v>
      </c>
      <c r="E3" s="3184">
        <f>'[4]基准地价-原商业 '!$C$29</f>
        <v>14731</v>
      </c>
      <c r="F3" s="3184">
        <f ca="1">D3-E3</f>
        <v>38</v>
      </c>
      <c r="G3" s="3184">
        <f>[4]结果表一!$C$3</f>
        <v>15426.7</v>
      </c>
      <c r="H3" s="3184">
        <f>[4]结果表一!$G$3</f>
        <v>15502</v>
      </c>
      <c r="I3" s="3184">
        <f ca="1">D3*G3/10000</f>
        <v>22783.693230000001</v>
      </c>
      <c r="J3" s="3184">
        <f>E3*H3/10000</f>
        <v>22835.996200000001</v>
      </c>
    </row>
    <row r="4" spans="1:10">
      <c r="A4" s="2"/>
    </row>
    <row r="5" spans="1:10">
      <c r="A5" s="2"/>
    </row>
    <row r="6" spans="1:10">
      <c r="A6" s="2"/>
    </row>
    <row r="7" spans="1:10" ht="45" customHeight="1">
      <c r="A7" s="2" t="s">
        <v>3156</v>
      </c>
    </row>
    <row r="8" spans="1:10">
      <c r="A8" s="3269">
        <f>ROUND((D2*(G2-H2)+(D2-E2)*H2)/10000,4)</f>
        <v>-17458.936699999998</v>
      </c>
      <c r="B8" s="3184" t="s">
        <v>3157</v>
      </c>
    </row>
    <row r="9" spans="1:10">
      <c r="A9" s="3269">
        <f ca="1">ROUND((D3*(G3-H3)+(D3-E3)*H3)/10000,4)</f>
        <v>-52.302999999999997</v>
      </c>
      <c r="B9" s="3184" t="s">
        <v>3155</v>
      </c>
    </row>
    <row r="10" spans="1:10">
      <c r="A10" s="3269">
        <f ca="1">SUM(A8:A9)</f>
        <v>-17511.239699999998</v>
      </c>
      <c r="B10" s="3184" t="s">
        <v>3158</v>
      </c>
    </row>
  </sheetData>
  <phoneticPr fontId="22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
  <sheetViews>
    <sheetView topLeftCell="A49" workbookViewId="0">
      <selection activeCell="F75" sqref="F75"/>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3" t="s">
        <v>2038</v>
      </c>
      <c r="B1" s="3333"/>
      <c r="C1" s="3333"/>
      <c r="D1" s="3333"/>
      <c r="E1" s="3333"/>
      <c r="F1" s="3333"/>
      <c r="G1" s="3333"/>
      <c r="H1" s="3333"/>
      <c r="I1" s="3333"/>
      <c r="J1" s="3333"/>
      <c r="K1" s="3333"/>
      <c r="L1" s="3333"/>
      <c r="M1" s="3333"/>
      <c r="N1" s="3333"/>
      <c r="O1" s="3333"/>
      <c r="P1" s="3333"/>
      <c r="Q1" s="3333"/>
      <c r="R1" s="3333"/>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334" t="s">
        <v>2029</v>
      </c>
      <c r="B3" s="3334" t="s">
        <v>2731</v>
      </c>
      <c r="C3" s="3335" t="s">
        <v>2030</v>
      </c>
      <c r="D3" s="3334" t="s">
        <v>2735</v>
      </c>
      <c r="E3" s="3329" t="s">
        <v>2031</v>
      </c>
      <c r="F3" s="3329"/>
      <c r="G3" s="3329"/>
      <c r="H3" s="3329" t="s">
        <v>2032</v>
      </c>
      <c r="I3" s="3329"/>
      <c r="J3" s="3329"/>
      <c r="K3" s="3335" t="s">
        <v>2033</v>
      </c>
      <c r="L3" s="3335" t="s">
        <v>2034</v>
      </c>
      <c r="M3" s="3334" t="s">
        <v>2732</v>
      </c>
      <c r="N3" s="3336" t="str">
        <f>"（分摊）"&amp;项目基本情况!B16&amp;"国有建设用地使用权面积/㎡"</f>
        <v>（分摊）出让国有建设用地使用权面积/㎡</v>
      </c>
      <c r="O3" s="3334" t="s">
        <v>2063</v>
      </c>
      <c r="P3" s="3335" t="s">
        <v>2043</v>
      </c>
      <c r="Q3" s="3335" t="s">
        <v>2064</v>
      </c>
      <c r="R3" s="3335" t="s">
        <v>2035</v>
      </c>
    </row>
    <row r="4" spans="1:18" ht="36.75" customHeight="1">
      <c r="A4" s="3334"/>
      <c r="B4" s="3334"/>
      <c r="C4" s="3335"/>
      <c r="D4" s="3334"/>
      <c r="E4" s="2627" t="s">
        <v>2042</v>
      </c>
      <c r="F4" s="2627" t="s">
        <v>2744</v>
      </c>
      <c r="G4" s="2627" t="s">
        <v>2036</v>
      </c>
      <c r="H4" s="2627" t="s">
        <v>2037</v>
      </c>
      <c r="I4" s="2627" t="s">
        <v>2745</v>
      </c>
      <c r="J4" s="2627" t="s">
        <v>2036</v>
      </c>
      <c r="K4" s="3335"/>
      <c r="L4" s="3335"/>
      <c r="M4" s="3334"/>
      <c r="N4" s="3336"/>
      <c r="O4" s="3334"/>
      <c r="P4" s="3335"/>
      <c r="Q4" s="3335"/>
      <c r="R4" s="3335"/>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28169</v>
      </c>
      <c r="Q5" s="1809">
        <f ca="1">结果表!D42</f>
        <v>17617</v>
      </c>
      <c r="R5" s="1810">
        <f ca="1">结果表!C42</f>
        <v>193641</v>
      </c>
    </row>
    <row r="6" spans="1:18">
      <c r="A6" s="3330" t="str">
        <f>IF(项目基本情况!B9="市场价格","——","抵押价格")</f>
        <v>——</v>
      </c>
      <c r="B6" s="3331"/>
      <c r="C6" s="3331"/>
      <c r="D6" s="3331"/>
      <c r="E6" s="3331"/>
      <c r="F6" s="3331"/>
      <c r="G6" s="3331"/>
      <c r="H6" s="3331"/>
      <c r="I6" s="3331"/>
      <c r="J6" s="3331"/>
      <c r="K6" s="3331"/>
      <c r="L6" s="3331"/>
      <c r="M6" s="3331"/>
      <c r="N6" s="3331"/>
      <c r="O6" s="3331"/>
      <c r="P6" s="3331"/>
      <c r="Q6" s="3332"/>
      <c r="R6" s="1811" t="str">
        <f>结果表!O39</f>
        <v>——</v>
      </c>
    </row>
    <row r="7" spans="1:18">
      <c r="A7" s="3330" t="str">
        <f>IF(项目基本情况!B9="市场价格","——",IF(项目基本情况!E8="已注销及未注销","抵押担保权已注销时的抵押价格","——"))</f>
        <v>——</v>
      </c>
      <c r="B7" s="3331"/>
      <c r="C7" s="3331"/>
      <c r="D7" s="3331"/>
      <c r="E7" s="3331"/>
      <c r="F7" s="3331"/>
      <c r="G7" s="3331"/>
      <c r="H7" s="3331"/>
      <c r="I7" s="3331"/>
      <c r="J7" s="3331"/>
      <c r="K7" s="3331"/>
      <c r="L7" s="3331"/>
      <c r="M7" s="3331"/>
      <c r="N7" s="3331"/>
      <c r="O7" s="3331"/>
      <c r="P7" s="3331"/>
      <c r="Q7" s="3332"/>
      <c r="R7" s="1811" t="str">
        <f>结果表!O40</f>
        <v>——</v>
      </c>
    </row>
    <row r="8" spans="1:18">
      <c r="A8" s="3330" t="str">
        <f>IF(项目基本情况!B9="市场价格","——",项目基本情况!E9)</f>
        <v>——</v>
      </c>
      <c r="B8" s="3331"/>
      <c r="C8" s="3331"/>
      <c r="D8" s="3331"/>
      <c r="E8" s="3331"/>
      <c r="F8" s="3331"/>
      <c r="G8" s="3331"/>
      <c r="H8" s="3331"/>
      <c r="I8" s="3331"/>
      <c r="J8" s="3331"/>
      <c r="K8" s="3331"/>
      <c r="L8" s="3331"/>
      <c r="M8" s="3331"/>
      <c r="N8" s="3331"/>
      <c r="O8" s="3331"/>
      <c r="P8" s="3331"/>
      <c r="Q8" s="3332"/>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338" t="s">
        <v>2065</v>
      </c>
      <c r="B1" s="3338"/>
      <c r="C1" s="3338"/>
      <c r="D1" s="3338"/>
    </row>
    <row r="2" spans="1:4" ht="47.25" customHeight="1">
      <c r="A2" s="3339" t="str">
        <f>"1.权利限制："&amp;项目基本情况!L24&amp;"未设定租赁等其他他项权利。"</f>
        <v>1.权利限制：根据估价对象《不动产权证书》原件、《国有土地使用权》复印件，截至估价期日，估价对象抵押权未见登记。未设定租赁等其他他项权利。</v>
      </c>
      <c r="B2" s="3339"/>
      <c r="C2" s="3339"/>
      <c r="D2" s="3339"/>
    </row>
    <row r="3" spans="1:4" ht="48" customHeight="1">
      <c r="A3" s="33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8"/>
      <c r="C3" s="3338"/>
      <c r="D3" s="3338"/>
    </row>
    <row r="4" spans="1:4" ht="36.75" customHeight="1">
      <c r="A4" s="3338" t="str">
        <f>"3.估价规划限制条件：详见"&amp;项目基本情况!E21&amp;"。"</f>
        <v>3.估价规划限制条件：详见《建设工程规划许可证》[]、《出让合同》[]。</v>
      </c>
      <c r="B4" s="3338"/>
      <c r="C4" s="3338"/>
      <c r="D4" s="3338"/>
    </row>
    <row r="5" spans="1:4">
      <c r="A5" s="3337" t="s">
        <v>2066</v>
      </c>
      <c r="B5" s="3337"/>
      <c r="C5" s="3337"/>
      <c r="D5" s="3337"/>
    </row>
    <row r="6" spans="1:4">
      <c r="A6" s="3338" t="s">
        <v>2044</v>
      </c>
      <c r="B6" s="3338"/>
      <c r="C6" s="3338"/>
      <c r="D6" s="3338"/>
    </row>
    <row r="7" spans="1:4" ht="33" customHeight="1">
      <c r="A7" s="3338" t="s">
        <v>2575</v>
      </c>
      <c r="B7" s="3338"/>
      <c r="C7" s="3338"/>
      <c r="D7" s="3338"/>
    </row>
    <row r="8" spans="1:4" ht="32.25" customHeight="1">
      <c r="A8" s="33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38"/>
      <c r="C8" s="3338"/>
      <c r="D8" s="3338"/>
    </row>
    <row r="9" spans="1:4" ht="33.75" customHeight="1">
      <c r="A9" s="3338" t="str">
        <f>IF(项目基本情况!B8="抵押","3.抵押双方在办理抵押登记手续时，应使用本公司出具的正式《土地估价报告》，特提请报告使用者注意。","——")</f>
        <v>——</v>
      </c>
      <c r="B9" s="3338"/>
      <c r="C9" s="3338"/>
      <c r="D9" s="3338"/>
    </row>
    <row r="10" spans="1:4">
      <c r="A10" s="3338" t="str">
        <f>IF(项目基本情况!B8="抵押","4.估价师所知悉的法定优先受偿款情况为：","——")</f>
        <v>——</v>
      </c>
      <c r="B10" s="3338"/>
      <c r="C10" s="3338"/>
      <c r="D10" s="3338"/>
    </row>
    <row r="11" spans="1:4" ht="37.5" customHeight="1">
      <c r="A11" s="3340" t="str">
        <f>IF(项目基本情况!B8="抵押","（1）"&amp;CONCATENATE(项目基本情况!L24,项目基本情况!L25,项目基本情况!L26),"——")</f>
        <v>——</v>
      </c>
      <c r="B11" s="3340"/>
      <c r="C11" s="3340"/>
      <c r="D11" s="3340"/>
    </row>
    <row r="12" spans="1:4" ht="168" customHeight="1">
      <c r="A12" s="3337" t="s">
        <v>2068</v>
      </c>
      <c r="B12" s="3337"/>
      <c r="C12" s="3337"/>
      <c r="D12" s="3337"/>
    </row>
    <row r="13" spans="1:4">
      <c r="A13" s="3341" t="s">
        <v>2746</v>
      </c>
      <c r="B13" s="3341"/>
      <c r="C13" s="3341"/>
      <c r="D13" s="3341"/>
    </row>
    <row r="14" spans="1:4">
      <c r="A14" s="3340" t="str">
        <f>IF(项目基本情况!B8="抵押","综上，"&amp;结果表!K47,"——")</f>
        <v>——</v>
      </c>
      <c r="B14" s="3340"/>
      <c r="C14" s="3340"/>
      <c r="D14" s="3340"/>
    </row>
    <row r="15" spans="1:4" ht="58.5" customHeight="1">
      <c r="A15" s="33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8"/>
      <c r="C15" s="3338"/>
      <c r="D15" s="3338"/>
    </row>
    <row r="16" spans="1:4" ht="70.5" customHeight="1">
      <c r="A16" s="33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8"/>
      <c r="C16" s="3338"/>
      <c r="D16" s="3338"/>
    </row>
    <row r="17" spans="1:4">
      <c r="A17" s="3338" t="s">
        <v>2702</v>
      </c>
      <c r="B17" s="3338"/>
      <c r="C17" s="3338"/>
      <c r="D17" s="3338"/>
    </row>
    <row r="18" spans="1:4">
      <c r="A18" s="3338" t="s">
        <v>2694</v>
      </c>
      <c r="B18" s="3338"/>
      <c r="C18" s="3338"/>
      <c r="D18" s="3338"/>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338" t="s">
        <v>2699</v>
      </c>
      <c r="B23" s="3338"/>
      <c r="C23" s="3338"/>
      <c r="D23" s="3338"/>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349" t="s">
        <v>53</v>
      </c>
      <c r="B15" s="3350" t="s">
        <v>845</v>
      </c>
      <c r="C15" s="3346"/>
    </row>
    <row r="16" spans="1:7" ht="14.25">
      <c r="A16" s="3349"/>
      <c r="B16" s="3347" t="s">
        <v>54</v>
      </c>
      <c r="C16" s="1171" t="s">
        <v>53</v>
      </c>
    </row>
    <row r="17" spans="1:3" ht="14.25">
      <c r="A17" s="3349"/>
      <c r="B17" s="3347"/>
      <c r="C17" s="1171" t="s">
        <v>55</v>
      </c>
    </row>
    <row r="18" spans="1:3" ht="14.25">
      <c r="A18" s="3349"/>
      <c r="B18" s="3347"/>
      <c r="C18" s="1171" t="s">
        <v>56</v>
      </c>
    </row>
    <row r="19" spans="1:3" ht="14.25">
      <c r="A19" s="3349"/>
      <c r="B19" s="3345" t="s">
        <v>57</v>
      </c>
      <c r="C19" s="3346"/>
    </row>
    <row r="20" spans="1:3" ht="14.25">
      <c r="A20" s="1172" t="s">
        <v>58</v>
      </c>
      <c r="B20" s="1173"/>
      <c r="C20" s="1174"/>
    </row>
    <row r="21" spans="1:3" ht="14.25">
      <c r="A21" s="3348" t="s">
        <v>59</v>
      </c>
      <c r="B21" s="3345" t="s">
        <v>60</v>
      </c>
      <c r="C21" s="3346"/>
    </row>
    <row r="22" spans="1:3" ht="14.25">
      <c r="A22" s="3348"/>
      <c r="B22" s="3345" t="s">
        <v>61</v>
      </c>
      <c r="C22" s="3346"/>
    </row>
    <row r="23" spans="1:3" ht="14.25">
      <c r="A23" s="3348"/>
      <c r="B23" s="3345" t="s">
        <v>62</v>
      </c>
      <c r="C23" s="3346"/>
    </row>
    <row r="24" spans="1:3" ht="14.25">
      <c r="A24" s="3348"/>
      <c r="B24" s="3351" t="s">
        <v>63</v>
      </c>
      <c r="C24" s="1175" t="s">
        <v>836</v>
      </c>
    </row>
    <row r="25" spans="1:3" ht="14.25">
      <c r="A25" s="3348"/>
      <c r="B25" s="3352"/>
      <c r="C25" s="1175" t="s">
        <v>837</v>
      </c>
    </row>
    <row r="26" spans="1:3" ht="14.25">
      <c r="A26" s="3348"/>
      <c r="B26" s="3352"/>
      <c r="C26" s="1175" t="s">
        <v>838</v>
      </c>
    </row>
    <row r="27" spans="1:3" ht="14.25">
      <c r="A27" s="3348"/>
      <c r="B27" s="3352"/>
      <c r="C27" s="1175" t="s">
        <v>839</v>
      </c>
    </row>
    <row r="28" spans="1:3" ht="14.25">
      <c r="A28" s="3348"/>
      <c r="B28" s="3352"/>
      <c r="C28" s="1175" t="s">
        <v>840</v>
      </c>
    </row>
    <row r="29" spans="1:3" ht="14.25">
      <c r="A29" s="3348"/>
      <c r="B29" s="3352"/>
      <c r="C29" s="1175" t="s">
        <v>841</v>
      </c>
    </row>
    <row r="30" spans="1:3" ht="14.25">
      <c r="A30" s="3348"/>
      <c r="B30" s="3352"/>
      <c r="C30" s="1175" t="s">
        <v>842</v>
      </c>
    </row>
    <row r="31" spans="1:3" ht="14.25">
      <c r="A31" s="3348"/>
      <c r="B31" s="3352"/>
      <c r="C31" s="1175" t="s">
        <v>843</v>
      </c>
    </row>
    <row r="32" spans="1:3" ht="14.25">
      <c r="A32" s="3348"/>
      <c r="B32" s="3352"/>
      <c r="C32" s="1175" t="s">
        <v>1646</v>
      </c>
    </row>
    <row r="33" spans="1:3" ht="14.25">
      <c r="A33" s="3348"/>
      <c r="B33" s="3342" t="s">
        <v>1652</v>
      </c>
      <c r="C33" s="1175" t="s">
        <v>1647</v>
      </c>
    </row>
    <row r="34" spans="1:3" ht="14.25">
      <c r="A34" s="3348"/>
      <c r="B34" s="3343"/>
      <c r="C34" s="1180" t="s">
        <v>1648</v>
      </c>
    </row>
    <row r="35" spans="1:3" ht="14.25">
      <c r="A35" s="3348"/>
      <c r="B35" s="3343"/>
      <c r="C35" s="1181" t="s">
        <v>1649</v>
      </c>
    </row>
    <row r="36" spans="1:3" ht="14.25">
      <c r="A36" s="3348"/>
      <c r="B36" s="3343"/>
      <c r="C36" s="1181" t="s">
        <v>1650</v>
      </c>
    </row>
    <row r="37" spans="1:3" ht="14.25">
      <c r="A37" s="3348"/>
      <c r="B37" s="3344"/>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43567</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353" t="s">
        <v>1926</v>
      </c>
      <c r="B25" s="3353"/>
      <c r="C25" s="3353"/>
      <c r="D25" s="3353"/>
      <c r="E25" s="3353"/>
      <c r="F25" s="3353"/>
      <c r="G25" s="3353"/>
    </row>
    <row r="26" spans="1:7" ht="20.25" customHeight="1">
      <c r="A26" s="3354" t="s">
        <v>1927</v>
      </c>
      <c r="B26" s="3354"/>
      <c r="C26" s="3354"/>
      <c r="D26" s="3354" t="s">
        <v>1928</v>
      </c>
      <c r="E26" s="3354"/>
      <c r="F26" s="3354"/>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2" sqref="B22"/>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3082</v>
      </c>
      <c r="C20" s="1553"/>
    </row>
    <row r="21" spans="1:3">
      <c r="A21" s="8" t="s">
        <v>122</v>
      </c>
      <c r="B21" s="3086" t="s">
        <v>3024</v>
      </c>
      <c r="C21" s="1553"/>
    </row>
    <row r="22" spans="1:3">
      <c r="A22" s="8" t="s">
        <v>123</v>
      </c>
      <c r="B22" s="3086" t="s">
        <v>3177</v>
      </c>
      <c r="C22" s="1553"/>
    </row>
    <row r="23" spans="1:3">
      <c r="A23" s="8" t="s">
        <v>124</v>
      </c>
      <c r="B23" s="3086" t="s">
        <v>3174</v>
      </c>
      <c r="C23" s="1553"/>
    </row>
    <row r="24" spans="1:3">
      <c r="A24" s="8" t="s">
        <v>12</v>
      </c>
      <c r="B24" s="8" t="s">
        <v>3071</v>
      </c>
      <c r="C24" s="1553"/>
    </row>
    <row r="25" spans="1:3">
      <c r="A25" s="8" t="s">
        <v>125</v>
      </c>
      <c r="B25" s="8" t="s">
        <v>3118</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355"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355"/>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55"/>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55"/>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55"/>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剩余法-待开发仓储</vt:lpstr>
      <vt:lpstr>不动产收益法</vt:lpstr>
      <vt:lpstr>酒店收入计算</vt:lpstr>
      <vt:lpstr>成本逼近法</vt:lpstr>
      <vt:lpstr>剩余法-待开发商业</vt:lpstr>
      <vt:lpstr>不动产比较法-住宅</vt:lpstr>
      <vt:lpstr>不动产比较法-商业</vt:lpstr>
      <vt:lpstr>基准地价-55住宅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Sheet2</vt:lpstr>
      <vt:lpstr>不动产收益法!Print_Area</vt:lpstr>
      <vt:lpstr>结果表一!Print_Area</vt:lpstr>
      <vt:lpstr>'剩余法-待开发仓储'!Print_Area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2019-04-12T06:24:50Z</cp:lastPrinted>
  <dcterms:created xsi:type="dcterms:W3CDTF">2015-07-13T07:17:23Z</dcterms:created>
  <dcterms:modified xsi:type="dcterms:W3CDTF">2019-04-12T09:37:31Z</dcterms:modified>
</cp:coreProperties>
</file>