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r:id="rId16"/>
    <sheet name="结果表一" sheetId="68" r:id="rId17"/>
    <sheet name="剩余法-待开发住宅" sheetId="12" state="hidden"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仓储" sheetId="76" r:id="rId29"/>
    <sheet name="不动产收益法" sheetId="15" r:id="rId30"/>
    <sheet name="酒店收入计算" sheetId="57" state="hidden" r:id="rId31"/>
    <sheet name="成本逼近法" sheetId="11" state="hidden" r:id="rId32"/>
    <sheet name="剩余法-待开发商业" sheetId="72" state="hidden" r:id="rId33"/>
    <sheet name="不动产比较法-住宅" sheetId="21" state="hidden" r:id="rId34"/>
    <sheet name="不动产比较法-商业" sheetId="33" state="hidden" r:id="rId35"/>
    <sheet name="基准地价-55住宅" sheetId="46" r:id="rId36"/>
    <sheet name="基准地价-商业" sheetId="73" state="hidden" r:id="rId37"/>
    <sheet name="不动产比较法-办公" sheetId="34" state="hidden" r:id="rId38"/>
    <sheet name="不动产比较法-工业" sheetId="37" state="hidden" r:id="rId39"/>
    <sheet name="不动产比较法-车位" sheetId="35" state="hidden" r:id="rId40"/>
    <sheet name="不动产比较法-仓储" sheetId="36" r:id="rId41"/>
    <sheet name="典型户型修正" sheetId="31" state="hidden" r:id="rId42"/>
    <sheet name="存贷款利率" sheetId="65" state="hidden" r:id="rId43"/>
    <sheet name="估价对象房地状况" sheetId="20" r:id="rId44"/>
    <sheet name="住宅案例" sheetId="69" r:id="rId45"/>
    <sheet name="商业案例" sheetId="74" r:id="rId46"/>
    <sheet name="新旧规划结果表" sheetId="75" state="hidden" r:id="rId47"/>
    <sheet name="仓储租金案例" sheetId="77" r:id="rId48"/>
  </sheets>
  <externalReferences>
    <externalReference r:id="rId49"/>
    <externalReference r:id="rId50"/>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9">不动产收益法!$A$1:$F$43</definedName>
    <definedName name="_xlnm.Print_Area" localSheetId="16">结果表一!$A$1:$K$10</definedName>
    <definedName name="_xlnm.Print_Area" localSheetId="28">'剩余法-待开发仓储'!$B$1:$K$36</definedName>
    <definedName name="_xlnm.Print_Area" localSheetId="32">'剩余法-待开发商业'!$A$1:$K$36</definedName>
    <definedName name="_xlnm.Print_Area" localSheetId="17">'剩余法-待开发住宅'!$A$1:$K$36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'基准地价-商业'!$N$19:$AG$19</definedName>
    <definedName name="季度">'基准地价-55住宅'!$N$19:$AG$19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I4" i="65"/>
  <c r="E20" i="46"/>
  <c r="O17"/>
  <c r="G20"/>
  <c r="E41"/>
  <c r="C41"/>
  <c r="C38"/>
  <c r="C14" i="68"/>
  <c r="J14"/>
  <c r="F6" i="15"/>
  <c r="F8"/>
  <c r="F7"/>
  <c r="F9"/>
  <c r="C6"/>
  <c r="N4" i="65"/>
  <c r="C4"/>
  <c r="B39" i="1"/>
  <c r="F11" i="15"/>
  <c r="C10"/>
  <c r="C5"/>
  <c r="C32"/>
  <c r="C33"/>
  <c r="F35"/>
  <c r="C34"/>
  <c r="C31"/>
  <c r="C14"/>
  <c r="C15"/>
  <c r="F16"/>
  <c r="C16"/>
  <c r="F43"/>
  <c r="C17"/>
  <c r="C18"/>
  <c r="C19"/>
  <c r="C20"/>
  <c r="I5" i="65"/>
  <c r="E2"/>
  <c r="B40" i="1"/>
  <c r="F24" i="15"/>
  <c r="C23"/>
  <c r="F26"/>
  <c r="C26"/>
  <c r="C24"/>
  <c r="C27"/>
  <c r="C29"/>
  <c r="F36"/>
  <c r="C36"/>
  <c r="F13"/>
  <c r="C13"/>
  <c r="F37"/>
  <c r="C37"/>
  <c r="F38"/>
  <c r="C38"/>
  <c r="C30"/>
  <c r="C39"/>
  <c r="F42"/>
  <c r="F40"/>
  <c r="F41"/>
  <c r="C40"/>
  <c r="C10" i="76"/>
  <c r="C6"/>
  <c r="C13"/>
  <c r="C14"/>
  <c r="C15"/>
  <c r="D16"/>
  <c r="C16"/>
  <c r="C17"/>
  <c r="C18"/>
  <c r="D19"/>
  <c r="C19"/>
  <c r="D21"/>
  <c r="C21"/>
  <c r="D22"/>
  <c r="C22"/>
  <c r="C20"/>
  <c r="C23"/>
  <c r="C24"/>
  <c r="F26"/>
  <c r="C28"/>
  <c r="C26"/>
  <c r="C29"/>
  <c r="C31"/>
  <c r="C30"/>
  <c r="F33"/>
  <c r="C35"/>
  <c r="C33"/>
  <c r="C27"/>
  <c r="D26"/>
  <c r="C32"/>
  <c r="D30"/>
  <c r="C34"/>
  <c r="D33"/>
  <c r="C36"/>
  <c r="B2"/>
  <c r="B3"/>
  <c r="C15" i="68"/>
  <c r="J15"/>
  <c r="D15"/>
  <c r="E14"/>
  <c r="G14"/>
  <c r="K15"/>
  <c r="C20" i="46"/>
  <c r="C29"/>
  <c r="C12" i="68"/>
  <c r="B24"/>
  <c r="C16"/>
  <c r="J16"/>
  <c r="C13" i="12"/>
  <c r="C14"/>
  <c r="C15"/>
  <c r="D16"/>
  <c r="C16"/>
  <c r="C17"/>
  <c r="C18"/>
  <c r="D19"/>
  <c r="C19"/>
  <c r="D21"/>
  <c r="C21"/>
  <c r="D22"/>
  <c r="C22"/>
  <c r="C20"/>
  <c r="C23"/>
  <c r="F26"/>
  <c r="F17" i="21"/>
  <c r="AA17"/>
  <c r="F15"/>
  <c r="AA15"/>
  <c r="F19"/>
  <c r="AA19"/>
  <c r="F23"/>
  <c r="AA23"/>
  <c r="F26"/>
  <c r="AA26"/>
  <c r="R48"/>
  <c r="H17"/>
  <c r="AB17"/>
  <c r="H15"/>
  <c r="AB15"/>
  <c r="H19"/>
  <c r="AB19"/>
  <c r="H23"/>
  <c r="AB23"/>
  <c r="H26"/>
  <c r="AB26"/>
  <c r="T48"/>
  <c r="J17"/>
  <c r="AC17"/>
  <c r="J15"/>
  <c r="AC15"/>
  <c r="J19"/>
  <c r="AC19"/>
  <c r="J23"/>
  <c r="AC23"/>
  <c r="J26"/>
  <c r="AC26"/>
  <c r="V48"/>
  <c r="R49"/>
  <c r="C49"/>
  <c r="C8" i="12"/>
  <c r="C10"/>
  <c r="C6"/>
  <c r="C24"/>
  <c r="C28"/>
  <c r="C26"/>
  <c r="C29"/>
  <c r="C31"/>
  <c r="C30"/>
  <c r="F33"/>
  <c r="C35"/>
  <c r="C33"/>
  <c r="C27"/>
  <c r="D26"/>
  <c r="C32"/>
  <c r="D30"/>
  <c r="C34"/>
  <c r="D33"/>
  <c r="C36"/>
  <c r="B2"/>
  <c r="B3"/>
  <c r="C13" i="68"/>
  <c r="C17"/>
  <c r="J17"/>
  <c r="J18"/>
  <c r="C19"/>
  <c r="J19"/>
  <c r="E20" i="73"/>
  <c r="M17"/>
  <c r="G20"/>
  <c r="C20"/>
  <c r="C29"/>
  <c r="C20" i="68"/>
  <c r="J20"/>
  <c r="C13" i="72"/>
  <c r="C14"/>
  <c r="C15"/>
  <c r="D16"/>
  <c r="C16"/>
  <c r="C17"/>
  <c r="C18"/>
  <c r="D19"/>
  <c r="C19"/>
  <c r="D21"/>
  <c r="C21"/>
  <c r="D22"/>
  <c r="C22"/>
  <c r="C20"/>
  <c r="C23"/>
  <c r="F26"/>
  <c r="C28"/>
  <c r="C26"/>
  <c r="C31"/>
  <c r="C30"/>
  <c r="F33"/>
  <c r="C35"/>
  <c r="C33"/>
  <c r="C27"/>
  <c r="D26"/>
  <c r="C32"/>
  <c r="D30"/>
  <c r="C34"/>
  <c r="D33"/>
  <c r="C36"/>
  <c r="B2"/>
  <c r="B3"/>
  <c r="C21" i="68"/>
  <c r="J21"/>
  <c r="D13"/>
  <c r="E12"/>
  <c r="G12"/>
  <c r="M8" i="1"/>
  <c r="O8"/>
  <c r="P8"/>
  <c r="B24"/>
  <c r="A6"/>
  <c r="A7"/>
  <c r="A8"/>
  <c r="K1" i="76"/>
  <c r="E21"/>
  <c r="G21" i="6"/>
  <c r="E21"/>
  <c r="K8" i="1"/>
  <c r="BQ13" i="3"/>
  <c r="BQ14"/>
  <c r="BQ15"/>
  <c r="BQ16"/>
  <c r="BQ17"/>
  <c r="BQ18"/>
  <c r="BQ19"/>
  <c r="BQ20"/>
  <c r="BQ21"/>
  <c r="BQ22"/>
  <c r="BQ23"/>
  <c r="BQ24"/>
  <c r="BQ25"/>
  <c r="BQ26"/>
  <c r="BQ27"/>
  <c r="BQ28"/>
  <c r="BQ29"/>
  <c r="BQ30"/>
  <c r="BQ31"/>
  <c r="BQ32"/>
  <c r="BQ33"/>
  <c r="BQ34"/>
  <c r="BQ35"/>
  <c r="BQ36"/>
  <c r="BQ37"/>
  <c r="BQ38"/>
  <c r="BQ39"/>
  <c r="BQ40"/>
  <c r="BQ41"/>
  <c r="BQ42"/>
  <c r="BQ43"/>
  <c r="BQ44"/>
  <c r="BQ45"/>
  <c r="BQ46"/>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Q301"/>
  <c r="BQ302"/>
  <c r="BQ303"/>
  <c r="BQ304"/>
  <c r="BQ305"/>
  <c r="BQ306"/>
  <c r="BQ307"/>
  <c r="BQ308"/>
  <c r="BQ309"/>
  <c r="BQ310"/>
  <c r="BQ311"/>
  <c r="BQ312"/>
  <c r="BQ313"/>
  <c r="BQ314"/>
  <c r="BQ315"/>
  <c r="BQ316"/>
  <c r="BQ317"/>
  <c r="BQ318"/>
  <c r="BQ319"/>
  <c r="BQ320"/>
  <c r="BQ321"/>
  <c r="BQ322"/>
  <c r="BQ323"/>
  <c r="BQ324"/>
  <c r="BQ325"/>
  <c r="BQ326"/>
  <c r="BQ327"/>
  <c r="BQ328"/>
  <c r="BQ329"/>
  <c r="BQ330"/>
  <c r="BQ331"/>
  <c r="BQ332"/>
  <c r="BQ333"/>
  <c r="BQ334"/>
  <c r="BQ335"/>
  <c r="BQ336"/>
  <c r="BQ337"/>
  <c r="BQ338"/>
  <c r="BQ339"/>
  <c r="BQ340"/>
  <c r="BQ341"/>
  <c r="BQ342"/>
  <c r="BQ343"/>
  <c r="BQ344"/>
  <c r="BQ345"/>
  <c r="BQ346"/>
  <c r="BQ347"/>
  <c r="BQ348"/>
  <c r="BQ349"/>
  <c r="BQ350"/>
  <c r="BQ351"/>
  <c r="BQ352"/>
  <c r="BQ353"/>
  <c r="BQ354"/>
  <c r="BQ355"/>
  <c r="BQ356"/>
  <c r="BQ357"/>
  <c r="BQ358"/>
  <c r="BQ359"/>
  <c r="BQ360"/>
  <c r="BQ361"/>
  <c r="BQ362"/>
  <c r="BQ363"/>
  <c r="BQ364"/>
  <c r="BQ365"/>
  <c r="BQ366"/>
  <c r="BQ367"/>
  <c r="BQ368"/>
  <c r="BQ369"/>
  <c r="BQ370"/>
  <c r="BQ371"/>
  <c r="BQ372"/>
  <c r="BQ373"/>
  <c r="BQ374"/>
  <c r="BQ375"/>
  <c r="BQ376"/>
  <c r="BQ377"/>
  <c r="BQ378"/>
  <c r="BQ379"/>
  <c r="BQ380"/>
  <c r="BQ381"/>
  <c r="BQ382"/>
  <c r="BQ383"/>
  <c r="BQ384"/>
  <c r="BQ385"/>
  <c r="BQ386"/>
  <c r="BQ387"/>
  <c r="BQ388"/>
  <c r="BQ389"/>
  <c r="BQ390"/>
  <c r="BQ391"/>
  <c r="BQ392"/>
  <c r="BQ393"/>
  <c r="BQ394"/>
  <c r="BQ395"/>
  <c r="BQ396"/>
  <c r="BQ397"/>
  <c r="BQ398"/>
  <c r="BQ399"/>
  <c r="BQ400"/>
  <c r="BQ401"/>
  <c r="BQ402"/>
  <c r="BQ403"/>
  <c r="BQ404"/>
  <c r="BQ405"/>
  <c r="BQ406"/>
  <c r="BQ407"/>
  <c r="BQ408"/>
  <c r="BQ409"/>
  <c r="BQ410"/>
  <c r="BQ411"/>
  <c r="BQ412"/>
  <c r="BQ413"/>
  <c r="BQ414"/>
  <c r="BQ415"/>
  <c r="BQ416"/>
  <c r="BQ417"/>
  <c r="BQ418"/>
  <c r="BQ419"/>
  <c r="BQ420"/>
  <c r="BQ421"/>
  <c r="BQ422"/>
  <c r="BQ423"/>
  <c r="BQ424"/>
  <c r="BQ425"/>
  <c r="BQ426"/>
  <c r="BQ427"/>
  <c r="BQ428"/>
  <c r="BQ429"/>
  <c r="BQ430"/>
  <c r="BQ431"/>
  <c r="BQ432"/>
  <c r="BQ433"/>
  <c r="BQ434"/>
  <c r="BQ435"/>
  <c r="BQ436"/>
  <c r="BQ437"/>
  <c r="BQ438"/>
  <c r="BQ439"/>
  <c r="BQ440"/>
  <c r="BQ441"/>
  <c r="BQ442"/>
  <c r="BQ443"/>
  <c r="BQ444"/>
  <c r="BQ445"/>
  <c r="BQ446"/>
  <c r="BQ447"/>
  <c r="BQ448"/>
  <c r="BQ449"/>
  <c r="BQ450"/>
  <c r="BQ451"/>
  <c r="BQ452"/>
  <c r="BQ453"/>
  <c r="BQ454"/>
  <c r="BQ455"/>
  <c r="BQ456"/>
  <c r="BQ457"/>
  <c r="BQ458"/>
  <c r="BQ459"/>
  <c r="BQ460"/>
  <c r="BQ461"/>
  <c r="BQ462"/>
  <c r="BQ463"/>
  <c r="BQ464"/>
  <c r="BQ465"/>
  <c r="BQ466"/>
  <c r="BQ467"/>
  <c r="BQ468"/>
  <c r="BQ469"/>
  <c r="BQ470"/>
  <c r="BQ471"/>
  <c r="BQ472"/>
  <c r="BQ473"/>
  <c r="BQ474"/>
  <c r="BQ475"/>
  <c r="BQ476"/>
  <c r="BQ477"/>
  <c r="BQ478"/>
  <c r="BQ479"/>
  <c r="BQ480"/>
  <c r="BQ481"/>
  <c r="BQ482"/>
  <c r="BQ483"/>
  <c r="BQ484"/>
  <c r="BQ485"/>
  <c r="BQ486"/>
  <c r="BQ487"/>
  <c r="BQ488"/>
  <c r="BQ489"/>
  <c r="BQ490"/>
  <c r="BQ491"/>
  <c r="BQ492"/>
  <c r="BQ493"/>
  <c r="BQ494"/>
  <c r="BQ495"/>
  <c r="BQ496"/>
  <c r="BQ497"/>
  <c r="BQ498"/>
  <c r="BQ499"/>
  <c r="BQ500"/>
  <c r="BQ501"/>
  <c r="BQ502"/>
  <c r="BQ503"/>
  <c r="BQ504"/>
  <c r="BQ505"/>
  <c r="BQ506"/>
  <c r="BQ507"/>
  <c r="BQ508"/>
  <c r="BQ509"/>
  <c r="BQ510"/>
  <c r="BQ511"/>
  <c r="BQ512"/>
  <c r="BQ513"/>
  <c r="BQ514"/>
  <c r="BQ515"/>
  <c r="BQ516"/>
  <c r="BQ517"/>
  <c r="BQ518"/>
  <c r="BQ519"/>
  <c r="BQ520"/>
  <c r="BQ521"/>
  <c r="BQ522"/>
  <c r="BQ523"/>
  <c r="BQ524"/>
  <c r="BQ525"/>
  <c r="BQ526"/>
  <c r="BQ527"/>
  <c r="BQ528"/>
  <c r="BQ529"/>
  <c r="BQ530"/>
  <c r="BQ531"/>
  <c r="BQ532"/>
  <c r="BQ533"/>
  <c r="BQ534"/>
  <c r="BQ535"/>
  <c r="BQ536"/>
  <c r="BQ537"/>
  <c r="BQ538"/>
  <c r="BQ539"/>
  <c r="BQ540"/>
  <c r="BQ541"/>
  <c r="BQ542"/>
  <c r="BQ543"/>
  <c r="BQ544"/>
  <c r="BQ545"/>
  <c r="BQ546"/>
  <c r="BQ547"/>
  <c r="BQ548"/>
  <c r="BQ549"/>
  <c r="BQ550"/>
  <c r="BQ551"/>
  <c r="BQ552"/>
  <c r="BQ553"/>
  <c r="BQ554"/>
  <c r="BQ555"/>
  <c r="BQ556"/>
  <c r="BQ557"/>
  <c r="BQ558"/>
  <c r="BQ559"/>
  <c r="BQ560"/>
  <c r="BQ561"/>
  <c r="BQ562"/>
  <c r="BQ563"/>
  <c r="BQ564"/>
  <c r="BQ565"/>
  <c r="BQ566"/>
  <c r="BQ567"/>
  <c r="BQ568"/>
  <c r="BQ569"/>
  <c r="BQ570"/>
  <c r="BQ571"/>
  <c r="BQ572"/>
  <c r="BQ5"/>
  <c r="BS13"/>
  <c r="BS14"/>
  <c r="BS15"/>
  <c r="BS16"/>
  <c r="BS17"/>
  <c r="BS18"/>
  <c r="BS19"/>
  <c r="BS20"/>
  <c r="BS21"/>
  <c r="BS22"/>
  <c r="BS23"/>
  <c r="BS24"/>
  <c r="BS25"/>
  <c r="BS26"/>
  <c r="BS27"/>
  <c r="BS28"/>
  <c r="BS29"/>
  <c r="BS30"/>
  <c r="BS31"/>
  <c r="BS32"/>
  <c r="BS33"/>
  <c r="BS34"/>
  <c r="BS35"/>
  <c r="BS36"/>
  <c r="BS37"/>
  <c r="BS38"/>
  <c r="BS39"/>
  <c r="BS40"/>
  <c r="BS41"/>
  <c r="BS42"/>
  <c r="BS43"/>
  <c r="BS44"/>
  <c r="BS45"/>
  <c r="BS46"/>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S301"/>
  <c r="BS302"/>
  <c r="BS303"/>
  <c r="BS304"/>
  <c r="BS305"/>
  <c r="BS306"/>
  <c r="BS307"/>
  <c r="BS308"/>
  <c r="BS309"/>
  <c r="BS310"/>
  <c r="BS311"/>
  <c r="BS312"/>
  <c r="BS313"/>
  <c r="BS314"/>
  <c r="BS315"/>
  <c r="BS316"/>
  <c r="BS317"/>
  <c r="BS318"/>
  <c r="BS319"/>
  <c r="BS320"/>
  <c r="BS321"/>
  <c r="BS322"/>
  <c r="BS323"/>
  <c r="BS324"/>
  <c r="BS325"/>
  <c r="BS326"/>
  <c r="BS327"/>
  <c r="BS328"/>
  <c r="BS329"/>
  <c r="BS330"/>
  <c r="BS331"/>
  <c r="BS332"/>
  <c r="BS333"/>
  <c r="BS334"/>
  <c r="BS335"/>
  <c r="BS336"/>
  <c r="BS337"/>
  <c r="BS338"/>
  <c r="BS339"/>
  <c r="BS340"/>
  <c r="BS341"/>
  <c r="BS342"/>
  <c r="BS343"/>
  <c r="BS344"/>
  <c r="BS345"/>
  <c r="BS346"/>
  <c r="BS347"/>
  <c r="BS348"/>
  <c r="BS349"/>
  <c r="BS350"/>
  <c r="BS351"/>
  <c r="BS352"/>
  <c r="BS353"/>
  <c r="BS354"/>
  <c r="BS355"/>
  <c r="BS356"/>
  <c r="BS357"/>
  <c r="BS358"/>
  <c r="BS359"/>
  <c r="BS360"/>
  <c r="BS361"/>
  <c r="BS362"/>
  <c r="BS363"/>
  <c r="BS364"/>
  <c r="BS365"/>
  <c r="BS366"/>
  <c r="BS367"/>
  <c r="BS368"/>
  <c r="BS369"/>
  <c r="BS370"/>
  <c r="BS371"/>
  <c r="BS372"/>
  <c r="BS373"/>
  <c r="BS374"/>
  <c r="BS375"/>
  <c r="BS376"/>
  <c r="BS377"/>
  <c r="BS378"/>
  <c r="BS379"/>
  <c r="BS380"/>
  <c r="BS381"/>
  <c r="BS382"/>
  <c r="BS383"/>
  <c r="BS384"/>
  <c r="BS385"/>
  <c r="BS386"/>
  <c r="BS387"/>
  <c r="BS388"/>
  <c r="BS389"/>
  <c r="BS390"/>
  <c r="BS391"/>
  <c r="BS392"/>
  <c r="BS393"/>
  <c r="BS394"/>
  <c r="BS395"/>
  <c r="BS396"/>
  <c r="BS397"/>
  <c r="BS398"/>
  <c r="BS399"/>
  <c r="BS400"/>
  <c r="BS401"/>
  <c r="BS402"/>
  <c r="BS403"/>
  <c r="BS404"/>
  <c r="BS405"/>
  <c r="BS406"/>
  <c r="BS407"/>
  <c r="BS408"/>
  <c r="BS409"/>
  <c r="BS410"/>
  <c r="BS411"/>
  <c r="BS412"/>
  <c r="BS413"/>
  <c r="BS414"/>
  <c r="BS415"/>
  <c r="BS416"/>
  <c r="BS417"/>
  <c r="BS418"/>
  <c r="BS419"/>
  <c r="BS420"/>
  <c r="BS421"/>
  <c r="BS422"/>
  <c r="BS423"/>
  <c r="BS424"/>
  <c r="BS425"/>
  <c r="BS426"/>
  <c r="BS427"/>
  <c r="BS428"/>
  <c r="BS429"/>
  <c r="BS430"/>
  <c r="BS431"/>
  <c r="BS432"/>
  <c r="BS433"/>
  <c r="BS434"/>
  <c r="BS435"/>
  <c r="BS436"/>
  <c r="BS437"/>
  <c r="BS438"/>
  <c r="BS439"/>
  <c r="BS440"/>
  <c r="BS441"/>
  <c r="BS442"/>
  <c r="BS443"/>
  <c r="BS444"/>
  <c r="BS445"/>
  <c r="BS446"/>
  <c r="BS447"/>
  <c r="BS448"/>
  <c r="BS449"/>
  <c r="BS450"/>
  <c r="BS451"/>
  <c r="BS452"/>
  <c r="BS453"/>
  <c r="BS454"/>
  <c r="BS455"/>
  <c r="BS456"/>
  <c r="BS457"/>
  <c r="BS458"/>
  <c r="BS459"/>
  <c r="BS460"/>
  <c r="BS461"/>
  <c r="BS462"/>
  <c r="BS463"/>
  <c r="BS464"/>
  <c r="BS465"/>
  <c r="BS466"/>
  <c r="BS467"/>
  <c r="BS468"/>
  <c r="BS469"/>
  <c r="BS470"/>
  <c r="BS471"/>
  <c r="BS472"/>
  <c r="BS473"/>
  <c r="BS474"/>
  <c r="BS475"/>
  <c r="BS476"/>
  <c r="BS477"/>
  <c r="BS478"/>
  <c r="BS479"/>
  <c r="BS480"/>
  <c r="BS481"/>
  <c r="BS482"/>
  <c r="BS483"/>
  <c r="BS484"/>
  <c r="BS485"/>
  <c r="BS486"/>
  <c r="BS487"/>
  <c r="BS488"/>
  <c r="BS489"/>
  <c r="BS490"/>
  <c r="BS491"/>
  <c r="BS492"/>
  <c r="BS493"/>
  <c r="BS494"/>
  <c r="BS495"/>
  <c r="BS496"/>
  <c r="BS497"/>
  <c r="BS498"/>
  <c r="BS499"/>
  <c r="BS500"/>
  <c r="BS501"/>
  <c r="BS502"/>
  <c r="BS503"/>
  <c r="BS504"/>
  <c r="BS505"/>
  <c r="BS506"/>
  <c r="BS507"/>
  <c r="BS508"/>
  <c r="BS509"/>
  <c r="BS510"/>
  <c r="BS511"/>
  <c r="BS512"/>
  <c r="BS513"/>
  <c r="BS514"/>
  <c r="BS515"/>
  <c r="BS516"/>
  <c r="BS517"/>
  <c r="BS518"/>
  <c r="BS519"/>
  <c r="BS520"/>
  <c r="BS521"/>
  <c r="BS522"/>
  <c r="BS523"/>
  <c r="BS524"/>
  <c r="BS525"/>
  <c r="BS526"/>
  <c r="BS527"/>
  <c r="BS528"/>
  <c r="BS529"/>
  <c r="BS530"/>
  <c r="BS531"/>
  <c r="BS532"/>
  <c r="BS533"/>
  <c r="BS534"/>
  <c r="BS535"/>
  <c r="BS536"/>
  <c r="BS537"/>
  <c r="BS538"/>
  <c r="BS539"/>
  <c r="BS540"/>
  <c r="BS541"/>
  <c r="BS542"/>
  <c r="BS543"/>
  <c r="BS544"/>
  <c r="BS545"/>
  <c r="BS546"/>
  <c r="BS547"/>
  <c r="BS548"/>
  <c r="BS549"/>
  <c r="BS550"/>
  <c r="BS551"/>
  <c r="BS552"/>
  <c r="BS553"/>
  <c r="BS554"/>
  <c r="BS555"/>
  <c r="BS556"/>
  <c r="BS557"/>
  <c r="BS558"/>
  <c r="BS559"/>
  <c r="BS560"/>
  <c r="BS561"/>
  <c r="BS562"/>
  <c r="BS563"/>
  <c r="BS564"/>
  <c r="BS565"/>
  <c r="BS566"/>
  <c r="BS567"/>
  <c r="BS568"/>
  <c r="BS569"/>
  <c r="BS570"/>
  <c r="BS571"/>
  <c r="BS572"/>
  <c r="BS5"/>
  <c r="F28" i="6"/>
  <c r="BR13" i="3"/>
  <c r="BR14"/>
  <c r="BR15"/>
  <c r="BR16"/>
  <c r="BR17"/>
  <c r="BR18"/>
  <c r="BR19"/>
  <c r="BR20"/>
  <c r="BR21"/>
  <c r="BR22"/>
  <c r="BR23"/>
  <c r="BR24"/>
  <c r="BR25"/>
  <c r="BR26"/>
  <c r="BR27"/>
  <c r="BR28"/>
  <c r="BR29"/>
  <c r="BR30"/>
  <c r="BR31"/>
  <c r="BR32"/>
  <c r="BR33"/>
  <c r="BR34"/>
  <c r="BR35"/>
  <c r="BR36"/>
  <c r="BR37"/>
  <c r="BR38"/>
  <c r="BR39"/>
  <c r="BR40"/>
  <c r="BR41"/>
  <c r="BR42"/>
  <c r="BR43"/>
  <c r="BR44"/>
  <c r="BR45"/>
  <c r="BR46"/>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R301"/>
  <c r="BR302"/>
  <c r="BR303"/>
  <c r="BR304"/>
  <c r="BR305"/>
  <c r="BR306"/>
  <c r="BR307"/>
  <c r="BR308"/>
  <c r="BR309"/>
  <c r="BR310"/>
  <c r="BR311"/>
  <c r="BR312"/>
  <c r="BR313"/>
  <c r="BR314"/>
  <c r="BR315"/>
  <c r="BR316"/>
  <c r="BR317"/>
  <c r="BR318"/>
  <c r="BR319"/>
  <c r="BR320"/>
  <c r="BR321"/>
  <c r="BR322"/>
  <c r="BR323"/>
  <c r="BR324"/>
  <c r="BR325"/>
  <c r="BR326"/>
  <c r="BR327"/>
  <c r="BR328"/>
  <c r="BR329"/>
  <c r="BR330"/>
  <c r="BR331"/>
  <c r="BR332"/>
  <c r="BR333"/>
  <c r="BR334"/>
  <c r="BR335"/>
  <c r="BR336"/>
  <c r="BR337"/>
  <c r="BR338"/>
  <c r="BR339"/>
  <c r="BR340"/>
  <c r="BR341"/>
  <c r="BR342"/>
  <c r="BR343"/>
  <c r="BR344"/>
  <c r="BR345"/>
  <c r="BR346"/>
  <c r="BR347"/>
  <c r="BR348"/>
  <c r="BR349"/>
  <c r="BR350"/>
  <c r="BR351"/>
  <c r="BR352"/>
  <c r="BR353"/>
  <c r="BR354"/>
  <c r="BR355"/>
  <c r="BR356"/>
  <c r="BR357"/>
  <c r="BR358"/>
  <c r="BR359"/>
  <c r="BR360"/>
  <c r="BR361"/>
  <c r="BR362"/>
  <c r="BR363"/>
  <c r="BR364"/>
  <c r="BR365"/>
  <c r="BR366"/>
  <c r="BR367"/>
  <c r="BR368"/>
  <c r="BR369"/>
  <c r="BR370"/>
  <c r="BR371"/>
  <c r="BR372"/>
  <c r="BR373"/>
  <c r="BR374"/>
  <c r="BR375"/>
  <c r="BR376"/>
  <c r="BR377"/>
  <c r="BR378"/>
  <c r="BR379"/>
  <c r="BR380"/>
  <c r="BR381"/>
  <c r="BR382"/>
  <c r="BR383"/>
  <c r="BR384"/>
  <c r="BR385"/>
  <c r="BR386"/>
  <c r="BR387"/>
  <c r="BR388"/>
  <c r="BR389"/>
  <c r="BR390"/>
  <c r="BR391"/>
  <c r="BR392"/>
  <c r="BR393"/>
  <c r="BR394"/>
  <c r="BR395"/>
  <c r="BR396"/>
  <c r="BR397"/>
  <c r="BR398"/>
  <c r="BR399"/>
  <c r="BR400"/>
  <c r="BR401"/>
  <c r="BR402"/>
  <c r="BR403"/>
  <c r="BR404"/>
  <c r="BR405"/>
  <c r="BR406"/>
  <c r="BR407"/>
  <c r="BR408"/>
  <c r="BR409"/>
  <c r="BR410"/>
  <c r="BR411"/>
  <c r="BR412"/>
  <c r="BR413"/>
  <c r="BR414"/>
  <c r="BR415"/>
  <c r="BR416"/>
  <c r="BR417"/>
  <c r="BR418"/>
  <c r="BR419"/>
  <c r="BR420"/>
  <c r="BR421"/>
  <c r="BR422"/>
  <c r="BR423"/>
  <c r="BR424"/>
  <c r="BR425"/>
  <c r="BR426"/>
  <c r="BR427"/>
  <c r="BR428"/>
  <c r="BR429"/>
  <c r="BR430"/>
  <c r="BR431"/>
  <c r="BR432"/>
  <c r="BR433"/>
  <c r="BR434"/>
  <c r="BR435"/>
  <c r="BR436"/>
  <c r="BR437"/>
  <c r="BR438"/>
  <c r="BR439"/>
  <c r="BR440"/>
  <c r="BR441"/>
  <c r="BR442"/>
  <c r="BR443"/>
  <c r="BR444"/>
  <c r="BR445"/>
  <c r="BR446"/>
  <c r="BR447"/>
  <c r="BR448"/>
  <c r="BR449"/>
  <c r="BR450"/>
  <c r="BR451"/>
  <c r="BR452"/>
  <c r="BR453"/>
  <c r="BR454"/>
  <c r="BR455"/>
  <c r="BR456"/>
  <c r="BR457"/>
  <c r="BR458"/>
  <c r="BR459"/>
  <c r="BR460"/>
  <c r="BR461"/>
  <c r="BR462"/>
  <c r="BR463"/>
  <c r="BR464"/>
  <c r="BR465"/>
  <c r="BR466"/>
  <c r="BR467"/>
  <c r="BR468"/>
  <c r="BR469"/>
  <c r="BR470"/>
  <c r="BR471"/>
  <c r="BR472"/>
  <c r="BR473"/>
  <c r="BR474"/>
  <c r="BR475"/>
  <c r="BR476"/>
  <c r="BR477"/>
  <c r="BR478"/>
  <c r="BR479"/>
  <c r="BR480"/>
  <c r="BR481"/>
  <c r="BR482"/>
  <c r="BR483"/>
  <c r="BR484"/>
  <c r="BR485"/>
  <c r="BR486"/>
  <c r="BR487"/>
  <c r="BR488"/>
  <c r="BR489"/>
  <c r="BR490"/>
  <c r="BR491"/>
  <c r="BR492"/>
  <c r="BR493"/>
  <c r="BR494"/>
  <c r="BR495"/>
  <c r="BR496"/>
  <c r="BR497"/>
  <c r="BR498"/>
  <c r="BR499"/>
  <c r="BR500"/>
  <c r="BR501"/>
  <c r="BR502"/>
  <c r="BR503"/>
  <c r="BR504"/>
  <c r="BR505"/>
  <c r="BR506"/>
  <c r="BR507"/>
  <c r="BR508"/>
  <c r="BR509"/>
  <c r="BR510"/>
  <c r="BR511"/>
  <c r="BR512"/>
  <c r="BR513"/>
  <c r="BR514"/>
  <c r="BR515"/>
  <c r="BR516"/>
  <c r="BR517"/>
  <c r="BR518"/>
  <c r="BR519"/>
  <c r="BR520"/>
  <c r="BR521"/>
  <c r="BR522"/>
  <c r="BR523"/>
  <c r="BR524"/>
  <c r="BR525"/>
  <c r="BR526"/>
  <c r="BR527"/>
  <c r="BR528"/>
  <c r="BR529"/>
  <c r="BR530"/>
  <c r="BR531"/>
  <c r="BR532"/>
  <c r="BR533"/>
  <c r="BR534"/>
  <c r="BR535"/>
  <c r="BR536"/>
  <c r="BR537"/>
  <c r="BR538"/>
  <c r="BR539"/>
  <c r="BR540"/>
  <c r="BR541"/>
  <c r="BR542"/>
  <c r="BR543"/>
  <c r="BR544"/>
  <c r="BR545"/>
  <c r="BR546"/>
  <c r="BR547"/>
  <c r="BR548"/>
  <c r="BR549"/>
  <c r="BR550"/>
  <c r="BR551"/>
  <c r="BR552"/>
  <c r="BR553"/>
  <c r="BR554"/>
  <c r="BR555"/>
  <c r="BR556"/>
  <c r="BR557"/>
  <c r="BR558"/>
  <c r="BR559"/>
  <c r="BR560"/>
  <c r="BR561"/>
  <c r="BR562"/>
  <c r="BR563"/>
  <c r="BR564"/>
  <c r="BR565"/>
  <c r="BR566"/>
  <c r="BR567"/>
  <c r="BR568"/>
  <c r="BR569"/>
  <c r="BR570"/>
  <c r="BR571"/>
  <c r="BR572"/>
  <c r="BR5"/>
  <c r="BT13"/>
  <c r="BT14"/>
  <c r="BT15"/>
  <c r="BT16"/>
  <c r="BT17"/>
  <c r="BT18"/>
  <c r="BT19"/>
  <c r="BT20"/>
  <c r="BT21"/>
  <c r="BT22"/>
  <c r="BT23"/>
  <c r="BT24"/>
  <c r="BT25"/>
  <c r="BT26"/>
  <c r="BT27"/>
  <c r="BT28"/>
  <c r="BT29"/>
  <c r="BT30"/>
  <c r="BT31"/>
  <c r="BT32"/>
  <c r="BT33"/>
  <c r="BT34"/>
  <c r="BT35"/>
  <c r="BT36"/>
  <c r="BT37"/>
  <c r="BT38"/>
  <c r="BT39"/>
  <c r="BT40"/>
  <c r="BT41"/>
  <c r="BT42"/>
  <c r="BT43"/>
  <c r="BT44"/>
  <c r="BT45"/>
  <c r="BT46"/>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T301"/>
  <c r="BT302"/>
  <c r="BT303"/>
  <c r="BT304"/>
  <c r="BT305"/>
  <c r="BT306"/>
  <c r="BT307"/>
  <c r="BT308"/>
  <c r="BT309"/>
  <c r="BT310"/>
  <c r="BT311"/>
  <c r="BT312"/>
  <c r="BT313"/>
  <c r="BT314"/>
  <c r="BT315"/>
  <c r="BT316"/>
  <c r="BT317"/>
  <c r="BT318"/>
  <c r="BT319"/>
  <c r="BT320"/>
  <c r="BT321"/>
  <c r="BT322"/>
  <c r="BT323"/>
  <c r="BT324"/>
  <c r="BT325"/>
  <c r="BT326"/>
  <c r="BT327"/>
  <c r="BT328"/>
  <c r="BT329"/>
  <c r="BT330"/>
  <c r="BT331"/>
  <c r="BT332"/>
  <c r="BT333"/>
  <c r="BT334"/>
  <c r="BT335"/>
  <c r="BT336"/>
  <c r="BT337"/>
  <c r="BT338"/>
  <c r="BT339"/>
  <c r="BT340"/>
  <c r="BT341"/>
  <c r="BT342"/>
  <c r="BT343"/>
  <c r="BT344"/>
  <c r="BT345"/>
  <c r="BT346"/>
  <c r="BT347"/>
  <c r="BT348"/>
  <c r="BT349"/>
  <c r="BT350"/>
  <c r="BT351"/>
  <c r="BT352"/>
  <c r="BT353"/>
  <c r="BT354"/>
  <c r="BT355"/>
  <c r="BT356"/>
  <c r="BT357"/>
  <c r="BT358"/>
  <c r="BT359"/>
  <c r="BT360"/>
  <c r="BT361"/>
  <c r="BT362"/>
  <c r="BT363"/>
  <c r="BT364"/>
  <c r="BT365"/>
  <c r="BT366"/>
  <c r="BT367"/>
  <c r="BT368"/>
  <c r="BT369"/>
  <c r="BT370"/>
  <c r="BT371"/>
  <c r="BT372"/>
  <c r="BT373"/>
  <c r="BT374"/>
  <c r="BT375"/>
  <c r="BT376"/>
  <c r="BT377"/>
  <c r="BT378"/>
  <c r="BT379"/>
  <c r="BT380"/>
  <c r="BT381"/>
  <c r="BT382"/>
  <c r="BT383"/>
  <c r="BT384"/>
  <c r="BT385"/>
  <c r="BT386"/>
  <c r="BT387"/>
  <c r="BT388"/>
  <c r="BT389"/>
  <c r="BT390"/>
  <c r="BT391"/>
  <c r="BT392"/>
  <c r="BT393"/>
  <c r="BT394"/>
  <c r="BT395"/>
  <c r="BT396"/>
  <c r="BT397"/>
  <c r="BT398"/>
  <c r="BT399"/>
  <c r="BT400"/>
  <c r="BT401"/>
  <c r="BT402"/>
  <c r="BT403"/>
  <c r="BT404"/>
  <c r="BT405"/>
  <c r="BT406"/>
  <c r="BT407"/>
  <c r="BT408"/>
  <c r="BT409"/>
  <c r="BT410"/>
  <c r="BT411"/>
  <c r="BT412"/>
  <c r="BT413"/>
  <c r="BT414"/>
  <c r="BT415"/>
  <c r="BT416"/>
  <c r="BT417"/>
  <c r="BT418"/>
  <c r="BT419"/>
  <c r="BT420"/>
  <c r="BT421"/>
  <c r="BT422"/>
  <c r="BT423"/>
  <c r="BT424"/>
  <c r="BT425"/>
  <c r="BT426"/>
  <c r="BT427"/>
  <c r="BT428"/>
  <c r="BT429"/>
  <c r="BT430"/>
  <c r="BT431"/>
  <c r="BT432"/>
  <c r="BT433"/>
  <c r="BT434"/>
  <c r="BT435"/>
  <c r="BT436"/>
  <c r="BT437"/>
  <c r="BT438"/>
  <c r="BT439"/>
  <c r="BT440"/>
  <c r="BT441"/>
  <c r="BT442"/>
  <c r="BT443"/>
  <c r="BT444"/>
  <c r="BT445"/>
  <c r="BT446"/>
  <c r="BT447"/>
  <c r="BT448"/>
  <c r="BT449"/>
  <c r="BT450"/>
  <c r="BT451"/>
  <c r="BT452"/>
  <c r="BT453"/>
  <c r="BT454"/>
  <c r="BT455"/>
  <c r="BT456"/>
  <c r="BT457"/>
  <c r="BT458"/>
  <c r="BT459"/>
  <c r="BT460"/>
  <c r="BT461"/>
  <c r="BT462"/>
  <c r="BT463"/>
  <c r="BT464"/>
  <c r="BT465"/>
  <c r="BT466"/>
  <c r="BT467"/>
  <c r="BT468"/>
  <c r="BT469"/>
  <c r="BT470"/>
  <c r="BT471"/>
  <c r="BT472"/>
  <c r="BT473"/>
  <c r="BT474"/>
  <c r="BT475"/>
  <c r="BT476"/>
  <c r="BT477"/>
  <c r="BT478"/>
  <c r="BT479"/>
  <c r="BT480"/>
  <c r="BT481"/>
  <c r="BT482"/>
  <c r="BT483"/>
  <c r="BT484"/>
  <c r="BT485"/>
  <c r="BT486"/>
  <c r="BT487"/>
  <c r="BT488"/>
  <c r="BT489"/>
  <c r="BT490"/>
  <c r="BT491"/>
  <c r="BT492"/>
  <c r="BT493"/>
  <c r="BT494"/>
  <c r="BT495"/>
  <c r="BT496"/>
  <c r="BT497"/>
  <c r="BT498"/>
  <c r="BT499"/>
  <c r="BT500"/>
  <c r="BT501"/>
  <c r="BT502"/>
  <c r="BT503"/>
  <c r="BT504"/>
  <c r="BT505"/>
  <c r="BT506"/>
  <c r="BT507"/>
  <c r="BT508"/>
  <c r="BT509"/>
  <c r="BT510"/>
  <c r="BT511"/>
  <c r="BT512"/>
  <c r="BT513"/>
  <c r="BT514"/>
  <c r="BT515"/>
  <c r="BT516"/>
  <c r="BT517"/>
  <c r="BT518"/>
  <c r="BT519"/>
  <c r="BT520"/>
  <c r="BT521"/>
  <c r="BT522"/>
  <c r="BT523"/>
  <c r="BT524"/>
  <c r="BT525"/>
  <c r="BT526"/>
  <c r="BT527"/>
  <c r="BT528"/>
  <c r="BT529"/>
  <c r="BT530"/>
  <c r="BT531"/>
  <c r="BT532"/>
  <c r="BT533"/>
  <c r="BT534"/>
  <c r="BT535"/>
  <c r="BT536"/>
  <c r="BT537"/>
  <c r="BT538"/>
  <c r="BT539"/>
  <c r="BT540"/>
  <c r="BT541"/>
  <c r="BT542"/>
  <c r="BT543"/>
  <c r="BT544"/>
  <c r="BT545"/>
  <c r="BT546"/>
  <c r="BT547"/>
  <c r="BT548"/>
  <c r="BT549"/>
  <c r="BT550"/>
  <c r="BT551"/>
  <c r="BT552"/>
  <c r="BT553"/>
  <c r="BT554"/>
  <c r="BT555"/>
  <c r="BT556"/>
  <c r="BT557"/>
  <c r="BT558"/>
  <c r="BT559"/>
  <c r="BT560"/>
  <c r="BT561"/>
  <c r="BT562"/>
  <c r="BT563"/>
  <c r="BT564"/>
  <c r="BT565"/>
  <c r="BT566"/>
  <c r="BT567"/>
  <c r="BT568"/>
  <c r="BT569"/>
  <c r="BT570"/>
  <c r="BT571"/>
  <c r="BT572"/>
  <c r="BT5"/>
  <c r="G28" i="6"/>
  <c r="E28"/>
  <c r="I13" i="3"/>
  <c r="F19" i="6"/>
  <c r="E19"/>
  <c r="K14" i="3"/>
  <c r="F20" i="6"/>
  <c r="E20"/>
  <c r="G22"/>
  <c r="E22"/>
  <c r="E23"/>
  <c r="E24"/>
  <c r="E25"/>
  <c r="E26"/>
  <c r="BB13" i="3"/>
  <c r="BC13"/>
  <c r="BD13"/>
  <c r="BE13"/>
  <c r="BF13"/>
  <c r="BG13"/>
  <c r="BH13"/>
  <c r="BI13"/>
  <c r="BJ13"/>
  <c r="BK13"/>
  <c r="BA13"/>
  <c r="BB14"/>
  <c r="BC14"/>
  <c r="BD14"/>
  <c r="BE14"/>
  <c r="BF14"/>
  <c r="BG14"/>
  <c r="BH14"/>
  <c r="BI14"/>
  <c r="BJ14"/>
  <c r="BK14"/>
  <c r="BA14"/>
  <c r="BB15"/>
  <c r="BC15"/>
  <c r="BD15"/>
  <c r="BE15"/>
  <c r="BF15"/>
  <c r="BG15"/>
  <c r="BH15"/>
  <c r="BI15"/>
  <c r="BJ15"/>
  <c r="BK15"/>
  <c r="BA15"/>
  <c r="BB16"/>
  <c r="BC16"/>
  <c r="BD16"/>
  <c r="BE16"/>
  <c r="BF16"/>
  <c r="BG16"/>
  <c r="BH16"/>
  <c r="BI16"/>
  <c r="BJ16"/>
  <c r="BK16"/>
  <c r="BA16"/>
  <c r="BB17"/>
  <c r="BC17"/>
  <c r="BD17"/>
  <c r="BE17"/>
  <c r="BF17"/>
  <c r="BG17"/>
  <c r="BH17"/>
  <c r="BI17"/>
  <c r="BJ17"/>
  <c r="BK17"/>
  <c r="BA17"/>
  <c r="BB18"/>
  <c r="BC18"/>
  <c r="BD18"/>
  <c r="BE18"/>
  <c r="BF18"/>
  <c r="BG18"/>
  <c r="BH18"/>
  <c r="BI18"/>
  <c r="BJ18"/>
  <c r="BK18"/>
  <c r="BA18"/>
  <c r="BB19"/>
  <c r="BC19"/>
  <c r="BD19"/>
  <c r="BE19"/>
  <c r="BF19"/>
  <c r="BG19"/>
  <c r="BH19"/>
  <c r="BI19"/>
  <c r="BJ19"/>
  <c r="BK19"/>
  <c r="BA19"/>
  <c r="BB20"/>
  <c r="BC20"/>
  <c r="BD20"/>
  <c r="BE20"/>
  <c r="BF20"/>
  <c r="BG20"/>
  <c r="BH20"/>
  <c r="BI20"/>
  <c r="BJ20"/>
  <c r="BK20"/>
  <c r="BA20"/>
  <c r="BB21"/>
  <c r="BC21"/>
  <c r="BD21"/>
  <c r="BE21"/>
  <c r="BF21"/>
  <c r="BG21"/>
  <c r="BH21"/>
  <c r="BI21"/>
  <c r="BJ21"/>
  <c r="BK21"/>
  <c r="BA21"/>
  <c r="BB22"/>
  <c r="BC22"/>
  <c r="BD22"/>
  <c r="BE22"/>
  <c r="BF22"/>
  <c r="BG22"/>
  <c r="BH22"/>
  <c r="BI22"/>
  <c r="BJ22"/>
  <c r="BK22"/>
  <c r="BA22"/>
  <c r="BB23"/>
  <c r="BC23"/>
  <c r="BD23"/>
  <c r="BE23"/>
  <c r="BF23"/>
  <c r="BG23"/>
  <c r="BH23"/>
  <c r="BI23"/>
  <c r="BJ23"/>
  <c r="BK23"/>
  <c r="BA23"/>
  <c r="BB24"/>
  <c r="BC24"/>
  <c r="BD24"/>
  <c r="BE24"/>
  <c r="BF24"/>
  <c r="BG24"/>
  <c r="BH24"/>
  <c r="BI24"/>
  <c r="BJ24"/>
  <c r="BK24"/>
  <c r="BA24"/>
  <c r="BB25"/>
  <c r="BC25"/>
  <c r="BD25"/>
  <c r="BE25"/>
  <c r="BF25"/>
  <c r="BG25"/>
  <c r="BH25"/>
  <c r="BI25"/>
  <c r="BJ25"/>
  <c r="BK25"/>
  <c r="BA25"/>
  <c r="BB26"/>
  <c r="BC26"/>
  <c r="BD26"/>
  <c r="BE26"/>
  <c r="BF26"/>
  <c r="BG26"/>
  <c r="BH26"/>
  <c r="BI26"/>
  <c r="BJ26"/>
  <c r="BK26"/>
  <c r="BA26"/>
  <c r="BB27"/>
  <c r="BC27"/>
  <c r="BD27"/>
  <c r="BE27"/>
  <c r="BF27"/>
  <c r="BG27"/>
  <c r="BH27"/>
  <c r="BI27"/>
  <c r="BJ27"/>
  <c r="BK27"/>
  <c r="BA27"/>
  <c r="BB28"/>
  <c r="BC28"/>
  <c r="BD28"/>
  <c r="BE28"/>
  <c r="BF28"/>
  <c r="BG28"/>
  <c r="BH28"/>
  <c r="BI28"/>
  <c r="BJ28"/>
  <c r="BK28"/>
  <c r="BA28"/>
  <c r="BB29"/>
  <c r="BC29"/>
  <c r="BD29"/>
  <c r="BE29"/>
  <c r="BF29"/>
  <c r="BG29"/>
  <c r="BH29"/>
  <c r="BI29"/>
  <c r="BJ29"/>
  <c r="BK29"/>
  <c r="BA29"/>
  <c r="BB30"/>
  <c r="BC30"/>
  <c r="BD30"/>
  <c r="BE30"/>
  <c r="BF30"/>
  <c r="BG30"/>
  <c r="BH30"/>
  <c r="BI30"/>
  <c r="BJ30"/>
  <c r="BK30"/>
  <c r="BA30"/>
  <c r="BB31"/>
  <c r="BC31"/>
  <c r="BD31"/>
  <c r="BE31"/>
  <c r="BF31"/>
  <c r="BG31"/>
  <c r="BH31"/>
  <c r="BI31"/>
  <c r="BJ31"/>
  <c r="BK31"/>
  <c r="BA31"/>
  <c r="BB32"/>
  <c r="BC32"/>
  <c r="BD32"/>
  <c r="BE32"/>
  <c r="BF32"/>
  <c r="BG32"/>
  <c r="BH32"/>
  <c r="BI32"/>
  <c r="BJ32"/>
  <c r="BK32"/>
  <c r="BA32"/>
  <c r="BB33"/>
  <c r="BC33"/>
  <c r="BD33"/>
  <c r="BE33"/>
  <c r="BF33"/>
  <c r="BG33"/>
  <c r="BH33"/>
  <c r="BI33"/>
  <c r="BJ33"/>
  <c r="BK33"/>
  <c r="BA33"/>
  <c r="BB34"/>
  <c r="BC34"/>
  <c r="BD34"/>
  <c r="BE34"/>
  <c r="BF34"/>
  <c r="BG34"/>
  <c r="BH34"/>
  <c r="BI34"/>
  <c r="BJ34"/>
  <c r="BK34"/>
  <c r="BA34"/>
  <c r="BB35"/>
  <c r="BC35"/>
  <c r="BD35"/>
  <c r="BE35"/>
  <c r="BF35"/>
  <c r="BG35"/>
  <c r="BH35"/>
  <c r="BI35"/>
  <c r="BJ35"/>
  <c r="BK35"/>
  <c r="BA35"/>
  <c r="BB36"/>
  <c r="BC36"/>
  <c r="BD36"/>
  <c r="BE36"/>
  <c r="BF36"/>
  <c r="BG36"/>
  <c r="BH36"/>
  <c r="BI36"/>
  <c r="BJ36"/>
  <c r="BK36"/>
  <c r="BA36"/>
  <c r="BB37"/>
  <c r="BC37"/>
  <c r="BD37"/>
  <c r="BE37"/>
  <c r="BF37"/>
  <c r="BG37"/>
  <c r="BH37"/>
  <c r="BI37"/>
  <c r="BJ37"/>
  <c r="BK37"/>
  <c r="BA37"/>
  <c r="BB38"/>
  <c r="BC38"/>
  <c r="BD38"/>
  <c r="BE38"/>
  <c r="BF38"/>
  <c r="BG38"/>
  <c r="BH38"/>
  <c r="BI38"/>
  <c r="BJ38"/>
  <c r="BK38"/>
  <c r="BA38"/>
  <c r="BB39"/>
  <c r="BC39"/>
  <c r="BD39"/>
  <c r="BE39"/>
  <c r="BF39"/>
  <c r="BG39"/>
  <c r="BH39"/>
  <c r="BI39"/>
  <c r="BJ39"/>
  <c r="BK39"/>
  <c r="BA39"/>
  <c r="BB40"/>
  <c r="BC40"/>
  <c r="BD40"/>
  <c r="BE40"/>
  <c r="BF40"/>
  <c r="BG40"/>
  <c r="BH40"/>
  <c r="BI40"/>
  <c r="BJ40"/>
  <c r="BK40"/>
  <c r="BA40"/>
  <c r="BB41"/>
  <c r="BC41"/>
  <c r="BD41"/>
  <c r="BE41"/>
  <c r="BF41"/>
  <c r="BG41"/>
  <c r="BH41"/>
  <c r="BI41"/>
  <c r="BJ41"/>
  <c r="BK41"/>
  <c r="BA41"/>
  <c r="BB42"/>
  <c r="BC42"/>
  <c r="BD42"/>
  <c r="BE42"/>
  <c r="BF42"/>
  <c r="BG42"/>
  <c r="BH42"/>
  <c r="BI42"/>
  <c r="BJ42"/>
  <c r="BK42"/>
  <c r="BA42"/>
  <c r="BB43"/>
  <c r="BC43"/>
  <c r="BD43"/>
  <c r="BE43"/>
  <c r="BF43"/>
  <c r="BG43"/>
  <c r="BH43"/>
  <c r="BI43"/>
  <c r="BJ43"/>
  <c r="BK43"/>
  <c r="BA43"/>
  <c r="BB44"/>
  <c r="BC44"/>
  <c r="BD44"/>
  <c r="BE44"/>
  <c r="BF44"/>
  <c r="BG44"/>
  <c r="BH44"/>
  <c r="BI44"/>
  <c r="BJ44"/>
  <c r="BK44"/>
  <c r="BA44"/>
  <c r="BB45"/>
  <c r="BC45"/>
  <c r="BD45"/>
  <c r="BE45"/>
  <c r="BF45"/>
  <c r="BG45"/>
  <c r="BH45"/>
  <c r="BI45"/>
  <c r="BJ45"/>
  <c r="BK45"/>
  <c r="BA45"/>
  <c r="BB46"/>
  <c r="BC46"/>
  <c r="BD46"/>
  <c r="BE46"/>
  <c r="BF46"/>
  <c r="BG46"/>
  <c r="BH46"/>
  <c r="BI46"/>
  <c r="BJ46"/>
  <c r="BK46"/>
  <c r="BA46"/>
  <c r="BB47"/>
  <c r="BC47"/>
  <c r="BD47"/>
  <c r="BE47"/>
  <c r="BF47"/>
  <c r="BG47"/>
  <c r="BH47"/>
  <c r="BI47"/>
  <c r="BJ47"/>
  <c r="BK47"/>
  <c r="BA47"/>
  <c r="BB48"/>
  <c r="BC48"/>
  <c r="BD48"/>
  <c r="BE48"/>
  <c r="BF48"/>
  <c r="BG48"/>
  <c r="BH48"/>
  <c r="BI48"/>
  <c r="BJ48"/>
  <c r="BK48"/>
  <c r="BA48"/>
  <c r="BB49"/>
  <c r="BC49"/>
  <c r="BD49"/>
  <c r="BE49"/>
  <c r="BF49"/>
  <c r="BG49"/>
  <c r="BH49"/>
  <c r="BI49"/>
  <c r="BJ49"/>
  <c r="BK49"/>
  <c r="BA49"/>
  <c r="BB50"/>
  <c r="BC50"/>
  <c r="BD50"/>
  <c r="BE50"/>
  <c r="BF50"/>
  <c r="BG50"/>
  <c r="BH50"/>
  <c r="BI50"/>
  <c r="BJ50"/>
  <c r="BK50"/>
  <c r="BA50"/>
  <c r="BB51"/>
  <c r="BC51"/>
  <c r="BD51"/>
  <c r="BE51"/>
  <c r="BF51"/>
  <c r="BG51"/>
  <c r="BH51"/>
  <c r="BI51"/>
  <c r="BJ51"/>
  <c r="BK51"/>
  <c r="BA51"/>
  <c r="BB52"/>
  <c r="BC52"/>
  <c r="BD52"/>
  <c r="BE52"/>
  <c r="BF52"/>
  <c r="BG52"/>
  <c r="BH52"/>
  <c r="BI52"/>
  <c r="BJ52"/>
  <c r="BK52"/>
  <c r="BA52"/>
  <c r="BB53"/>
  <c r="BC53"/>
  <c r="BD53"/>
  <c r="BE53"/>
  <c r="BF53"/>
  <c r="BG53"/>
  <c r="BH53"/>
  <c r="BI53"/>
  <c r="BJ53"/>
  <c r="BK53"/>
  <c r="BA53"/>
  <c r="BB54"/>
  <c r="BC54"/>
  <c r="BD54"/>
  <c r="BE54"/>
  <c r="BF54"/>
  <c r="BG54"/>
  <c r="BH54"/>
  <c r="BI54"/>
  <c r="BJ54"/>
  <c r="BK54"/>
  <c r="BA54"/>
  <c r="BB55"/>
  <c r="BC55"/>
  <c r="BD55"/>
  <c r="BE55"/>
  <c r="BF55"/>
  <c r="BG55"/>
  <c r="BH55"/>
  <c r="BI55"/>
  <c r="BJ55"/>
  <c r="BK55"/>
  <c r="BA55"/>
  <c r="BB56"/>
  <c r="BC56"/>
  <c r="BD56"/>
  <c r="BE56"/>
  <c r="BF56"/>
  <c r="BG56"/>
  <c r="BH56"/>
  <c r="BI56"/>
  <c r="BJ56"/>
  <c r="BK56"/>
  <c r="BA56"/>
  <c r="BB57"/>
  <c r="BC57"/>
  <c r="BD57"/>
  <c r="BE57"/>
  <c r="BF57"/>
  <c r="BG57"/>
  <c r="BH57"/>
  <c r="BI57"/>
  <c r="BJ57"/>
  <c r="BK57"/>
  <c r="BA57"/>
  <c r="BB58"/>
  <c r="BC58"/>
  <c r="BD58"/>
  <c r="BE58"/>
  <c r="BF58"/>
  <c r="BG58"/>
  <c r="BH58"/>
  <c r="BI58"/>
  <c r="BJ58"/>
  <c r="BK58"/>
  <c r="BA58"/>
  <c r="BB59"/>
  <c r="BC59"/>
  <c r="BD59"/>
  <c r="BE59"/>
  <c r="BF59"/>
  <c r="BG59"/>
  <c r="BH59"/>
  <c r="BI59"/>
  <c r="BJ59"/>
  <c r="BK59"/>
  <c r="BA59"/>
  <c r="BB60"/>
  <c r="BC60"/>
  <c r="BD60"/>
  <c r="BE60"/>
  <c r="BF60"/>
  <c r="BG60"/>
  <c r="BH60"/>
  <c r="BI60"/>
  <c r="BJ60"/>
  <c r="BK60"/>
  <c r="BA60"/>
  <c r="BB61"/>
  <c r="BC61"/>
  <c r="BD61"/>
  <c r="BE61"/>
  <c r="BF61"/>
  <c r="BG61"/>
  <c r="BH61"/>
  <c r="BI61"/>
  <c r="BJ61"/>
  <c r="BK61"/>
  <c r="BA61"/>
  <c r="BB62"/>
  <c r="BC62"/>
  <c r="BD62"/>
  <c r="BE62"/>
  <c r="BF62"/>
  <c r="BG62"/>
  <c r="BH62"/>
  <c r="BI62"/>
  <c r="BJ62"/>
  <c r="BK62"/>
  <c r="BA62"/>
  <c r="BB63"/>
  <c r="BC63"/>
  <c r="BD63"/>
  <c r="BE63"/>
  <c r="BF63"/>
  <c r="BG63"/>
  <c r="BH63"/>
  <c r="BI63"/>
  <c r="BJ63"/>
  <c r="BK63"/>
  <c r="BA63"/>
  <c r="BB64"/>
  <c r="BC64"/>
  <c r="BD64"/>
  <c r="BE64"/>
  <c r="BF64"/>
  <c r="BG64"/>
  <c r="BH64"/>
  <c r="BI64"/>
  <c r="BJ64"/>
  <c r="BK64"/>
  <c r="BA64"/>
  <c r="BB65"/>
  <c r="BC65"/>
  <c r="BD65"/>
  <c r="BE65"/>
  <c r="BF65"/>
  <c r="BG65"/>
  <c r="BH65"/>
  <c r="BI65"/>
  <c r="BJ65"/>
  <c r="BK65"/>
  <c r="BA65"/>
  <c r="BB66"/>
  <c r="BC66"/>
  <c r="BD66"/>
  <c r="BE66"/>
  <c r="BF66"/>
  <c r="BG66"/>
  <c r="BH66"/>
  <c r="BI66"/>
  <c r="BJ66"/>
  <c r="BK66"/>
  <c r="BA66"/>
  <c r="BB67"/>
  <c r="BC67"/>
  <c r="BD67"/>
  <c r="BE67"/>
  <c r="BF67"/>
  <c r="BG67"/>
  <c r="BH67"/>
  <c r="BI67"/>
  <c r="BJ67"/>
  <c r="BK67"/>
  <c r="BA67"/>
  <c r="BB68"/>
  <c r="BC68"/>
  <c r="BD68"/>
  <c r="BE68"/>
  <c r="BF68"/>
  <c r="BG68"/>
  <c r="BH68"/>
  <c r="BI68"/>
  <c r="BJ68"/>
  <c r="BK68"/>
  <c r="BA68"/>
  <c r="BB69"/>
  <c r="BC69"/>
  <c r="BD69"/>
  <c r="BE69"/>
  <c r="BF69"/>
  <c r="BG69"/>
  <c r="BH69"/>
  <c r="BI69"/>
  <c r="BJ69"/>
  <c r="BK69"/>
  <c r="BA69"/>
  <c r="BB70"/>
  <c r="BC70"/>
  <c r="BD70"/>
  <c r="BE70"/>
  <c r="BF70"/>
  <c r="BG70"/>
  <c r="BH70"/>
  <c r="BI70"/>
  <c r="BJ70"/>
  <c r="BK70"/>
  <c r="BA70"/>
  <c r="BB71"/>
  <c r="BC71"/>
  <c r="BD71"/>
  <c r="BE71"/>
  <c r="BF71"/>
  <c r="BG71"/>
  <c r="BH71"/>
  <c r="BI71"/>
  <c r="BJ71"/>
  <c r="BK71"/>
  <c r="BA71"/>
  <c r="BB72"/>
  <c r="BC72"/>
  <c r="BD72"/>
  <c r="BE72"/>
  <c r="BF72"/>
  <c r="BG72"/>
  <c r="BH72"/>
  <c r="BI72"/>
  <c r="BJ72"/>
  <c r="BK72"/>
  <c r="BA72"/>
  <c r="BB73"/>
  <c r="BC73"/>
  <c r="BD73"/>
  <c r="BE73"/>
  <c r="BF73"/>
  <c r="BG73"/>
  <c r="BH73"/>
  <c r="BI73"/>
  <c r="BJ73"/>
  <c r="BK73"/>
  <c r="BA73"/>
  <c r="BB74"/>
  <c r="BC74"/>
  <c r="BD74"/>
  <c r="BE74"/>
  <c r="BF74"/>
  <c r="BG74"/>
  <c r="BH74"/>
  <c r="BI74"/>
  <c r="BJ74"/>
  <c r="BK74"/>
  <c r="BA74"/>
  <c r="BB75"/>
  <c r="BC75"/>
  <c r="BD75"/>
  <c r="BE75"/>
  <c r="BF75"/>
  <c r="BG75"/>
  <c r="BH75"/>
  <c r="BI75"/>
  <c r="BJ75"/>
  <c r="BK75"/>
  <c r="BA75"/>
  <c r="BB76"/>
  <c r="BC76"/>
  <c r="BD76"/>
  <c r="BE76"/>
  <c r="BF76"/>
  <c r="BG76"/>
  <c r="BH76"/>
  <c r="BI76"/>
  <c r="BJ76"/>
  <c r="BK76"/>
  <c r="BA76"/>
  <c r="BB77"/>
  <c r="BC77"/>
  <c r="BD77"/>
  <c r="BE77"/>
  <c r="BF77"/>
  <c r="BG77"/>
  <c r="BH77"/>
  <c r="BI77"/>
  <c r="BJ77"/>
  <c r="BK77"/>
  <c r="BA77"/>
  <c r="BB78"/>
  <c r="BC78"/>
  <c r="BD78"/>
  <c r="BE78"/>
  <c r="BF78"/>
  <c r="BG78"/>
  <c r="BH78"/>
  <c r="BI78"/>
  <c r="BJ78"/>
  <c r="BK78"/>
  <c r="BA78"/>
  <c r="BB79"/>
  <c r="BC79"/>
  <c r="BD79"/>
  <c r="BE79"/>
  <c r="BF79"/>
  <c r="BG79"/>
  <c r="BH79"/>
  <c r="BI79"/>
  <c r="BJ79"/>
  <c r="BK79"/>
  <c r="BA79"/>
  <c r="BB80"/>
  <c r="BC80"/>
  <c r="BD80"/>
  <c r="BE80"/>
  <c r="BF80"/>
  <c r="BG80"/>
  <c r="BH80"/>
  <c r="BI80"/>
  <c r="BJ80"/>
  <c r="BK80"/>
  <c r="BA80"/>
  <c r="BB81"/>
  <c r="BC81"/>
  <c r="BD81"/>
  <c r="BE81"/>
  <c r="BF81"/>
  <c r="BG81"/>
  <c r="BH81"/>
  <c r="BI81"/>
  <c r="BJ81"/>
  <c r="BK81"/>
  <c r="BA81"/>
  <c r="BB82"/>
  <c r="BC82"/>
  <c r="BD82"/>
  <c r="BE82"/>
  <c r="BF82"/>
  <c r="BG82"/>
  <c r="BH82"/>
  <c r="BI82"/>
  <c r="BJ82"/>
  <c r="BK82"/>
  <c r="BA82"/>
  <c r="BB83"/>
  <c r="BC83"/>
  <c r="BD83"/>
  <c r="BE83"/>
  <c r="BF83"/>
  <c r="BG83"/>
  <c r="BH83"/>
  <c r="BI83"/>
  <c r="BJ83"/>
  <c r="BK83"/>
  <c r="BA83"/>
  <c r="BB84"/>
  <c r="BC84"/>
  <c r="BD84"/>
  <c r="BE84"/>
  <c r="BF84"/>
  <c r="BG84"/>
  <c r="BH84"/>
  <c r="BI84"/>
  <c r="BJ84"/>
  <c r="BK84"/>
  <c r="BA84"/>
  <c r="BB85"/>
  <c r="BC85"/>
  <c r="BD85"/>
  <c r="BE85"/>
  <c r="BF85"/>
  <c r="BG85"/>
  <c r="BH85"/>
  <c r="BI85"/>
  <c r="BJ85"/>
  <c r="BK85"/>
  <c r="BA85"/>
  <c r="BB86"/>
  <c r="BC86"/>
  <c r="BD86"/>
  <c r="BE86"/>
  <c r="BF86"/>
  <c r="BG86"/>
  <c r="BH86"/>
  <c r="BI86"/>
  <c r="BJ86"/>
  <c r="BK86"/>
  <c r="BA86"/>
  <c r="BB87"/>
  <c r="BC87"/>
  <c r="BD87"/>
  <c r="BE87"/>
  <c r="BF87"/>
  <c r="BG87"/>
  <c r="BH87"/>
  <c r="BI87"/>
  <c r="BJ87"/>
  <c r="BK87"/>
  <c r="BA87"/>
  <c r="BB88"/>
  <c r="BC88"/>
  <c r="BD88"/>
  <c r="BE88"/>
  <c r="BF88"/>
  <c r="BG88"/>
  <c r="BH88"/>
  <c r="BI88"/>
  <c r="BJ88"/>
  <c r="BK88"/>
  <c r="BA88"/>
  <c r="BB89"/>
  <c r="BC89"/>
  <c r="BD89"/>
  <c r="BE89"/>
  <c r="BF89"/>
  <c r="BG89"/>
  <c r="BH89"/>
  <c r="BI89"/>
  <c r="BJ89"/>
  <c r="BK89"/>
  <c r="BA89"/>
  <c r="BB90"/>
  <c r="BC90"/>
  <c r="BD90"/>
  <c r="BE90"/>
  <c r="BF90"/>
  <c r="BG90"/>
  <c r="BH90"/>
  <c r="BI90"/>
  <c r="BJ90"/>
  <c r="BK90"/>
  <c r="BA90"/>
  <c r="BB91"/>
  <c r="BC91"/>
  <c r="BD91"/>
  <c r="BE91"/>
  <c r="BF91"/>
  <c r="BG91"/>
  <c r="BH91"/>
  <c r="BI91"/>
  <c r="BJ91"/>
  <c r="BK91"/>
  <c r="BA91"/>
  <c r="BB92"/>
  <c r="BC92"/>
  <c r="BD92"/>
  <c r="BE92"/>
  <c r="BF92"/>
  <c r="BG92"/>
  <c r="BH92"/>
  <c r="BI92"/>
  <c r="BJ92"/>
  <c r="BK92"/>
  <c r="BA92"/>
  <c r="BB93"/>
  <c r="BC93"/>
  <c r="BD93"/>
  <c r="BE93"/>
  <c r="BF93"/>
  <c r="BG93"/>
  <c r="BH93"/>
  <c r="BI93"/>
  <c r="BJ93"/>
  <c r="BK93"/>
  <c r="BA93"/>
  <c r="BB94"/>
  <c r="BC94"/>
  <c r="BD94"/>
  <c r="BE94"/>
  <c r="BF94"/>
  <c r="BG94"/>
  <c r="BH94"/>
  <c r="BI94"/>
  <c r="BJ94"/>
  <c r="BK94"/>
  <c r="BA94"/>
  <c r="BB95"/>
  <c r="BC95"/>
  <c r="BD95"/>
  <c r="BE95"/>
  <c r="BF95"/>
  <c r="BG95"/>
  <c r="BH95"/>
  <c r="BI95"/>
  <c r="BJ95"/>
  <c r="BK95"/>
  <c r="BA95"/>
  <c r="BB96"/>
  <c r="BC96"/>
  <c r="BD96"/>
  <c r="BE96"/>
  <c r="BF96"/>
  <c r="BG96"/>
  <c r="BH96"/>
  <c r="BI96"/>
  <c r="BJ96"/>
  <c r="BK96"/>
  <c r="BA96"/>
  <c r="BB97"/>
  <c r="BC97"/>
  <c r="BD97"/>
  <c r="BE97"/>
  <c r="BF97"/>
  <c r="BG97"/>
  <c r="BH97"/>
  <c r="BI97"/>
  <c r="BJ97"/>
  <c r="BK97"/>
  <c r="BA97"/>
  <c r="BB98"/>
  <c r="BC98"/>
  <c r="BD98"/>
  <c r="BE98"/>
  <c r="BF98"/>
  <c r="BG98"/>
  <c r="BH98"/>
  <c r="BI98"/>
  <c r="BJ98"/>
  <c r="BK98"/>
  <c r="BA98"/>
  <c r="BB99"/>
  <c r="BC99"/>
  <c r="BD99"/>
  <c r="BE99"/>
  <c r="BF99"/>
  <c r="BG99"/>
  <c r="BH99"/>
  <c r="BI99"/>
  <c r="BJ99"/>
  <c r="BK99"/>
  <c r="BA99"/>
  <c r="BB100"/>
  <c r="BC100"/>
  <c r="BD100"/>
  <c r="BE100"/>
  <c r="BF100"/>
  <c r="BG100"/>
  <c r="BH100"/>
  <c r="BI100"/>
  <c r="BJ100"/>
  <c r="BK100"/>
  <c r="BA100"/>
  <c r="BB101"/>
  <c r="BC101"/>
  <c r="BD101"/>
  <c r="BE101"/>
  <c r="BF101"/>
  <c r="BG101"/>
  <c r="BH101"/>
  <c r="BI101"/>
  <c r="BJ101"/>
  <c r="BK101"/>
  <c r="BA101"/>
  <c r="BB102"/>
  <c r="BC102"/>
  <c r="BD102"/>
  <c r="BE102"/>
  <c r="BF102"/>
  <c r="BG102"/>
  <c r="BH102"/>
  <c r="BI102"/>
  <c r="BJ102"/>
  <c r="BK102"/>
  <c r="BA102"/>
  <c r="BB103"/>
  <c r="BC103"/>
  <c r="BD103"/>
  <c r="BE103"/>
  <c r="BF103"/>
  <c r="BG103"/>
  <c r="BH103"/>
  <c r="BI103"/>
  <c r="BJ103"/>
  <c r="BK103"/>
  <c r="BA103"/>
  <c r="BB104"/>
  <c r="BC104"/>
  <c r="BD104"/>
  <c r="BE104"/>
  <c r="BF104"/>
  <c r="BG104"/>
  <c r="BH104"/>
  <c r="BI104"/>
  <c r="BJ104"/>
  <c r="BK104"/>
  <c r="BA104"/>
  <c r="BB105"/>
  <c r="BC105"/>
  <c r="BD105"/>
  <c r="BE105"/>
  <c r="BF105"/>
  <c r="BG105"/>
  <c r="BH105"/>
  <c r="BI105"/>
  <c r="BJ105"/>
  <c r="BK105"/>
  <c r="BA105"/>
  <c r="BB106"/>
  <c r="BC106"/>
  <c r="BD106"/>
  <c r="BE106"/>
  <c r="BF106"/>
  <c r="BG106"/>
  <c r="BH106"/>
  <c r="BI106"/>
  <c r="BJ106"/>
  <c r="BK106"/>
  <c r="BA106"/>
  <c r="BB107"/>
  <c r="BC107"/>
  <c r="BD107"/>
  <c r="BE107"/>
  <c r="BF107"/>
  <c r="BG107"/>
  <c r="BH107"/>
  <c r="BI107"/>
  <c r="BJ107"/>
  <c r="BK107"/>
  <c r="BA107"/>
  <c r="BB108"/>
  <c r="BC108"/>
  <c r="BD108"/>
  <c r="BE108"/>
  <c r="BF108"/>
  <c r="BG108"/>
  <c r="BH108"/>
  <c r="BI108"/>
  <c r="BJ108"/>
  <c r="BK108"/>
  <c r="BA108"/>
  <c r="BB109"/>
  <c r="BC109"/>
  <c r="BD109"/>
  <c r="BE109"/>
  <c r="BF109"/>
  <c r="BG109"/>
  <c r="BH109"/>
  <c r="BI109"/>
  <c r="BJ109"/>
  <c r="BK109"/>
  <c r="BA109"/>
  <c r="BB110"/>
  <c r="BC110"/>
  <c r="BD110"/>
  <c r="BE110"/>
  <c r="BF110"/>
  <c r="BG110"/>
  <c r="BH110"/>
  <c r="BI110"/>
  <c r="BJ110"/>
  <c r="BK110"/>
  <c r="BA110"/>
  <c r="BB111"/>
  <c r="BC111"/>
  <c r="BD111"/>
  <c r="BE111"/>
  <c r="BF111"/>
  <c r="BG111"/>
  <c r="BH111"/>
  <c r="BI111"/>
  <c r="BJ111"/>
  <c r="BK111"/>
  <c r="BA111"/>
  <c r="BB112"/>
  <c r="BC112"/>
  <c r="BD112"/>
  <c r="BE112"/>
  <c r="BF112"/>
  <c r="BG112"/>
  <c r="BH112"/>
  <c r="BI112"/>
  <c r="BJ112"/>
  <c r="BK112"/>
  <c r="BA112"/>
  <c r="BB113"/>
  <c r="BC113"/>
  <c r="BD113"/>
  <c r="BE113"/>
  <c r="BF113"/>
  <c r="BG113"/>
  <c r="BH113"/>
  <c r="BI113"/>
  <c r="BJ113"/>
  <c r="BK113"/>
  <c r="BA113"/>
  <c r="BB114"/>
  <c r="BC114"/>
  <c r="BD114"/>
  <c r="BE114"/>
  <c r="BF114"/>
  <c r="BG114"/>
  <c r="BH114"/>
  <c r="BI114"/>
  <c r="BJ114"/>
  <c r="BK114"/>
  <c r="BA114"/>
  <c r="BB115"/>
  <c r="BC115"/>
  <c r="BD115"/>
  <c r="BE115"/>
  <c r="BF115"/>
  <c r="BG115"/>
  <c r="BH115"/>
  <c r="BI115"/>
  <c r="BJ115"/>
  <c r="BK115"/>
  <c r="BA115"/>
  <c r="BB116"/>
  <c r="BC116"/>
  <c r="BD116"/>
  <c r="BE116"/>
  <c r="BF116"/>
  <c r="BG116"/>
  <c r="BH116"/>
  <c r="BI116"/>
  <c r="BJ116"/>
  <c r="BK116"/>
  <c r="BA116"/>
  <c r="BB117"/>
  <c r="BC117"/>
  <c r="BD117"/>
  <c r="BE117"/>
  <c r="BF117"/>
  <c r="BG117"/>
  <c r="BH117"/>
  <c r="BI117"/>
  <c r="BJ117"/>
  <c r="BK117"/>
  <c r="BA117"/>
  <c r="BB118"/>
  <c r="BC118"/>
  <c r="BD118"/>
  <c r="BE118"/>
  <c r="BF118"/>
  <c r="BG118"/>
  <c r="BH118"/>
  <c r="BI118"/>
  <c r="BJ118"/>
  <c r="BK118"/>
  <c r="BA118"/>
  <c r="BB119"/>
  <c r="BC119"/>
  <c r="BD119"/>
  <c r="BE119"/>
  <c r="BF119"/>
  <c r="BG119"/>
  <c r="BH119"/>
  <c r="BI119"/>
  <c r="BJ119"/>
  <c r="BK119"/>
  <c r="BA119"/>
  <c r="BB120"/>
  <c r="BC120"/>
  <c r="BD120"/>
  <c r="BE120"/>
  <c r="BF120"/>
  <c r="BG120"/>
  <c r="BH120"/>
  <c r="BI120"/>
  <c r="BJ120"/>
  <c r="BK120"/>
  <c r="BA120"/>
  <c r="BB121"/>
  <c r="BC121"/>
  <c r="BD121"/>
  <c r="BE121"/>
  <c r="BF121"/>
  <c r="BG121"/>
  <c r="BH121"/>
  <c r="BI121"/>
  <c r="BJ121"/>
  <c r="BK121"/>
  <c r="BA121"/>
  <c r="BB122"/>
  <c r="BC122"/>
  <c r="BD122"/>
  <c r="BE122"/>
  <c r="BF122"/>
  <c r="BG122"/>
  <c r="BH122"/>
  <c r="BI122"/>
  <c r="BJ122"/>
  <c r="BK122"/>
  <c r="BA122"/>
  <c r="BB123"/>
  <c r="BC123"/>
  <c r="BD123"/>
  <c r="BE123"/>
  <c r="BF123"/>
  <c r="BG123"/>
  <c r="BH123"/>
  <c r="BI123"/>
  <c r="BJ123"/>
  <c r="BK123"/>
  <c r="BA123"/>
  <c r="BB124"/>
  <c r="BC124"/>
  <c r="BD124"/>
  <c r="BE124"/>
  <c r="BF124"/>
  <c r="BG124"/>
  <c r="BH124"/>
  <c r="BI124"/>
  <c r="BJ124"/>
  <c r="BK124"/>
  <c r="BA124"/>
  <c r="BB125"/>
  <c r="BC125"/>
  <c r="BD125"/>
  <c r="BE125"/>
  <c r="BF125"/>
  <c r="BG125"/>
  <c r="BH125"/>
  <c r="BI125"/>
  <c r="BJ125"/>
  <c r="BK125"/>
  <c r="BA125"/>
  <c r="BB126"/>
  <c r="BC126"/>
  <c r="BD126"/>
  <c r="BE126"/>
  <c r="BF126"/>
  <c r="BG126"/>
  <c r="BH126"/>
  <c r="BI126"/>
  <c r="BJ126"/>
  <c r="BK126"/>
  <c r="BA126"/>
  <c r="BB127"/>
  <c r="BC127"/>
  <c r="BD127"/>
  <c r="BE127"/>
  <c r="BF127"/>
  <c r="BG127"/>
  <c r="BH127"/>
  <c r="BI127"/>
  <c r="BJ127"/>
  <c r="BK127"/>
  <c r="BA127"/>
  <c r="BB128"/>
  <c r="BC128"/>
  <c r="BD128"/>
  <c r="BE128"/>
  <c r="BF128"/>
  <c r="BG128"/>
  <c r="BH128"/>
  <c r="BI128"/>
  <c r="BJ128"/>
  <c r="BK128"/>
  <c r="BA128"/>
  <c r="BB129"/>
  <c r="BC129"/>
  <c r="BD129"/>
  <c r="BE129"/>
  <c r="BF129"/>
  <c r="BG129"/>
  <c r="BH129"/>
  <c r="BI129"/>
  <c r="BJ129"/>
  <c r="BK129"/>
  <c r="BA129"/>
  <c r="BB130"/>
  <c r="BC130"/>
  <c r="BD130"/>
  <c r="BE130"/>
  <c r="BF130"/>
  <c r="BG130"/>
  <c r="BH130"/>
  <c r="BI130"/>
  <c r="BJ130"/>
  <c r="BK130"/>
  <c r="BA130"/>
  <c r="BB131"/>
  <c r="BC131"/>
  <c r="BD131"/>
  <c r="BE131"/>
  <c r="BF131"/>
  <c r="BG131"/>
  <c r="BH131"/>
  <c r="BI131"/>
  <c r="BJ131"/>
  <c r="BK131"/>
  <c r="BA131"/>
  <c r="BB132"/>
  <c r="BC132"/>
  <c r="BD132"/>
  <c r="BE132"/>
  <c r="BF132"/>
  <c r="BG132"/>
  <c r="BH132"/>
  <c r="BI132"/>
  <c r="BJ132"/>
  <c r="BK132"/>
  <c r="BA132"/>
  <c r="BB133"/>
  <c r="BC133"/>
  <c r="BD133"/>
  <c r="BE133"/>
  <c r="BF133"/>
  <c r="BG133"/>
  <c r="BH133"/>
  <c r="BI133"/>
  <c r="BJ133"/>
  <c r="BK133"/>
  <c r="BA133"/>
  <c r="BB134"/>
  <c r="BC134"/>
  <c r="BD134"/>
  <c r="BE134"/>
  <c r="BF134"/>
  <c r="BG134"/>
  <c r="BH134"/>
  <c r="BI134"/>
  <c r="BJ134"/>
  <c r="BK134"/>
  <c r="BA134"/>
  <c r="BB135"/>
  <c r="BC135"/>
  <c r="BD135"/>
  <c r="BE135"/>
  <c r="BF135"/>
  <c r="BG135"/>
  <c r="BH135"/>
  <c r="BI135"/>
  <c r="BJ135"/>
  <c r="BK135"/>
  <c r="BA135"/>
  <c r="BB136"/>
  <c r="BC136"/>
  <c r="BD136"/>
  <c r="BE136"/>
  <c r="BF136"/>
  <c r="BG136"/>
  <c r="BH136"/>
  <c r="BI136"/>
  <c r="BJ136"/>
  <c r="BK136"/>
  <c r="BA136"/>
  <c r="BB137"/>
  <c r="BC137"/>
  <c r="BD137"/>
  <c r="BE137"/>
  <c r="BF137"/>
  <c r="BG137"/>
  <c r="BH137"/>
  <c r="BI137"/>
  <c r="BJ137"/>
  <c r="BK137"/>
  <c r="BA137"/>
  <c r="BB138"/>
  <c r="BC138"/>
  <c r="BD138"/>
  <c r="BE138"/>
  <c r="BF138"/>
  <c r="BG138"/>
  <c r="BH138"/>
  <c r="BI138"/>
  <c r="BJ138"/>
  <c r="BK138"/>
  <c r="BA138"/>
  <c r="BB139"/>
  <c r="BC139"/>
  <c r="BD139"/>
  <c r="BE139"/>
  <c r="BF139"/>
  <c r="BG139"/>
  <c r="BH139"/>
  <c r="BI139"/>
  <c r="BJ139"/>
  <c r="BK139"/>
  <c r="BA139"/>
  <c r="BB140"/>
  <c r="BC140"/>
  <c r="BD140"/>
  <c r="BE140"/>
  <c r="BF140"/>
  <c r="BG140"/>
  <c r="BH140"/>
  <c r="BI140"/>
  <c r="BJ140"/>
  <c r="BK140"/>
  <c r="BA140"/>
  <c r="BB141"/>
  <c r="BC141"/>
  <c r="BD141"/>
  <c r="BE141"/>
  <c r="BF141"/>
  <c r="BG141"/>
  <c r="BH141"/>
  <c r="BI141"/>
  <c r="BJ141"/>
  <c r="BK141"/>
  <c r="BA141"/>
  <c r="BB142"/>
  <c r="BC142"/>
  <c r="BD142"/>
  <c r="BE142"/>
  <c r="BF142"/>
  <c r="BG142"/>
  <c r="BH142"/>
  <c r="BI142"/>
  <c r="BJ142"/>
  <c r="BK142"/>
  <c r="BA142"/>
  <c r="BB143"/>
  <c r="BC143"/>
  <c r="BD143"/>
  <c r="BE143"/>
  <c r="BF143"/>
  <c r="BG143"/>
  <c r="BH143"/>
  <c r="BI143"/>
  <c r="BJ143"/>
  <c r="BK143"/>
  <c r="BA143"/>
  <c r="BB144"/>
  <c r="BC144"/>
  <c r="BD144"/>
  <c r="BE144"/>
  <c r="BF144"/>
  <c r="BG144"/>
  <c r="BH144"/>
  <c r="BI144"/>
  <c r="BJ144"/>
  <c r="BK144"/>
  <c r="BA144"/>
  <c r="BB145"/>
  <c r="BC145"/>
  <c r="BD145"/>
  <c r="BE145"/>
  <c r="BF145"/>
  <c r="BG145"/>
  <c r="BH145"/>
  <c r="BI145"/>
  <c r="BJ145"/>
  <c r="BK145"/>
  <c r="BA145"/>
  <c r="BB146"/>
  <c r="BC146"/>
  <c r="BD146"/>
  <c r="BE146"/>
  <c r="BF146"/>
  <c r="BG146"/>
  <c r="BH146"/>
  <c r="BI146"/>
  <c r="BJ146"/>
  <c r="BK146"/>
  <c r="BA146"/>
  <c r="BB147"/>
  <c r="BC147"/>
  <c r="BD147"/>
  <c r="BE147"/>
  <c r="BF147"/>
  <c r="BG147"/>
  <c r="BH147"/>
  <c r="BI147"/>
  <c r="BJ147"/>
  <c r="BK147"/>
  <c r="BA147"/>
  <c r="BB148"/>
  <c r="BC148"/>
  <c r="BD148"/>
  <c r="BE148"/>
  <c r="BF148"/>
  <c r="BG148"/>
  <c r="BH148"/>
  <c r="BI148"/>
  <c r="BJ148"/>
  <c r="BK148"/>
  <c r="BA148"/>
  <c r="BB149"/>
  <c r="BC149"/>
  <c r="BD149"/>
  <c r="BE149"/>
  <c r="BF149"/>
  <c r="BG149"/>
  <c r="BH149"/>
  <c r="BI149"/>
  <c r="BJ149"/>
  <c r="BK149"/>
  <c r="BA149"/>
  <c r="BB150"/>
  <c r="BC150"/>
  <c r="BD150"/>
  <c r="BE150"/>
  <c r="BF150"/>
  <c r="BG150"/>
  <c r="BH150"/>
  <c r="BI150"/>
  <c r="BJ150"/>
  <c r="BK150"/>
  <c r="BA150"/>
  <c r="BB151"/>
  <c r="BC151"/>
  <c r="BD151"/>
  <c r="BE151"/>
  <c r="BF151"/>
  <c r="BG151"/>
  <c r="BH151"/>
  <c r="BI151"/>
  <c r="BJ151"/>
  <c r="BK151"/>
  <c r="BA151"/>
  <c r="BB152"/>
  <c r="BC152"/>
  <c r="BD152"/>
  <c r="BE152"/>
  <c r="BF152"/>
  <c r="BG152"/>
  <c r="BH152"/>
  <c r="BI152"/>
  <c r="BJ152"/>
  <c r="BK152"/>
  <c r="BA152"/>
  <c r="BB153"/>
  <c r="BC153"/>
  <c r="BD153"/>
  <c r="BE153"/>
  <c r="BF153"/>
  <c r="BG153"/>
  <c r="BH153"/>
  <c r="BI153"/>
  <c r="BJ153"/>
  <c r="BK153"/>
  <c r="BA153"/>
  <c r="BB154"/>
  <c r="BC154"/>
  <c r="BD154"/>
  <c r="BE154"/>
  <c r="BF154"/>
  <c r="BG154"/>
  <c r="BH154"/>
  <c r="BI154"/>
  <c r="BJ154"/>
  <c r="BK154"/>
  <c r="BA154"/>
  <c r="BB155"/>
  <c r="BC155"/>
  <c r="BD155"/>
  <c r="BE155"/>
  <c r="BF155"/>
  <c r="BG155"/>
  <c r="BH155"/>
  <c r="BI155"/>
  <c r="BJ155"/>
  <c r="BK155"/>
  <c r="BA155"/>
  <c r="BB156"/>
  <c r="BC156"/>
  <c r="BD156"/>
  <c r="BE156"/>
  <c r="BF156"/>
  <c r="BG156"/>
  <c r="BH156"/>
  <c r="BI156"/>
  <c r="BJ156"/>
  <c r="BK156"/>
  <c r="BA156"/>
  <c r="BB157"/>
  <c r="BC157"/>
  <c r="BD157"/>
  <c r="BE157"/>
  <c r="BF157"/>
  <c r="BG157"/>
  <c r="BH157"/>
  <c r="BI157"/>
  <c r="BJ157"/>
  <c r="BK157"/>
  <c r="BA157"/>
  <c r="BB158"/>
  <c r="BC158"/>
  <c r="BD158"/>
  <c r="BE158"/>
  <c r="BF158"/>
  <c r="BG158"/>
  <c r="BH158"/>
  <c r="BI158"/>
  <c r="BJ158"/>
  <c r="BK158"/>
  <c r="BA158"/>
  <c r="BB159"/>
  <c r="BC159"/>
  <c r="BD159"/>
  <c r="BE159"/>
  <c r="BF159"/>
  <c r="BG159"/>
  <c r="BH159"/>
  <c r="BI159"/>
  <c r="BJ159"/>
  <c r="BK159"/>
  <c r="BA159"/>
  <c r="BB160"/>
  <c r="BC160"/>
  <c r="BD160"/>
  <c r="BE160"/>
  <c r="BF160"/>
  <c r="BG160"/>
  <c r="BH160"/>
  <c r="BI160"/>
  <c r="BJ160"/>
  <c r="BK160"/>
  <c r="BA160"/>
  <c r="BB161"/>
  <c r="BC161"/>
  <c r="BD161"/>
  <c r="BE161"/>
  <c r="BF161"/>
  <c r="BG161"/>
  <c r="BH161"/>
  <c r="BI161"/>
  <c r="BJ161"/>
  <c r="BK161"/>
  <c r="BA161"/>
  <c r="BB162"/>
  <c r="BC162"/>
  <c r="BD162"/>
  <c r="BE162"/>
  <c r="BF162"/>
  <c r="BG162"/>
  <c r="BH162"/>
  <c r="BI162"/>
  <c r="BJ162"/>
  <c r="BK162"/>
  <c r="BA162"/>
  <c r="BB163"/>
  <c r="BC163"/>
  <c r="BD163"/>
  <c r="BE163"/>
  <c r="BF163"/>
  <c r="BG163"/>
  <c r="BH163"/>
  <c r="BI163"/>
  <c r="BJ163"/>
  <c r="BK163"/>
  <c r="BA163"/>
  <c r="BB164"/>
  <c r="BC164"/>
  <c r="BD164"/>
  <c r="BE164"/>
  <c r="BF164"/>
  <c r="BG164"/>
  <c r="BH164"/>
  <c r="BI164"/>
  <c r="BJ164"/>
  <c r="BK164"/>
  <c r="BA164"/>
  <c r="BB165"/>
  <c r="BC165"/>
  <c r="BD165"/>
  <c r="BE165"/>
  <c r="BF165"/>
  <c r="BG165"/>
  <c r="BH165"/>
  <c r="BI165"/>
  <c r="BJ165"/>
  <c r="BK165"/>
  <c r="BA165"/>
  <c r="BB166"/>
  <c r="BC166"/>
  <c r="BD166"/>
  <c r="BE166"/>
  <c r="BF166"/>
  <c r="BG166"/>
  <c r="BH166"/>
  <c r="BI166"/>
  <c r="BJ166"/>
  <c r="BK166"/>
  <c r="BA166"/>
  <c r="BB167"/>
  <c r="BC167"/>
  <c r="BD167"/>
  <c r="BE167"/>
  <c r="BF167"/>
  <c r="BG167"/>
  <c r="BH167"/>
  <c r="BI167"/>
  <c r="BJ167"/>
  <c r="BK167"/>
  <c r="BA167"/>
  <c r="BB168"/>
  <c r="BC168"/>
  <c r="BD168"/>
  <c r="BE168"/>
  <c r="BF168"/>
  <c r="BG168"/>
  <c r="BH168"/>
  <c r="BI168"/>
  <c r="BJ168"/>
  <c r="BK168"/>
  <c r="BA168"/>
  <c r="BB169"/>
  <c r="BC169"/>
  <c r="BD169"/>
  <c r="BE169"/>
  <c r="BF169"/>
  <c r="BG169"/>
  <c r="BH169"/>
  <c r="BI169"/>
  <c r="BJ169"/>
  <c r="BK169"/>
  <c r="BA169"/>
  <c r="BB170"/>
  <c r="BC170"/>
  <c r="BD170"/>
  <c r="BE170"/>
  <c r="BF170"/>
  <c r="BG170"/>
  <c r="BH170"/>
  <c r="BI170"/>
  <c r="BJ170"/>
  <c r="BK170"/>
  <c r="BA170"/>
  <c r="BB171"/>
  <c r="BC171"/>
  <c r="BD171"/>
  <c r="BE171"/>
  <c r="BF171"/>
  <c r="BG171"/>
  <c r="BH171"/>
  <c r="BI171"/>
  <c r="BJ171"/>
  <c r="BK171"/>
  <c r="BA171"/>
  <c r="BB172"/>
  <c r="BC172"/>
  <c r="BD172"/>
  <c r="BE172"/>
  <c r="BF172"/>
  <c r="BG172"/>
  <c r="BH172"/>
  <c r="BI172"/>
  <c r="BJ172"/>
  <c r="BK172"/>
  <c r="BA172"/>
  <c r="BB173"/>
  <c r="BC173"/>
  <c r="BD173"/>
  <c r="BE173"/>
  <c r="BF173"/>
  <c r="BG173"/>
  <c r="BH173"/>
  <c r="BI173"/>
  <c r="BJ173"/>
  <c r="BK173"/>
  <c r="BA173"/>
  <c r="BB174"/>
  <c r="BC174"/>
  <c r="BD174"/>
  <c r="BE174"/>
  <c r="BF174"/>
  <c r="BG174"/>
  <c r="BH174"/>
  <c r="BI174"/>
  <c r="BJ174"/>
  <c r="BK174"/>
  <c r="BA174"/>
  <c r="BB175"/>
  <c r="BC175"/>
  <c r="BD175"/>
  <c r="BE175"/>
  <c r="BF175"/>
  <c r="BG175"/>
  <c r="BH175"/>
  <c r="BI175"/>
  <c r="BJ175"/>
  <c r="BK175"/>
  <c r="BA175"/>
  <c r="BB176"/>
  <c r="BC176"/>
  <c r="BD176"/>
  <c r="BE176"/>
  <c r="BF176"/>
  <c r="BG176"/>
  <c r="BH176"/>
  <c r="BI176"/>
  <c r="BJ176"/>
  <c r="BK176"/>
  <c r="BA176"/>
  <c r="BB177"/>
  <c r="BC177"/>
  <c r="BD177"/>
  <c r="BE177"/>
  <c r="BF177"/>
  <c r="BG177"/>
  <c r="BH177"/>
  <c r="BI177"/>
  <c r="BJ177"/>
  <c r="BK177"/>
  <c r="BA177"/>
  <c r="BB178"/>
  <c r="BC178"/>
  <c r="BD178"/>
  <c r="BE178"/>
  <c r="BF178"/>
  <c r="BG178"/>
  <c r="BH178"/>
  <c r="BI178"/>
  <c r="BJ178"/>
  <c r="BK178"/>
  <c r="BA178"/>
  <c r="BB179"/>
  <c r="BC179"/>
  <c r="BD179"/>
  <c r="BE179"/>
  <c r="BF179"/>
  <c r="BG179"/>
  <c r="BH179"/>
  <c r="BI179"/>
  <c r="BJ179"/>
  <c r="BK179"/>
  <c r="BA179"/>
  <c r="BB180"/>
  <c r="BC180"/>
  <c r="BD180"/>
  <c r="BE180"/>
  <c r="BF180"/>
  <c r="BG180"/>
  <c r="BH180"/>
  <c r="BI180"/>
  <c r="BJ180"/>
  <c r="BK180"/>
  <c r="BA180"/>
  <c r="BB181"/>
  <c r="BC181"/>
  <c r="BD181"/>
  <c r="BE181"/>
  <c r="BF181"/>
  <c r="BG181"/>
  <c r="BH181"/>
  <c r="BI181"/>
  <c r="BJ181"/>
  <c r="BK181"/>
  <c r="BA181"/>
  <c r="BB182"/>
  <c r="BC182"/>
  <c r="BD182"/>
  <c r="BE182"/>
  <c r="BF182"/>
  <c r="BG182"/>
  <c r="BH182"/>
  <c r="BI182"/>
  <c r="BJ182"/>
  <c r="BK182"/>
  <c r="BA182"/>
  <c r="BB183"/>
  <c r="BC183"/>
  <c r="BD183"/>
  <c r="BE183"/>
  <c r="BF183"/>
  <c r="BG183"/>
  <c r="BH183"/>
  <c r="BI183"/>
  <c r="BJ183"/>
  <c r="BK183"/>
  <c r="BA183"/>
  <c r="BB184"/>
  <c r="BC184"/>
  <c r="BD184"/>
  <c r="BE184"/>
  <c r="BF184"/>
  <c r="BG184"/>
  <c r="BH184"/>
  <c r="BI184"/>
  <c r="BJ184"/>
  <c r="BK184"/>
  <c r="BA184"/>
  <c r="BB185"/>
  <c r="BC185"/>
  <c r="BD185"/>
  <c r="BE185"/>
  <c r="BF185"/>
  <c r="BG185"/>
  <c r="BH185"/>
  <c r="BI185"/>
  <c r="BJ185"/>
  <c r="BK185"/>
  <c r="BA185"/>
  <c r="BB186"/>
  <c r="BC186"/>
  <c r="BD186"/>
  <c r="BE186"/>
  <c r="BF186"/>
  <c r="BG186"/>
  <c r="BH186"/>
  <c r="BI186"/>
  <c r="BJ186"/>
  <c r="BK186"/>
  <c r="BA186"/>
  <c r="BB187"/>
  <c r="BC187"/>
  <c r="BD187"/>
  <c r="BE187"/>
  <c r="BF187"/>
  <c r="BG187"/>
  <c r="BH187"/>
  <c r="BI187"/>
  <c r="BJ187"/>
  <c r="BK187"/>
  <c r="BA187"/>
  <c r="BB188"/>
  <c r="BC188"/>
  <c r="BD188"/>
  <c r="BE188"/>
  <c r="BF188"/>
  <c r="BG188"/>
  <c r="BH188"/>
  <c r="BI188"/>
  <c r="BJ188"/>
  <c r="BK188"/>
  <c r="BA188"/>
  <c r="BB189"/>
  <c r="BC189"/>
  <c r="BD189"/>
  <c r="BE189"/>
  <c r="BF189"/>
  <c r="BG189"/>
  <c r="BH189"/>
  <c r="BI189"/>
  <c r="BJ189"/>
  <c r="BK189"/>
  <c r="BA189"/>
  <c r="BB190"/>
  <c r="BC190"/>
  <c r="BD190"/>
  <c r="BE190"/>
  <c r="BF190"/>
  <c r="BG190"/>
  <c r="BH190"/>
  <c r="BI190"/>
  <c r="BJ190"/>
  <c r="BK190"/>
  <c r="BA190"/>
  <c r="BB191"/>
  <c r="BC191"/>
  <c r="BD191"/>
  <c r="BE191"/>
  <c r="BF191"/>
  <c r="BG191"/>
  <c r="BH191"/>
  <c r="BI191"/>
  <c r="BJ191"/>
  <c r="BK191"/>
  <c r="BA191"/>
  <c r="BB192"/>
  <c r="BC192"/>
  <c r="BD192"/>
  <c r="BE192"/>
  <c r="BF192"/>
  <c r="BG192"/>
  <c r="BH192"/>
  <c r="BI192"/>
  <c r="BJ192"/>
  <c r="BK192"/>
  <c r="BA192"/>
  <c r="BB193"/>
  <c r="BC193"/>
  <c r="BD193"/>
  <c r="BE193"/>
  <c r="BF193"/>
  <c r="BG193"/>
  <c r="BH193"/>
  <c r="BI193"/>
  <c r="BJ193"/>
  <c r="BK193"/>
  <c r="BA193"/>
  <c r="BB194"/>
  <c r="BC194"/>
  <c r="BD194"/>
  <c r="BE194"/>
  <c r="BF194"/>
  <c r="BG194"/>
  <c r="BH194"/>
  <c r="BI194"/>
  <c r="BJ194"/>
  <c r="BK194"/>
  <c r="BA194"/>
  <c r="BB195"/>
  <c r="BC195"/>
  <c r="BD195"/>
  <c r="BE195"/>
  <c r="BF195"/>
  <c r="BG195"/>
  <c r="BH195"/>
  <c r="BI195"/>
  <c r="BJ195"/>
  <c r="BK195"/>
  <c r="BA195"/>
  <c r="BB196"/>
  <c r="BC196"/>
  <c r="BD196"/>
  <c r="BE196"/>
  <c r="BF196"/>
  <c r="BG196"/>
  <c r="BH196"/>
  <c r="BI196"/>
  <c r="BJ196"/>
  <c r="BK196"/>
  <c r="BA196"/>
  <c r="BB197"/>
  <c r="BC197"/>
  <c r="BD197"/>
  <c r="BE197"/>
  <c r="BF197"/>
  <c r="BG197"/>
  <c r="BH197"/>
  <c r="BI197"/>
  <c r="BJ197"/>
  <c r="BK197"/>
  <c r="BA197"/>
  <c r="BB198"/>
  <c r="BC198"/>
  <c r="BD198"/>
  <c r="BE198"/>
  <c r="BF198"/>
  <c r="BG198"/>
  <c r="BH198"/>
  <c r="BI198"/>
  <c r="BJ198"/>
  <c r="BK198"/>
  <c r="BA198"/>
  <c r="BB199"/>
  <c r="BC199"/>
  <c r="BD199"/>
  <c r="BE199"/>
  <c r="BF199"/>
  <c r="BG199"/>
  <c r="BH199"/>
  <c r="BI199"/>
  <c r="BJ199"/>
  <c r="BK199"/>
  <c r="BA199"/>
  <c r="BB200"/>
  <c r="BC200"/>
  <c r="BD200"/>
  <c r="BE200"/>
  <c r="BF200"/>
  <c r="BG200"/>
  <c r="BH200"/>
  <c r="BI200"/>
  <c r="BJ200"/>
  <c r="BK200"/>
  <c r="BA200"/>
  <c r="BB201"/>
  <c r="BC201"/>
  <c r="BD201"/>
  <c r="BE201"/>
  <c r="BF201"/>
  <c r="BG201"/>
  <c r="BH201"/>
  <c r="BI201"/>
  <c r="BJ201"/>
  <c r="BK201"/>
  <c r="BA201"/>
  <c r="BB202"/>
  <c r="BC202"/>
  <c r="BD202"/>
  <c r="BE202"/>
  <c r="BF202"/>
  <c r="BG202"/>
  <c r="BH202"/>
  <c r="BI202"/>
  <c r="BJ202"/>
  <c r="BK202"/>
  <c r="BA202"/>
  <c r="BB203"/>
  <c r="BC203"/>
  <c r="BD203"/>
  <c r="BE203"/>
  <c r="BF203"/>
  <c r="BG203"/>
  <c r="BH203"/>
  <c r="BI203"/>
  <c r="BJ203"/>
  <c r="BK203"/>
  <c r="BA203"/>
  <c r="BB204"/>
  <c r="BC204"/>
  <c r="BD204"/>
  <c r="BE204"/>
  <c r="BF204"/>
  <c r="BG204"/>
  <c r="BH204"/>
  <c r="BI204"/>
  <c r="BJ204"/>
  <c r="BK204"/>
  <c r="BA204"/>
  <c r="BB205"/>
  <c r="BC205"/>
  <c r="BD205"/>
  <c r="BE205"/>
  <c r="BF205"/>
  <c r="BG205"/>
  <c r="BH205"/>
  <c r="BI205"/>
  <c r="BJ205"/>
  <c r="BK205"/>
  <c r="BA205"/>
  <c r="BB206"/>
  <c r="BC206"/>
  <c r="BD206"/>
  <c r="BE206"/>
  <c r="BF206"/>
  <c r="BG206"/>
  <c r="BH206"/>
  <c r="BI206"/>
  <c r="BJ206"/>
  <c r="BK206"/>
  <c r="BA206"/>
  <c r="BB207"/>
  <c r="BC207"/>
  <c r="BD207"/>
  <c r="BE207"/>
  <c r="BF207"/>
  <c r="BG207"/>
  <c r="BH207"/>
  <c r="BI207"/>
  <c r="BJ207"/>
  <c r="BK207"/>
  <c r="BA207"/>
  <c r="BB208"/>
  <c r="BC208"/>
  <c r="BD208"/>
  <c r="BE208"/>
  <c r="BF208"/>
  <c r="BG208"/>
  <c r="BH208"/>
  <c r="BI208"/>
  <c r="BJ208"/>
  <c r="BK208"/>
  <c r="BA208"/>
  <c r="BB209"/>
  <c r="BC209"/>
  <c r="BD209"/>
  <c r="BE209"/>
  <c r="BF209"/>
  <c r="BG209"/>
  <c r="BH209"/>
  <c r="BI209"/>
  <c r="BJ209"/>
  <c r="BK209"/>
  <c r="BA209"/>
  <c r="BB210"/>
  <c r="BC210"/>
  <c r="BD210"/>
  <c r="BE210"/>
  <c r="BF210"/>
  <c r="BG210"/>
  <c r="BH210"/>
  <c r="BI210"/>
  <c r="BJ210"/>
  <c r="BK210"/>
  <c r="BA210"/>
  <c r="BB211"/>
  <c r="BC211"/>
  <c r="BD211"/>
  <c r="BE211"/>
  <c r="BF211"/>
  <c r="BG211"/>
  <c r="BH211"/>
  <c r="BI211"/>
  <c r="BJ211"/>
  <c r="BK211"/>
  <c r="BA211"/>
  <c r="BB212"/>
  <c r="BC212"/>
  <c r="BD212"/>
  <c r="BE212"/>
  <c r="BF212"/>
  <c r="BG212"/>
  <c r="BH212"/>
  <c r="BI212"/>
  <c r="BJ212"/>
  <c r="BK212"/>
  <c r="BA212"/>
  <c r="BB213"/>
  <c r="BC213"/>
  <c r="BD213"/>
  <c r="BE213"/>
  <c r="BF213"/>
  <c r="BG213"/>
  <c r="BH213"/>
  <c r="BI213"/>
  <c r="BJ213"/>
  <c r="BK213"/>
  <c r="BA213"/>
  <c r="BB214"/>
  <c r="BC214"/>
  <c r="BD214"/>
  <c r="BE214"/>
  <c r="BF214"/>
  <c r="BG214"/>
  <c r="BH214"/>
  <c r="BI214"/>
  <c r="BJ214"/>
  <c r="BK214"/>
  <c r="BA214"/>
  <c r="BB215"/>
  <c r="BC215"/>
  <c r="BD215"/>
  <c r="BE215"/>
  <c r="BF215"/>
  <c r="BG215"/>
  <c r="BH215"/>
  <c r="BI215"/>
  <c r="BJ215"/>
  <c r="BK215"/>
  <c r="BA215"/>
  <c r="BB216"/>
  <c r="BC216"/>
  <c r="BD216"/>
  <c r="BE216"/>
  <c r="BF216"/>
  <c r="BG216"/>
  <c r="BH216"/>
  <c r="BI216"/>
  <c r="BJ216"/>
  <c r="BK216"/>
  <c r="BA216"/>
  <c r="BB217"/>
  <c r="BC217"/>
  <c r="BD217"/>
  <c r="BE217"/>
  <c r="BF217"/>
  <c r="BG217"/>
  <c r="BH217"/>
  <c r="BI217"/>
  <c r="BJ217"/>
  <c r="BK217"/>
  <c r="BA217"/>
  <c r="BB218"/>
  <c r="BC218"/>
  <c r="BD218"/>
  <c r="BE218"/>
  <c r="BF218"/>
  <c r="BG218"/>
  <c r="BH218"/>
  <c r="BI218"/>
  <c r="BJ218"/>
  <c r="BK218"/>
  <c r="BA218"/>
  <c r="BB219"/>
  <c r="BC219"/>
  <c r="BD219"/>
  <c r="BE219"/>
  <c r="BF219"/>
  <c r="BG219"/>
  <c r="BH219"/>
  <c r="BI219"/>
  <c r="BJ219"/>
  <c r="BK219"/>
  <c r="BA219"/>
  <c r="BB220"/>
  <c r="BC220"/>
  <c r="BD220"/>
  <c r="BE220"/>
  <c r="BF220"/>
  <c r="BG220"/>
  <c r="BH220"/>
  <c r="BI220"/>
  <c r="BJ220"/>
  <c r="BK220"/>
  <c r="BA220"/>
  <c r="BB221"/>
  <c r="BC221"/>
  <c r="BD221"/>
  <c r="BE221"/>
  <c r="BF221"/>
  <c r="BG221"/>
  <c r="BH221"/>
  <c r="BI221"/>
  <c r="BJ221"/>
  <c r="BK221"/>
  <c r="BA221"/>
  <c r="BB222"/>
  <c r="BC222"/>
  <c r="BD222"/>
  <c r="BE222"/>
  <c r="BF222"/>
  <c r="BG222"/>
  <c r="BH222"/>
  <c r="BI222"/>
  <c r="BJ222"/>
  <c r="BK222"/>
  <c r="BA222"/>
  <c r="BB223"/>
  <c r="BC223"/>
  <c r="BD223"/>
  <c r="BE223"/>
  <c r="BF223"/>
  <c r="BG223"/>
  <c r="BH223"/>
  <c r="BI223"/>
  <c r="BJ223"/>
  <c r="BK223"/>
  <c r="BA223"/>
  <c r="BB224"/>
  <c r="BC224"/>
  <c r="BD224"/>
  <c r="BE224"/>
  <c r="BF224"/>
  <c r="BG224"/>
  <c r="BH224"/>
  <c r="BI224"/>
  <c r="BJ224"/>
  <c r="BK224"/>
  <c r="BA224"/>
  <c r="BB225"/>
  <c r="BC225"/>
  <c r="BD225"/>
  <c r="BE225"/>
  <c r="BF225"/>
  <c r="BG225"/>
  <c r="BH225"/>
  <c r="BI225"/>
  <c r="BJ225"/>
  <c r="BK225"/>
  <c r="BA225"/>
  <c r="BB226"/>
  <c r="BC226"/>
  <c r="BD226"/>
  <c r="BE226"/>
  <c r="BF226"/>
  <c r="BG226"/>
  <c r="BH226"/>
  <c r="BI226"/>
  <c r="BJ226"/>
  <c r="BK226"/>
  <c r="BA226"/>
  <c r="BB227"/>
  <c r="BC227"/>
  <c r="BD227"/>
  <c r="BE227"/>
  <c r="BF227"/>
  <c r="BG227"/>
  <c r="BH227"/>
  <c r="BI227"/>
  <c r="BJ227"/>
  <c r="BK227"/>
  <c r="BA227"/>
  <c r="BB228"/>
  <c r="BC228"/>
  <c r="BD228"/>
  <c r="BE228"/>
  <c r="BF228"/>
  <c r="BG228"/>
  <c r="BH228"/>
  <c r="BI228"/>
  <c r="BJ228"/>
  <c r="BK228"/>
  <c r="BA228"/>
  <c r="BB229"/>
  <c r="BC229"/>
  <c r="BD229"/>
  <c r="BE229"/>
  <c r="BF229"/>
  <c r="BG229"/>
  <c r="BH229"/>
  <c r="BI229"/>
  <c r="BJ229"/>
  <c r="BK229"/>
  <c r="BA229"/>
  <c r="BB230"/>
  <c r="BC230"/>
  <c r="BD230"/>
  <c r="BE230"/>
  <c r="BF230"/>
  <c r="BG230"/>
  <c r="BH230"/>
  <c r="BI230"/>
  <c r="BJ230"/>
  <c r="BK230"/>
  <c r="BA230"/>
  <c r="BB231"/>
  <c r="BC231"/>
  <c r="BD231"/>
  <c r="BE231"/>
  <c r="BF231"/>
  <c r="BG231"/>
  <c r="BH231"/>
  <c r="BI231"/>
  <c r="BJ231"/>
  <c r="BK231"/>
  <c r="BA231"/>
  <c r="BB232"/>
  <c r="BC232"/>
  <c r="BD232"/>
  <c r="BE232"/>
  <c r="BF232"/>
  <c r="BG232"/>
  <c r="BH232"/>
  <c r="BI232"/>
  <c r="BJ232"/>
  <c r="BK232"/>
  <c r="BA232"/>
  <c r="BB233"/>
  <c r="BC233"/>
  <c r="BD233"/>
  <c r="BE233"/>
  <c r="BF233"/>
  <c r="BG233"/>
  <c r="BH233"/>
  <c r="BI233"/>
  <c r="BJ233"/>
  <c r="BK233"/>
  <c r="BA233"/>
  <c r="BB234"/>
  <c r="BC234"/>
  <c r="BD234"/>
  <c r="BE234"/>
  <c r="BF234"/>
  <c r="BG234"/>
  <c r="BH234"/>
  <c r="BI234"/>
  <c r="BJ234"/>
  <c r="BK234"/>
  <c r="BA234"/>
  <c r="BB235"/>
  <c r="BC235"/>
  <c r="BD235"/>
  <c r="BE235"/>
  <c r="BF235"/>
  <c r="BG235"/>
  <c r="BH235"/>
  <c r="BI235"/>
  <c r="BJ235"/>
  <c r="BK235"/>
  <c r="BA235"/>
  <c r="BB236"/>
  <c r="BC236"/>
  <c r="BD236"/>
  <c r="BE236"/>
  <c r="BF236"/>
  <c r="BG236"/>
  <c r="BH236"/>
  <c r="BI236"/>
  <c r="BJ236"/>
  <c r="BK236"/>
  <c r="BA236"/>
  <c r="BB237"/>
  <c r="BC237"/>
  <c r="BD237"/>
  <c r="BE237"/>
  <c r="BF237"/>
  <c r="BG237"/>
  <c r="BH237"/>
  <c r="BI237"/>
  <c r="BJ237"/>
  <c r="BK237"/>
  <c r="BA237"/>
  <c r="BB238"/>
  <c r="BC238"/>
  <c r="BD238"/>
  <c r="BE238"/>
  <c r="BF238"/>
  <c r="BG238"/>
  <c r="BH238"/>
  <c r="BI238"/>
  <c r="BJ238"/>
  <c r="BK238"/>
  <c r="BA238"/>
  <c r="BB239"/>
  <c r="BC239"/>
  <c r="BD239"/>
  <c r="BE239"/>
  <c r="BF239"/>
  <c r="BG239"/>
  <c r="BH239"/>
  <c r="BI239"/>
  <c r="BJ239"/>
  <c r="BK239"/>
  <c r="BA239"/>
  <c r="BB240"/>
  <c r="BC240"/>
  <c r="BD240"/>
  <c r="BE240"/>
  <c r="BF240"/>
  <c r="BG240"/>
  <c r="BH240"/>
  <c r="BI240"/>
  <c r="BJ240"/>
  <c r="BK240"/>
  <c r="BA240"/>
  <c r="BB241"/>
  <c r="BC241"/>
  <c r="BD241"/>
  <c r="BE241"/>
  <c r="BF241"/>
  <c r="BG241"/>
  <c r="BH241"/>
  <c r="BI241"/>
  <c r="BJ241"/>
  <c r="BK241"/>
  <c r="BA241"/>
  <c r="BB242"/>
  <c r="BC242"/>
  <c r="BD242"/>
  <c r="BE242"/>
  <c r="BF242"/>
  <c r="BG242"/>
  <c r="BH242"/>
  <c r="BI242"/>
  <c r="BJ242"/>
  <c r="BK242"/>
  <c r="BA242"/>
  <c r="BB243"/>
  <c r="BC243"/>
  <c r="BD243"/>
  <c r="BE243"/>
  <c r="BF243"/>
  <c r="BG243"/>
  <c r="BH243"/>
  <c r="BI243"/>
  <c r="BJ243"/>
  <c r="BK243"/>
  <c r="BA243"/>
  <c r="BB244"/>
  <c r="BC244"/>
  <c r="BD244"/>
  <c r="BE244"/>
  <c r="BF244"/>
  <c r="BG244"/>
  <c r="BH244"/>
  <c r="BI244"/>
  <c r="BJ244"/>
  <c r="BK244"/>
  <c r="BA244"/>
  <c r="BB245"/>
  <c r="BC245"/>
  <c r="BD245"/>
  <c r="BE245"/>
  <c r="BF245"/>
  <c r="BG245"/>
  <c r="BH245"/>
  <c r="BI245"/>
  <c r="BJ245"/>
  <c r="BK245"/>
  <c r="BA245"/>
  <c r="BB246"/>
  <c r="BC246"/>
  <c r="BD246"/>
  <c r="BE246"/>
  <c r="BF246"/>
  <c r="BG246"/>
  <c r="BH246"/>
  <c r="BI246"/>
  <c r="BJ246"/>
  <c r="BK246"/>
  <c r="BA246"/>
  <c r="BB247"/>
  <c r="BC247"/>
  <c r="BD247"/>
  <c r="BE247"/>
  <c r="BF247"/>
  <c r="BG247"/>
  <c r="BH247"/>
  <c r="BI247"/>
  <c r="BJ247"/>
  <c r="BK247"/>
  <c r="BA247"/>
  <c r="BB248"/>
  <c r="BC248"/>
  <c r="BD248"/>
  <c r="BE248"/>
  <c r="BF248"/>
  <c r="BG248"/>
  <c r="BH248"/>
  <c r="BI248"/>
  <c r="BJ248"/>
  <c r="BK248"/>
  <c r="BA248"/>
  <c r="BB249"/>
  <c r="BC249"/>
  <c r="BD249"/>
  <c r="BE249"/>
  <c r="BF249"/>
  <c r="BG249"/>
  <c r="BH249"/>
  <c r="BI249"/>
  <c r="BJ249"/>
  <c r="BK249"/>
  <c r="BA249"/>
  <c r="BB250"/>
  <c r="BC250"/>
  <c r="BD250"/>
  <c r="BE250"/>
  <c r="BF250"/>
  <c r="BG250"/>
  <c r="BH250"/>
  <c r="BI250"/>
  <c r="BJ250"/>
  <c r="BK250"/>
  <c r="BA250"/>
  <c r="BB251"/>
  <c r="BC251"/>
  <c r="BD251"/>
  <c r="BE251"/>
  <c r="BF251"/>
  <c r="BG251"/>
  <c r="BH251"/>
  <c r="BI251"/>
  <c r="BJ251"/>
  <c r="BK251"/>
  <c r="BA251"/>
  <c r="BB252"/>
  <c r="BC252"/>
  <c r="BD252"/>
  <c r="BE252"/>
  <c r="BF252"/>
  <c r="BG252"/>
  <c r="BH252"/>
  <c r="BI252"/>
  <c r="BJ252"/>
  <c r="BK252"/>
  <c r="BA252"/>
  <c r="BB253"/>
  <c r="BC253"/>
  <c r="BD253"/>
  <c r="BE253"/>
  <c r="BF253"/>
  <c r="BG253"/>
  <c r="BH253"/>
  <c r="BI253"/>
  <c r="BJ253"/>
  <c r="BK253"/>
  <c r="BA253"/>
  <c r="BB254"/>
  <c r="BC254"/>
  <c r="BD254"/>
  <c r="BE254"/>
  <c r="BF254"/>
  <c r="BG254"/>
  <c r="BH254"/>
  <c r="BI254"/>
  <c r="BJ254"/>
  <c r="BK254"/>
  <c r="BA254"/>
  <c r="BB255"/>
  <c r="BC255"/>
  <c r="BD255"/>
  <c r="BE255"/>
  <c r="BF255"/>
  <c r="BG255"/>
  <c r="BH255"/>
  <c r="BI255"/>
  <c r="BJ255"/>
  <c r="BK255"/>
  <c r="BA255"/>
  <c r="BB256"/>
  <c r="BC256"/>
  <c r="BD256"/>
  <c r="BE256"/>
  <c r="BF256"/>
  <c r="BG256"/>
  <c r="BH256"/>
  <c r="BI256"/>
  <c r="BJ256"/>
  <c r="BK256"/>
  <c r="BA256"/>
  <c r="BB257"/>
  <c r="BC257"/>
  <c r="BD257"/>
  <c r="BE257"/>
  <c r="BF257"/>
  <c r="BG257"/>
  <c r="BH257"/>
  <c r="BI257"/>
  <c r="BJ257"/>
  <c r="BK257"/>
  <c r="BA257"/>
  <c r="BB258"/>
  <c r="BC258"/>
  <c r="BD258"/>
  <c r="BE258"/>
  <c r="BF258"/>
  <c r="BG258"/>
  <c r="BH258"/>
  <c r="BI258"/>
  <c r="BJ258"/>
  <c r="BK258"/>
  <c r="BA258"/>
  <c r="BB259"/>
  <c r="BC259"/>
  <c r="BD259"/>
  <c r="BE259"/>
  <c r="BF259"/>
  <c r="BG259"/>
  <c r="BH259"/>
  <c r="BI259"/>
  <c r="BJ259"/>
  <c r="BK259"/>
  <c r="BA259"/>
  <c r="BB260"/>
  <c r="BC260"/>
  <c r="BD260"/>
  <c r="BE260"/>
  <c r="BF260"/>
  <c r="BG260"/>
  <c r="BH260"/>
  <c r="BI260"/>
  <c r="BJ260"/>
  <c r="BK260"/>
  <c r="BA260"/>
  <c r="BB261"/>
  <c r="BC261"/>
  <c r="BD261"/>
  <c r="BE261"/>
  <c r="BF261"/>
  <c r="BG261"/>
  <c r="BH261"/>
  <c r="BI261"/>
  <c r="BJ261"/>
  <c r="BK261"/>
  <c r="BA261"/>
  <c r="BB262"/>
  <c r="BC262"/>
  <c r="BD262"/>
  <c r="BE262"/>
  <c r="BF262"/>
  <c r="BG262"/>
  <c r="BH262"/>
  <c r="BI262"/>
  <c r="BJ262"/>
  <c r="BK262"/>
  <c r="BA262"/>
  <c r="BB263"/>
  <c r="BC263"/>
  <c r="BD263"/>
  <c r="BE263"/>
  <c r="BF263"/>
  <c r="BG263"/>
  <c r="BH263"/>
  <c r="BI263"/>
  <c r="BJ263"/>
  <c r="BK263"/>
  <c r="BA263"/>
  <c r="BB264"/>
  <c r="BC264"/>
  <c r="BD264"/>
  <c r="BE264"/>
  <c r="BF264"/>
  <c r="BG264"/>
  <c r="BH264"/>
  <c r="BI264"/>
  <c r="BJ264"/>
  <c r="BK264"/>
  <c r="BA264"/>
  <c r="BB265"/>
  <c r="BC265"/>
  <c r="BD265"/>
  <c r="BE265"/>
  <c r="BF265"/>
  <c r="BG265"/>
  <c r="BH265"/>
  <c r="BI265"/>
  <c r="BJ265"/>
  <c r="BK265"/>
  <c r="BA265"/>
  <c r="BB266"/>
  <c r="BC266"/>
  <c r="BD266"/>
  <c r="BE266"/>
  <c r="BF266"/>
  <c r="BG266"/>
  <c r="BH266"/>
  <c r="BI266"/>
  <c r="BJ266"/>
  <c r="BK266"/>
  <c r="BA266"/>
  <c r="BB267"/>
  <c r="BC267"/>
  <c r="BD267"/>
  <c r="BE267"/>
  <c r="BF267"/>
  <c r="BG267"/>
  <c r="BH267"/>
  <c r="BI267"/>
  <c r="BJ267"/>
  <c r="BK267"/>
  <c r="BA267"/>
  <c r="BB268"/>
  <c r="BC268"/>
  <c r="BD268"/>
  <c r="BE268"/>
  <c r="BF268"/>
  <c r="BG268"/>
  <c r="BH268"/>
  <c r="BI268"/>
  <c r="BJ268"/>
  <c r="BK268"/>
  <c r="BA268"/>
  <c r="BB269"/>
  <c r="BC269"/>
  <c r="BD269"/>
  <c r="BE269"/>
  <c r="BF269"/>
  <c r="BG269"/>
  <c r="BH269"/>
  <c r="BI269"/>
  <c r="BJ269"/>
  <c r="BK269"/>
  <c r="BA269"/>
  <c r="BB270"/>
  <c r="BC270"/>
  <c r="BD270"/>
  <c r="BE270"/>
  <c r="BF270"/>
  <c r="BG270"/>
  <c r="BH270"/>
  <c r="BI270"/>
  <c r="BJ270"/>
  <c r="BK270"/>
  <c r="BA270"/>
  <c r="BB271"/>
  <c r="BC271"/>
  <c r="BD271"/>
  <c r="BE271"/>
  <c r="BF271"/>
  <c r="BG271"/>
  <c r="BH271"/>
  <c r="BI271"/>
  <c r="BJ271"/>
  <c r="BK271"/>
  <c r="BA271"/>
  <c r="BB272"/>
  <c r="BC272"/>
  <c r="BD272"/>
  <c r="BE272"/>
  <c r="BF272"/>
  <c r="BG272"/>
  <c r="BH272"/>
  <c r="BI272"/>
  <c r="BJ272"/>
  <c r="BK272"/>
  <c r="BA272"/>
  <c r="BB273"/>
  <c r="BC273"/>
  <c r="BD273"/>
  <c r="BE273"/>
  <c r="BF273"/>
  <c r="BG273"/>
  <c r="BH273"/>
  <c r="BI273"/>
  <c r="BJ273"/>
  <c r="BK273"/>
  <c r="BA273"/>
  <c r="BB274"/>
  <c r="BC274"/>
  <c r="BD274"/>
  <c r="BE274"/>
  <c r="BF274"/>
  <c r="BG274"/>
  <c r="BH274"/>
  <c r="BI274"/>
  <c r="BJ274"/>
  <c r="BK274"/>
  <c r="BA274"/>
  <c r="BB275"/>
  <c r="BC275"/>
  <c r="BD275"/>
  <c r="BE275"/>
  <c r="BF275"/>
  <c r="BG275"/>
  <c r="BH275"/>
  <c r="BI275"/>
  <c r="BJ275"/>
  <c r="BK275"/>
  <c r="BA275"/>
  <c r="BB276"/>
  <c r="BC276"/>
  <c r="BD276"/>
  <c r="BE276"/>
  <c r="BF276"/>
  <c r="BG276"/>
  <c r="BH276"/>
  <c r="BI276"/>
  <c r="BJ276"/>
  <c r="BK276"/>
  <c r="BA276"/>
  <c r="BB277"/>
  <c r="BC277"/>
  <c r="BD277"/>
  <c r="BE277"/>
  <c r="BF277"/>
  <c r="BG277"/>
  <c r="BH277"/>
  <c r="BI277"/>
  <c r="BJ277"/>
  <c r="BK277"/>
  <c r="BA277"/>
  <c r="BB278"/>
  <c r="BC278"/>
  <c r="BD278"/>
  <c r="BE278"/>
  <c r="BF278"/>
  <c r="BG278"/>
  <c r="BH278"/>
  <c r="BI278"/>
  <c r="BJ278"/>
  <c r="BK278"/>
  <c r="BA278"/>
  <c r="BB279"/>
  <c r="BC279"/>
  <c r="BD279"/>
  <c r="BE279"/>
  <c r="BF279"/>
  <c r="BG279"/>
  <c r="BH279"/>
  <c r="BI279"/>
  <c r="BJ279"/>
  <c r="BK279"/>
  <c r="BA279"/>
  <c r="BB280"/>
  <c r="BC280"/>
  <c r="BD280"/>
  <c r="BE280"/>
  <c r="BF280"/>
  <c r="BG280"/>
  <c r="BH280"/>
  <c r="BI280"/>
  <c r="BJ280"/>
  <c r="BK280"/>
  <c r="BA280"/>
  <c r="BB281"/>
  <c r="BC281"/>
  <c r="BD281"/>
  <c r="BE281"/>
  <c r="BF281"/>
  <c r="BG281"/>
  <c r="BH281"/>
  <c r="BI281"/>
  <c r="BJ281"/>
  <c r="BK281"/>
  <c r="BA281"/>
  <c r="BB282"/>
  <c r="BC282"/>
  <c r="BD282"/>
  <c r="BE282"/>
  <c r="BF282"/>
  <c r="BG282"/>
  <c r="BH282"/>
  <c r="BI282"/>
  <c r="BJ282"/>
  <c r="BK282"/>
  <c r="BA282"/>
  <c r="BB283"/>
  <c r="BC283"/>
  <c r="BD283"/>
  <c r="BE283"/>
  <c r="BF283"/>
  <c r="BG283"/>
  <c r="BH283"/>
  <c r="BI283"/>
  <c r="BJ283"/>
  <c r="BK283"/>
  <c r="BA283"/>
  <c r="BB284"/>
  <c r="BC284"/>
  <c r="BD284"/>
  <c r="BE284"/>
  <c r="BF284"/>
  <c r="BG284"/>
  <c r="BH284"/>
  <c r="BI284"/>
  <c r="BJ284"/>
  <c r="BK284"/>
  <c r="BA284"/>
  <c r="BB285"/>
  <c r="BC285"/>
  <c r="BD285"/>
  <c r="BE285"/>
  <c r="BF285"/>
  <c r="BG285"/>
  <c r="BH285"/>
  <c r="BI285"/>
  <c r="BJ285"/>
  <c r="BK285"/>
  <c r="BA285"/>
  <c r="BB286"/>
  <c r="BC286"/>
  <c r="BD286"/>
  <c r="BE286"/>
  <c r="BF286"/>
  <c r="BG286"/>
  <c r="BH286"/>
  <c r="BI286"/>
  <c r="BJ286"/>
  <c r="BK286"/>
  <c r="BA286"/>
  <c r="BB287"/>
  <c r="BC287"/>
  <c r="BD287"/>
  <c r="BE287"/>
  <c r="BF287"/>
  <c r="BG287"/>
  <c r="BH287"/>
  <c r="BI287"/>
  <c r="BJ287"/>
  <c r="BK287"/>
  <c r="BA287"/>
  <c r="BB288"/>
  <c r="BC288"/>
  <c r="BD288"/>
  <c r="BE288"/>
  <c r="BF288"/>
  <c r="BG288"/>
  <c r="BH288"/>
  <c r="BI288"/>
  <c r="BJ288"/>
  <c r="BK288"/>
  <c r="BA288"/>
  <c r="BB289"/>
  <c r="BC289"/>
  <c r="BD289"/>
  <c r="BE289"/>
  <c r="BF289"/>
  <c r="BG289"/>
  <c r="BH289"/>
  <c r="BI289"/>
  <c r="BJ289"/>
  <c r="BK289"/>
  <c r="BA289"/>
  <c r="BB290"/>
  <c r="BC290"/>
  <c r="BD290"/>
  <c r="BE290"/>
  <c r="BF290"/>
  <c r="BG290"/>
  <c r="BH290"/>
  <c r="BI290"/>
  <c r="BJ290"/>
  <c r="BK290"/>
  <c r="BA290"/>
  <c r="BB291"/>
  <c r="BC291"/>
  <c r="BD291"/>
  <c r="BE291"/>
  <c r="BF291"/>
  <c r="BG291"/>
  <c r="BH291"/>
  <c r="BI291"/>
  <c r="BJ291"/>
  <c r="BK291"/>
  <c r="BA291"/>
  <c r="BB292"/>
  <c r="BC292"/>
  <c r="BD292"/>
  <c r="BE292"/>
  <c r="BF292"/>
  <c r="BG292"/>
  <c r="BH292"/>
  <c r="BI292"/>
  <c r="BJ292"/>
  <c r="BK292"/>
  <c r="BA292"/>
  <c r="BB293"/>
  <c r="BC293"/>
  <c r="BD293"/>
  <c r="BE293"/>
  <c r="BF293"/>
  <c r="BG293"/>
  <c r="BH293"/>
  <c r="BI293"/>
  <c r="BJ293"/>
  <c r="BK293"/>
  <c r="BA293"/>
  <c r="BB294"/>
  <c r="BC294"/>
  <c r="BD294"/>
  <c r="BE294"/>
  <c r="BF294"/>
  <c r="BG294"/>
  <c r="BH294"/>
  <c r="BI294"/>
  <c r="BJ294"/>
  <c r="BK294"/>
  <c r="BA294"/>
  <c r="BB295"/>
  <c r="BC295"/>
  <c r="BD295"/>
  <c r="BE295"/>
  <c r="BF295"/>
  <c r="BG295"/>
  <c r="BH295"/>
  <c r="BI295"/>
  <c r="BJ295"/>
  <c r="BK295"/>
  <c r="BA295"/>
  <c r="BB296"/>
  <c r="BC296"/>
  <c r="BD296"/>
  <c r="BE296"/>
  <c r="BF296"/>
  <c r="BG296"/>
  <c r="BH296"/>
  <c r="BI296"/>
  <c r="BJ296"/>
  <c r="BK296"/>
  <c r="BA296"/>
  <c r="BB297"/>
  <c r="BC297"/>
  <c r="BD297"/>
  <c r="BE297"/>
  <c r="BF297"/>
  <c r="BG297"/>
  <c r="BH297"/>
  <c r="BI297"/>
  <c r="BJ297"/>
  <c r="BK297"/>
  <c r="BA297"/>
  <c r="BB298"/>
  <c r="BC298"/>
  <c r="BD298"/>
  <c r="BE298"/>
  <c r="BF298"/>
  <c r="BG298"/>
  <c r="BH298"/>
  <c r="BI298"/>
  <c r="BJ298"/>
  <c r="BK298"/>
  <c r="BA298"/>
  <c r="BB299"/>
  <c r="BC299"/>
  <c r="BD299"/>
  <c r="BE299"/>
  <c r="BF299"/>
  <c r="BG299"/>
  <c r="BH299"/>
  <c r="BI299"/>
  <c r="BJ299"/>
  <c r="BK299"/>
  <c r="BA299"/>
  <c r="BB300"/>
  <c r="BC300"/>
  <c r="BD300"/>
  <c r="BE300"/>
  <c r="BF300"/>
  <c r="BG300"/>
  <c r="BH300"/>
  <c r="BI300"/>
  <c r="BJ300"/>
  <c r="BK300"/>
  <c r="BA300"/>
  <c r="BB301"/>
  <c r="BC301"/>
  <c r="BD301"/>
  <c r="BE301"/>
  <c r="BF301"/>
  <c r="BG301"/>
  <c r="BH301"/>
  <c r="BI301"/>
  <c r="BJ301"/>
  <c r="BK301"/>
  <c r="BA301"/>
  <c r="BB302"/>
  <c r="BC302"/>
  <c r="BD302"/>
  <c r="BE302"/>
  <c r="BF302"/>
  <c r="BG302"/>
  <c r="BH302"/>
  <c r="BI302"/>
  <c r="BJ302"/>
  <c r="BK302"/>
  <c r="BA302"/>
  <c r="BB303"/>
  <c r="BC303"/>
  <c r="BD303"/>
  <c r="BE303"/>
  <c r="BF303"/>
  <c r="BG303"/>
  <c r="BH303"/>
  <c r="BI303"/>
  <c r="BJ303"/>
  <c r="BK303"/>
  <c r="BA303"/>
  <c r="BB304"/>
  <c r="BC304"/>
  <c r="BD304"/>
  <c r="BE304"/>
  <c r="BF304"/>
  <c r="BG304"/>
  <c r="BH304"/>
  <c r="BI304"/>
  <c r="BJ304"/>
  <c r="BK304"/>
  <c r="BA304"/>
  <c r="BB305"/>
  <c r="BC305"/>
  <c r="BD305"/>
  <c r="BE305"/>
  <c r="BF305"/>
  <c r="BG305"/>
  <c r="BH305"/>
  <c r="BI305"/>
  <c r="BJ305"/>
  <c r="BK305"/>
  <c r="BA305"/>
  <c r="BB306"/>
  <c r="BC306"/>
  <c r="BD306"/>
  <c r="BE306"/>
  <c r="BF306"/>
  <c r="BG306"/>
  <c r="BH306"/>
  <c r="BI306"/>
  <c r="BJ306"/>
  <c r="BK306"/>
  <c r="BA306"/>
  <c r="BB307"/>
  <c r="BC307"/>
  <c r="BD307"/>
  <c r="BE307"/>
  <c r="BF307"/>
  <c r="BG307"/>
  <c r="BH307"/>
  <c r="BI307"/>
  <c r="BJ307"/>
  <c r="BK307"/>
  <c r="BA307"/>
  <c r="BB308"/>
  <c r="BC308"/>
  <c r="BD308"/>
  <c r="BE308"/>
  <c r="BF308"/>
  <c r="BG308"/>
  <c r="BH308"/>
  <c r="BI308"/>
  <c r="BJ308"/>
  <c r="BK308"/>
  <c r="BA308"/>
  <c r="BB309"/>
  <c r="BC309"/>
  <c r="BD309"/>
  <c r="BE309"/>
  <c r="BF309"/>
  <c r="BG309"/>
  <c r="BH309"/>
  <c r="BI309"/>
  <c r="BJ309"/>
  <c r="BK309"/>
  <c r="BA309"/>
  <c r="BB310"/>
  <c r="BC310"/>
  <c r="BD310"/>
  <c r="BE310"/>
  <c r="BF310"/>
  <c r="BG310"/>
  <c r="BH310"/>
  <c r="BI310"/>
  <c r="BJ310"/>
  <c r="BK310"/>
  <c r="BA310"/>
  <c r="BB311"/>
  <c r="BC311"/>
  <c r="BD311"/>
  <c r="BE311"/>
  <c r="BF311"/>
  <c r="BG311"/>
  <c r="BH311"/>
  <c r="BI311"/>
  <c r="BJ311"/>
  <c r="BK311"/>
  <c r="BA311"/>
  <c r="BB312"/>
  <c r="BC312"/>
  <c r="BD312"/>
  <c r="BE312"/>
  <c r="BF312"/>
  <c r="BG312"/>
  <c r="BH312"/>
  <c r="BI312"/>
  <c r="BJ312"/>
  <c r="BK312"/>
  <c r="BA312"/>
  <c r="BB313"/>
  <c r="BC313"/>
  <c r="BD313"/>
  <c r="BE313"/>
  <c r="BF313"/>
  <c r="BG313"/>
  <c r="BH313"/>
  <c r="BI313"/>
  <c r="BJ313"/>
  <c r="BK313"/>
  <c r="BA313"/>
  <c r="BB314"/>
  <c r="BC314"/>
  <c r="BD314"/>
  <c r="BE314"/>
  <c r="BF314"/>
  <c r="BG314"/>
  <c r="BH314"/>
  <c r="BI314"/>
  <c r="BJ314"/>
  <c r="BK314"/>
  <c r="BA314"/>
  <c r="BB315"/>
  <c r="BC315"/>
  <c r="BD315"/>
  <c r="BE315"/>
  <c r="BF315"/>
  <c r="BG315"/>
  <c r="BH315"/>
  <c r="BI315"/>
  <c r="BJ315"/>
  <c r="BK315"/>
  <c r="BA315"/>
  <c r="BB316"/>
  <c r="BC316"/>
  <c r="BD316"/>
  <c r="BE316"/>
  <c r="BF316"/>
  <c r="BG316"/>
  <c r="BH316"/>
  <c r="BI316"/>
  <c r="BJ316"/>
  <c r="BK316"/>
  <c r="BA316"/>
  <c r="BB317"/>
  <c r="BC317"/>
  <c r="BD317"/>
  <c r="BE317"/>
  <c r="BF317"/>
  <c r="BG317"/>
  <c r="BH317"/>
  <c r="BI317"/>
  <c r="BJ317"/>
  <c r="BK317"/>
  <c r="BA317"/>
  <c r="BB318"/>
  <c r="BC318"/>
  <c r="BD318"/>
  <c r="BE318"/>
  <c r="BF318"/>
  <c r="BG318"/>
  <c r="BH318"/>
  <c r="BI318"/>
  <c r="BJ318"/>
  <c r="BK318"/>
  <c r="BA318"/>
  <c r="BB319"/>
  <c r="BC319"/>
  <c r="BD319"/>
  <c r="BE319"/>
  <c r="BF319"/>
  <c r="BG319"/>
  <c r="BH319"/>
  <c r="BI319"/>
  <c r="BJ319"/>
  <c r="BK319"/>
  <c r="BA319"/>
  <c r="BB320"/>
  <c r="BC320"/>
  <c r="BD320"/>
  <c r="BE320"/>
  <c r="BF320"/>
  <c r="BG320"/>
  <c r="BH320"/>
  <c r="BI320"/>
  <c r="BJ320"/>
  <c r="BK320"/>
  <c r="BA320"/>
  <c r="BB321"/>
  <c r="BC321"/>
  <c r="BD321"/>
  <c r="BE321"/>
  <c r="BF321"/>
  <c r="BG321"/>
  <c r="BH321"/>
  <c r="BI321"/>
  <c r="BJ321"/>
  <c r="BK321"/>
  <c r="BA321"/>
  <c r="BB322"/>
  <c r="BC322"/>
  <c r="BD322"/>
  <c r="BE322"/>
  <c r="BF322"/>
  <c r="BG322"/>
  <c r="BH322"/>
  <c r="BI322"/>
  <c r="BJ322"/>
  <c r="BK322"/>
  <c r="BA322"/>
  <c r="BB323"/>
  <c r="BC323"/>
  <c r="BD323"/>
  <c r="BE323"/>
  <c r="BF323"/>
  <c r="BG323"/>
  <c r="BH323"/>
  <c r="BI323"/>
  <c r="BJ323"/>
  <c r="BK323"/>
  <c r="BA323"/>
  <c r="BB324"/>
  <c r="BC324"/>
  <c r="BD324"/>
  <c r="BE324"/>
  <c r="BF324"/>
  <c r="BG324"/>
  <c r="BH324"/>
  <c r="BI324"/>
  <c r="BJ324"/>
  <c r="BK324"/>
  <c r="BA324"/>
  <c r="BB325"/>
  <c r="BC325"/>
  <c r="BD325"/>
  <c r="BE325"/>
  <c r="BF325"/>
  <c r="BG325"/>
  <c r="BH325"/>
  <c r="BI325"/>
  <c r="BJ325"/>
  <c r="BK325"/>
  <c r="BA325"/>
  <c r="BB326"/>
  <c r="BC326"/>
  <c r="BD326"/>
  <c r="BE326"/>
  <c r="BF326"/>
  <c r="BG326"/>
  <c r="BH326"/>
  <c r="BI326"/>
  <c r="BJ326"/>
  <c r="BK326"/>
  <c r="BA326"/>
  <c r="BB327"/>
  <c r="BC327"/>
  <c r="BD327"/>
  <c r="BE327"/>
  <c r="BF327"/>
  <c r="BG327"/>
  <c r="BH327"/>
  <c r="BI327"/>
  <c r="BJ327"/>
  <c r="BK327"/>
  <c r="BA327"/>
  <c r="BB328"/>
  <c r="BC328"/>
  <c r="BD328"/>
  <c r="BE328"/>
  <c r="BF328"/>
  <c r="BG328"/>
  <c r="BH328"/>
  <c r="BI328"/>
  <c r="BJ328"/>
  <c r="BK328"/>
  <c r="BA328"/>
  <c r="BB329"/>
  <c r="BC329"/>
  <c r="BD329"/>
  <c r="BE329"/>
  <c r="BF329"/>
  <c r="BG329"/>
  <c r="BH329"/>
  <c r="BI329"/>
  <c r="BJ329"/>
  <c r="BK329"/>
  <c r="BA329"/>
  <c r="BB330"/>
  <c r="BC330"/>
  <c r="BD330"/>
  <c r="BE330"/>
  <c r="BF330"/>
  <c r="BG330"/>
  <c r="BH330"/>
  <c r="BI330"/>
  <c r="BJ330"/>
  <c r="BK330"/>
  <c r="BA330"/>
  <c r="BB331"/>
  <c r="BC331"/>
  <c r="BD331"/>
  <c r="BE331"/>
  <c r="BF331"/>
  <c r="BG331"/>
  <c r="BH331"/>
  <c r="BI331"/>
  <c r="BJ331"/>
  <c r="BK331"/>
  <c r="BA331"/>
  <c r="BB332"/>
  <c r="BC332"/>
  <c r="BD332"/>
  <c r="BE332"/>
  <c r="BF332"/>
  <c r="BG332"/>
  <c r="BH332"/>
  <c r="BI332"/>
  <c r="BJ332"/>
  <c r="BK332"/>
  <c r="BA332"/>
  <c r="BB333"/>
  <c r="BC333"/>
  <c r="BD333"/>
  <c r="BE333"/>
  <c r="BF333"/>
  <c r="BG333"/>
  <c r="BH333"/>
  <c r="BI333"/>
  <c r="BJ333"/>
  <c r="BK333"/>
  <c r="BA333"/>
  <c r="BB334"/>
  <c r="BC334"/>
  <c r="BD334"/>
  <c r="BE334"/>
  <c r="BF334"/>
  <c r="BG334"/>
  <c r="BH334"/>
  <c r="BI334"/>
  <c r="BJ334"/>
  <c r="BK334"/>
  <c r="BA334"/>
  <c r="BB335"/>
  <c r="BC335"/>
  <c r="BD335"/>
  <c r="BE335"/>
  <c r="BF335"/>
  <c r="BG335"/>
  <c r="BH335"/>
  <c r="BI335"/>
  <c r="BJ335"/>
  <c r="BK335"/>
  <c r="BA335"/>
  <c r="BB336"/>
  <c r="BC336"/>
  <c r="BD336"/>
  <c r="BE336"/>
  <c r="BF336"/>
  <c r="BG336"/>
  <c r="BH336"/>
  <c r="BI336"/>
  <c r="BJ336"/>
  <c r="BK336"/>
  <c r="BA336"/>
  <c r="BB337"/>
  <c r="BC337"/>
  <c r="BD337"/>
  <c r="BE337"/>
  <c r="BF337"/>
  <c r="BG337"/>
  <c r="BH337"/>
  <c r="BI337"/>
  <c r="BJ337"/>
  <c r="BK337"/>
  <c r="BA337"/>
  <c r="BB338"/>
  <c r="BC338"/>
  <c r="BD338"/>
  <c r="BE338"/>
  <c r="BF338"/>
  <c r="BG338"/>
  <c r="BH338"/>
  <c r="BI338"/>
  <c r="BJ338"/>
  <c r="BK338"/>
  <c r="BA338"/>
  <c r="BB339"/>
  <c r="BC339"/>
  <c r="BD339"/>
  <c r="BE339"/>
  <c r="BF339"/>
  <c r="BG339"/>
  <c r="BH339"/>
  <c r="BI339"/>
  <c r="BJ339"/>
  <c r="BK339"/>
  <c r="BA339"/>
  <c r="BB340"/>
  <c r="BC340"/>
  <c r="BD340"/>
  <c r="BE340"/>
  <c r="BF340"/>
  <c r="BG340"/>
  <c r="BH340"/>
  <c r="BI340"/>
  <c r="BJ340"/>
  <c r="BK340"/>
  <c r="BA340"/>
  <c r="BB341"/>
  <c r="BC341"/>
  <c r="BD341"/>
  <c r="BE341"/>
  <c r="BF341"/>
  <c r="BG341"/>
  <c r="BH341"/>
  <c r="BI341"/>
  <c r="BJ341"/>
  <c r="BK341"/>
  <c r="BA341"/>
  <c r="BB342"/>
  <c r="BC342"/>
  <c r="BD342"/>
  <c r="BE342"/>
  <c r="BF342"/>
  <c r="BG342"/>
  <c r="BH342"/>
  <c r="BI342"/>
  <c r="BJ342"/>
  <c r="BK342"/>
  <c r="BA342"/>
  <c r="BB343"/>
  <c r="BC343"/>
  <c r="BD343"/>
  <c r="BE343"/>
  <c r="BF343"/>
  <c r="BG343"/>
  <c r="BH343"/>
  <c r="BI343"/>
  <c r="BJ343"/>
  <c r="BK343"/>
  <c r="BA343"/>
  <c r="BB344"/>
  <c r="BC344"/>
  <c r="BD344"/>
  <c r="BE344"/>
  <c r="BF344"/>
  <c r="BG344"/>
  <c r="BH344"/>
  <c r="BI344"/>
  <c r="BJ344"/>
  <c r="BK344"/>
  <c r="BA344"/>
  <c r="BB345"/>
  <c r="BC345"/>
  <c r="BD345"/>
  <c r="BE345"/>
  <c r="BF345"/>
  <c r="BG345"/>
  <c r="BH345"/>
  <c r="BI345"/>
  <c r="BJ345"/>
  <c r="BK345"/>
  <c r="BA345"/>
  <c r="BB346"/>
  <c r="BC346"/>
  <c r="BD346"/>
  <c r="BE346"/>
  <c r="BF346"/>
  <c r="BG346"/>
  <c r="BH346"/>
  <c r="BI346"/>
  <c r="BJ346"/>
  <c r="BK346"/>
  <c r="BA346"/>
  <c r="BB347"/>
  <c r="BC347"/>
  <c r="BD347"/>
  <c r="BE347"/>
  <c r="BF347"/>
  <c r="BG347"/>
  <c r="BH347"/>
  <c r="BI347"/>
  <c r="BJ347"/>
  <c r="BK347"/>
  <c r="BA347"/>
  <c r="BB348"/>
  <c r="BC348"/>
  <c r="BD348"/>
  <c r="BE348"/>
  <c r="BF348"/>
  <c r="BG348"/>
  <c r="BH348"/>
  <c r="BI348"/>
  <c r="BJ348"/>
  <c r="BK348"/>
  <c r="BA348"/>
  <c r="BB349"/>
  <c r="BC349"/>
  <c r="BD349"/>
  <c r="BE349"/>
  <c r="BF349"/>
  <c r="BG349"/>
  <c r="BH349"/>
  <c r="BI349"/>
  <c r="BJ349"/>
  <c r="BK349"/>
  <c r="BA349"/>
  <c r="BB350"/>
  <c r="BC350"/>
  <c r="BD350"/>
  <c r="BE350"/>
  <c r="BF350"/>
  <c r="BG350"/>
  <c r="BH350"/>
  <c r="BI350"/>
  <c r="BJ350"/>
  <c r="BK350"/>
  <c r="BA350"/>
  <c r="BB351"/>
  <c r="BC351"/>
  <c r="BD351"/>
  <c r="BE351"/>
  <c r="BF351"/>
  <c r="BG351"/>
  <c r="BH351"/>
  <c r="BI351"/>
  <c r="BJ351"/>
  <c r="BK351"/>
  <c r="BA351"/>
  <c r="BB352"/>
  <c r="BC352"/>
  <c r="BD352"/>
  <c r="BE352"/>
  <c r="BF352"/>
  <c r="BG352"/>
  <c r="BH352"/>
  <c r="BI352"/>
  <c r="BJ352"/>
  <c r="BK352"/>
  <c r="BA352"/>
  <c r="BB353"/>
  <c r="BC353"/>
  <c r="BD353"/>
  <c r="BE353"/>
  <c r="BF353"/>
  <c r="BG353"/>
  <c r="BH353"/>
  <c r="BI353"/>
  <c r="BJ353"/>
  <c r="BK353"/>
  <c r="BA353"/>
  <c r="BB354"/>
  <c r="BC354"/>
  <c r="BD354"/>
  <c r="BE354"/>
  <c r="BF354"/>
  <c r="BG354"/>
  <c r="BH354"/>
  <c r="BI354"/>
  <c r="BJ354"/>
  <c r="BK354"/>
  <c r="BA354"/>
  <c r="BB355"/>
  <c r="BC355"/>
  <c r="BD355"/>
  <c r="BE355"/>
  <c r="BF355"/>
  <c r="BG355"/>
  <c r="BH355"/>
  <c r="BI355"/>
  <c r="BJ355"/>
  <c r="BK355"/>
  <c r="BA355"/>
  <c r="BB356"/>
  <c r="BC356"/>
  <c r="BD356"/>
  <c r="BE356"/>
  <c r="BF356"/>
  <c r="BG356"/>
  <c r="BH356"/>
  <c r="BI356"/>
  <c r="BJ356"/>
  <c r="BK356"/>
  <c r="BA356"/>
  <c r="BB357"/>
  <c r="BC357"/>
  <c r="BD357"/>
  <c r="BE357"/>
  <c r="BF357"/>
  <c r="BG357"/>
  <c r="BH357"/>
  <c r="BI357"/>
  <c r="BJ357"/>
  <c r="BK357"/>
  <c r="BA357"/>
  <c r="BB358"/>
  <c r="BC358"/>
  <c r="BD358"/>
  <c r="BE358"/>
  <c r="BF358"/>
  <c r="BG358"/>
  <c r="BH358"/>
  <c r="BI358"/>
  <c r="BJ358"/>
  <c r="BK358"/>
  <c r="BA358"/>
  <c r="BB359"/>
  <c r="BC359"/>
  <c r="BD359"/>
  <c r="BE359"/>
  <c r="BF359"/>
  <c r="BG359"/>
  <c r="BH359"/>
  <c r="BI359"/>
  <c r="BJ359"/>
  <c r="BK359"/>
  <c r="BA359"/>
  <c r="BB360"/>
  <c r="BC360"/>
  <c r="BD360"/>
  <c r="BE360"/>
  <c r="BF360"/>
  <c r="BG360"/>
  <c r="BH360"/>
  <c r="BI360"/>
  <c r="BJ360"/>
  <c r="BK360"/>
  <c r="BA360"/>
  <c r="BB361"/>
  <c r="BC361"/>
  <c r="BD361"/>
  <c r="BE361"/>
  <c r="BF361"/>
  <c r="BG361"/>
  <c r="BH361"/>
  <c r="BI361"/>
  <c r="BJ361"/>
  <c r="BK361"/>
  <c r="BA361"/>
  <c r="BB362"/>
  <c r="BC362"/>
  <c r="BD362"/>
  <c r="BE362"/>
  <c r="BF362"/>
  <c r="BG362"/>
  <c r="BH362"/>
  <c r="BI362"/>
  <c r="BJ362"/>
  <c r="BK362"/>
  <c r="BA362"/>
  <c r="BB363"/>
  <c r="BC363"/>
  <c r="BD363"/>
  <c r="BE363"/>
  <c r="BF363"/>
  <c r="BG363"/>
  <c r="BH363"/>
  <c r="BI363"/>
  <c r="BJ363"/>
  <c r="BK363"/>
  <c r="BA363"/>
  <c r="BB364"/>
  <c r="BC364"/>
  <c r="BD364"/>
  <c r="BE364"/>
  <c r="BF364"/>
  <c r="BG364"/>
  <c r="BH364"/>
  <c r="BI364"/>
  <c r="BJ364"/>
  <c r="BK364"/>
  <c r="BA364"/>
  <c r="BB365"/>
  <c r="BC365"/>
  <c r="BD365"/>
  <c r="BE365"/>
  <c r="BF365"/>
  <c r="BG365"/>
  <c r="BH365"/>
  <c r="BI365"/>
  <c r="BJ365"/>
  <c r="BK365"/>
  <c r="BA365"/>
  <c r="BB366"/>
  <c r="BC366"/>
  <c r="BD366"/>
  <c r="BE366"/>
  <c r="BF366"/>
  <c r="BG366"/>
  <c r="BH366"/>
  <c r="BI366"/>
  <c r="BJ366"/>
  <c r="BK366"/>
  <c r="BA366"/>
  <c r="BB367"/>
  <c r="BC367"/>
  <c r="BD367"/>
  <c r="BE367"/>
  <c r="BF367"/>
  <c r="BG367"/>
  <c r="BH367"/>
  <c r="BI367"/>
  <c r="BJ367"/>
  <c r="BK367"/>
  <c r="BA367"/>
  <c r="BB368"/>
  <c r="BC368"/>
  <c r="BD368"/>
  <c r="BE368"/>
  <c r="BF368"/>
  <c r="BG368"/>
  <c r="BH368"/>
  <c r="BI368"/>
  <c r="BJ368"/>
  <c r="BK368"/>
  <c r="BA368"/>
  <c r="BB369"/>
  <c r="BC369"/>
  <c r="BD369"/>
  <c r="BE369"/>
  <c r="BF369"/>
  <c r="BG369"/>
  <c r="BH369"/>
  <c r="BI369"/>
  <c r="BJ369"/>
  <c r="BK369"/>
  <c r="BA369"/>
  <c r="BB370"/>
  <c r="BC370"/>
  <c r="BD370"/>
  <c r="BE370"/>
  <c r="BF370"/>
  <c r="BG370"/>
  <c r="BH370"/>
  <c r="BI370"/>
  <c r="BJ370"/>
  <c r="BK370"/>
  <c r="BA370"/>
  <c r="BB371"/>
  <c r="BC371"/>
  <c r="BD371"/>
  <c r="BE371"/>
  <c r="BF371"/>
  <c r="BG371"/>
  <c r="BH371"/>
  <c r="BI371"/>
  <c r="BJ371"/>
  <c r="BK371"/>
  <c r="BA371"/>
  <c r="BB372"/>
  <c r="BC372"/>
  <c r="BD372"/>
  <c r="BE372"/>
  <c r="BF372"/>
  <c r="BG372"/>
  <c r="BH372"/>
  <c r="BI372"/>
  <c r="BJ372"/>
  <c r="BK372"/>
  <c r="BA372"/>
  <c r="BB373"/>
  <c r="BC373"/>
  <c r="BD373"/>
  <c r="BE373"/>
  <c r="BF373"/>
  <c r="BG373"/>
  <c r="BH373"/>
  <c r="BI373"/>
  <c r="BJ373"/>
  <c r="BK373"/>
  <c r="BA373"/>
  <c r="BB374"/>
  <c r="BC374"/>
  <c r="BD374"/>
  <c r="BE374"/>
  <c r="BF374"/>
  <c r="BG374"/>
  <c r="BH374"/>
  <c r="BI374"/>
  <c r="BJ374"/>
  <c r="BK374"/>
  <c r="BA374"/>
  <c r="BB375"/>
  <c r="BC375"/>
  <c r="BD375"/>
  <c r="BE375"/>
  <c r="BF375"/>
  <c r="BG375"/>
  <c r="BH375"/>
  <c r="BI375"/>
  <c r="BJ375"/>
  <c r="BK375"/>
  <c r="BA375"/>
  <c r="BB376"/>
  <c r="BC376"/>
  <c r="BD376"/>
  <c r="BE376"/>
  <c r="BF376"/>
  <c r="BG376"/>
  <c r="BH376"/>
  <c r="BI376"/>
  <c r="BJ376"/>
  <c r="BK376"/>
  <c r="BA376"/>
  <c r="BB377"/>
  <c r="BC377"/>
  <c r="BD377"/>
  <c r="BE377"/>
  <c r="BF377"/>
  <c r="BG377"/>
  <c r="BH377"/>
  <c r="BI377"/>
  <c r="BJ377"/>
  <c r="BK377"/>
  <c r="BA377"/>
  <c r="BB378"/>
  <c r="BC378"/>
  <c r="BD378"/>
  <c r="BE378"/>
  <c r="BF378"/>
  <c r="BG378"/>
  <c r="BH378"/>
  <c r="BI378"/>
  <c r="BJ378"/>
  <c r="BK378"/>
  <c r="BA378"/>
  <c r="BB379"/>
  <c r="BC379"/>
  <c r="BD379"/>
  <c r="BE379"/>
  <c r="BF379"/>
  <c r="BG379"/>
  <c r="BH379"/>
  <c r="BI379"/>
  <c r="BJ379"/>
  <c r="BK379"/>
  <c r="BA379"/>
  <c r="BB380"/>
  <c r="BC380"/>
  <c r="BD380"/>
  <c r="BE380"/>
  <c r="BF380"/>
  <c r="BG380"/>
  <c r="BH380"/>
  <c r="BI380"/>
  <c r="BJ380"/>
  <c r="BK380"/>
  <c r="BA380"/>
  <c r="BB381"/>
  <c r="BC381"/>
  <c r="BD381"/>
  <c r="BE381"/>
  <c r="BF381"/>
  <c r="BG381"/>
  <c r="BH381"/>
  <c r="BI381"/>
  <c r="BJ381"/>
  <c r="BK381"/>
  <c r="BA381"/>
  <c r="BB382"/>
  <c r="BC382"/>
  <c r="BD382"/>
  <c r="BE382"/>
  <c r="BF382"/>
  <c r="BG382"/>
  <c r="BH382"/>
  <c r="BI382"/>
  <c r="BJ382"/>
  <c r="BK382"/>
  <c r="BA382"/>
  <c r="BB383"/>
  <c r="BC383"/>
  <c r="BD383"/>
  <c r="BE383"/>
  <c r="BF383"/>
  <c r="BG383"/>
  <c r="BH383"/>
  <c r="BI383"/>
  <c r="BJ383"/>
  <c r="BK383"/>
  <c r="BA383"/>
  <c r="BB384"/>
  <c r="BC384"/>
  <c r="BD384"/>
  <c r="BE384"/>
  <c r="BF384"/>
  <c r="BG384"/>
  <c r="BH384"/>
  <c r="BI384"/>
  <c r="BJ384"/>
  <c r="BK384"/>
  <c r="BA384"/>
  <c r="BB385"/>
  <c r="BC385"/>
  <c r="BD385"/>
  <c r="BE385"/>
  <c r="BF385"/>
  <c r="BG385"/>
  <c r="BH385"/>
  <c r="BI385"/>
  <c r="BJ385"/>
  <c r="BK385"/>
  <c r="BA385"/>
  <c r="BB386"/>
  <c r="BC386"/>
  <c r="BD386"/>
  <c r="BE386"/>
  <c r="BF386"/>
  <c r="BG386"/>
  <c r="BH386"/>
  <c r="BI386"/>
  <c r="BJ386"/>
  <c r="BK386"/>
  <c r="BA386"/>
  <c r="BB387"/>
  <c r="BC387"/>
  <c r="BD387"/>
  <c r="BE387"/>
  <c r="BF387"/>
  <c r="BG387"/>
  <c r="BH387"/>
  <c r="BI387"/>
  <c r="BJ387"/>
  <c r="BK387"/>
  <c r="BA387"/>
  <c r="BB388"/>
  <c r="BC388"/>
  <c r="BD388"/>
  <c r="BE388"/>
  <c r="BF388"/>
  <c r="BG388"/>
  <c r="BH388"/>
  <c r="BI388"/>
  <c r="BJ388"/>
  <c r="BK388"/>
  <c r="BA388"/>
  <c r="BB389"/>
  <c r="BC389"/>
  <c r="BD389"/>
  <c r="BE389"/>
  <c r="BF389"/>
  <c r="BG389"/>
  <c r="BH389"/>
  <c r="BI389"/>
  <c r="BJ389"/>
  <c r="BK389"/>
  <c r="BA389"/>
  <c r="BB390"/>
  <c r="BC390"/>
  <c r="BD390"/>
  <c r="BE390"/>
  <c r="BF390"/>
  <c r="BG390"/>
  <c r="BH390"/>
  <c r="BI390"/>
  <c r="BJ390"/>
  <c r="BK390"/>
  <c r="BA390"/>
  <c r="BB391"/>
  <c r="BC391"/>
  <c r="BD391"/>
  <c r="BE391"/>
  <c r="BF391"/>
  <c r="BG391"/>
  <c r="BH391"/>
  <c r="BI391"/>
  <c r="BJ391"/>
  <c r="BK391"/>
  <c r="BA391"/>
  <c r="BB392"/>
  <c r="BC392"/>
  <c r="BD392"/>
  <c r="BE392"/>
  <c r="BF392"/>
  <c r="BG392"/>
  <c r="BH392"/>
  <c r="BI392"/>
  <c r="BJ392"/>
  <c r="BK392"/>
  <c r="BA392"/>
  <c r="BB393"/>
  <c r="BC393"/>
  <c r="BD393"/>
  <c r="BE393"/>
  <c r="BF393"/>
  <c r="BG393"/>
  <c r="BH393"/>
  <c r="BI393"/>
  <c r="BJ393"/>
  <c r="BK393"/>
  <c r="BA393"/>
  <c r="BB394"/>
  <c r="BC394"/>
  <c r="BD394"/>
  <c r="BE394"/>
  <c r="BF394"/>
  <c r="BG394"/>
  <c r="BH394"/>
  <c r="BI394"/>
  <c r="BJ394"/>
  <c r="BK394"/>
  <c r="BA394"/>
  <c r="BB395"/>
  <c r="BC395"/>
  <c r="BD395"/>
  <c r="BE395"/>
  <c r="BF395"/>
  <c r="BG395"/>
  <c r="BH395"/>
  <c r="BI395"/>
  <c r="BJ395"/>
  <c r="BK395"/>
  <c r="BA395"/>
  <c r="BB396"/>
  <c r="BC396"/>
  <c r="BD396"/>
  <c r="BE396"/>
  <c r="BF396"/>
  <c r="BG396"/>
  <c r="BH396"/>
  <c r="BI396"/>
  <c r="BJ396"/>
  <c r="BK396"/>
  <c r="BA396"/>
  <c r="BB397"/>
  <c r="BC397"/>
  <c r="BD397"/>
  <c r="BE397"/>
  <c r="BF397"/>
  <c r="BG397"/>
  <c r="BH397"/>
  <c r="BI397"/>
  <c r="BJ397"/>
  <c r="BK397"/>
  <c r="BA397"/>
  <c r="BB398"/>
  <c r="BC398"/>
  <c r="BD398"/>
  <c r="BE398"/>
  <c r="BF398"/>
  <c r="BG398"/>
  <c r="BH398"/>
  <c r="BI398"/>
  <c r="BJ398"/>
  <c r="BK398"/>
  <c r="BA398"/>
  <c r="BB399"/>
  <c r="BC399"/>
  <c r="BD399"/>
  <c r="BE399"/>
  <c r="BF399"/>
  <c r="BG399"/>
  <c r="BH399"/>
  <c r="BI399"/>
  <c r="BJ399"/>
  <c r="BK399"/>
  <c r="BA399"/>
  <c r="BB400"/>
  <c r="BC400"/>
  <c r="BD400"/>
  <c r="BE400"/>
  <c r="BF400"/>
  <c r="BG400"/>
  <c r="BH400"/>
  <c r="BI400"/>
  <c r="BJ400"/>
  <c r="BK400"/>
  <c r="BA400"/>
  <c r="BB401"/>
  <c r="BC401"/>
  <c r="BD401"/>
  <c r="BE401"/>
  <c r="BF401"/>
  <c r="BG401"/>
  <c r="BH401"/>
  <c r="BI401"/>
  <c r="BJ401"/>
  <c r="BK401"/>
  <c r="BA401"/>
  <c r="BB402"/>
  <c r="BC402"/>
  <c r="BD402"/>
  <c r="BE402"/>
  <c r="BF402"/>
  <c r="BG402"/>
  <c r="BH402"/>
  <c r="BI402"/>
  <c r="BJ402"/>
  <c r="BK402"/>
  <c r="BA402"/>
  <c r="BB403"/>
  <c r="BC403"/>
  <c r="BD403"/>
  <c r="BE403"/>
  <c r="BF403"/>
  <c r="BG403"/>
  <c r="BH403"/>
  <c r="BI403"/>
  <c r="BJ403"/>
  <c r="BK403"/>
  <c r="BA403"/>
  <c r="BB404"/>
  <c r="BC404"/>
  <c r="BD404"/>
  <c r="BE404"/>
  <c r="BF404"/>
  <c r="BG404"/>
  <c r="BH404"/>
  <c r="BI404"/>
  <c r="BJ404"/>
  <c r="BK404"/>
  <c r="BA404"/>
  <c r="BB405"/>
  <c r="BC405"/>
  <c r="BD405"/>
  <c r="BE405"/>
  <c r="BF405"/>
  <c r="BG405"/>
  <c r="BH405"/>
  <c r="BI405"/>
  <c r="BJ405"/>
  <c r="BK405"/>
  <c r="BA405"/>
  <c r="BB406"/>
  <c r="BC406"/>
  <c r="BD406"/>
  <c r="BE406"/>
  <c r="BF406"/>
  <c r="BG406"/>
  <c r="BH406"/>
  <c r="BI406"/>
  <c r="BJ406"/>
  <c r="BK406"/>
  <c r="BA406"/>
  <c r="BB407"/>
  <c r="BC407"/>
  <c r="BD407"/>
  <c r="BE407"/>
  <c r="BF407"/>
  <c r="BG407"/>
  <c r="BH407"/>
  <c r="BI407"/>
  <c r="BJ407"/>
  <c r="BK407"/>
  <c r="BA407"/>
  <c r="BB408"/>
  <c r="BC408"/>
  <c r="BD408"/>
  <c r="BE408"/>
  <c r="BF408"/>
  <c r="BG408"/>
  <c r="BH408"/>
  <c r="BI408"/>
  <c r="BJ408"/>
  <c r="BK408"/>
  <c r="BA408"/>
  <c r="BB409"/>
  <c r="BC409"/>
  <c r="BD409"/>
  <c r="BE409"/>
  <c r="BF409"/>
  <c r="BG409"/>
  <c r="BH409"/>
  <c r="BI409"/>
  <c r="BJ409"/>
  <c r="BK409"/>
  <c r="BA409"/>
  <c r="BB410"/>
  <c r="BC410"/>
  <c r="BD410"/>
  <c r="BE410"/>
  <c r="BF410"/>
  <c r="BG410"/>
  <c r="BH410"/>
  <c r="BI410"/>
  <c r="BJ410"/>
  <c r="BK410"/>
  <c r="BA410"/>
  <c r="BB411"/>
  <c r="BC411"/>
  <c r="BD411"/>
  <c r="BE411"/>
  <c r="BF411"/>
  <c r="BG411"/>
  <c r="BH411"/>
  <c r="BI411"/>
  <c r="BJ411"/>
  <c r="BK411"/>
  <c r="BA411"/>
  <c r="BB412"/>
  <c r="BC412"/>
  <c r="BD412"/>
  <c r="BE412"/>
  <c r="BF412"/>
  <c r="BG412"/>
  <c r="BH412"/>
  <c r="BI412"/>
  <c r="BJ412"/>
  <c r="BK412"/>
  <c r="BA412"/>
  <c r="BB413"/>
  <c r="BC413"/>
  <c r="BD413"/>
  <c r="BE413"/>
  <c r="BF413"/>
  <c r="BG413"/>
  <c r="BH413"/>
  <c r="BI413"/>
  <c r="BJ413"/>
  <c r="BK413"/>
  <c r="BA413"/>
  <c r="BB414"/>
  <c r="BC414"/>
  <c r="BD414"/>
  <c r="BE414"/>
  <c r="BF414"/>
  <c r="BG414"/>
  <c r="BH414"/>
  <c r="BI414"/>
  <c r="BJ414"/>
  <c r="BK414"/>
  <c r="BA414"/>
  <c r="BB415"/>
  <c r="BC415"/>
  <c r="BD415"/>
  <c r="BE415"/>
  <c r="BF415"/>
  <c r="BG415"/>
  <c r="BH415"/>
  <c r="BI415"/>
  <c r="BJ415"/>
  <c r="BK415"/>
  <c r="BA415"/>
  <c r="BB416"/>
  <c r="BC416"/>
  <c r="BD416"/>
  <c r="BE416"/>
  <c r="BF416"/>
  <c r="BG416"/>
  <c r="BH416"/>
  <c r="BI416"/>
  <c r="BJ416"/>
  <c r="BK416"/>
  <c r="BA416"/>
  <c r="BB417"/>
  <c r="BC417"/>
  <c r="BD417"/>
  <c r="BE417"/>
  <c r="BF417"/>
  <c r="BG417"/>
  <c r="BH417"/>
  <c r="BI417"/>
  <c r="BJ417"/>
  <c r="BK417"/>
  <c r="BA417"/>
  <c r="BB418"/>
  <c r="BC418"/>
  <c r="BD418"/>
  <c r="BE418"/>
  <c r="BF418"/>
  <c r="BG418"/>
  <c r="BH418"/>
  <c r="BI418"/>
  <c r="BJ418"/>
  <c r="BK418"/>
  <c r="BA418"/>
  <c r="BB419"/>
  <c r="BC419"/>
  <c r="BD419"/>
  <c r="BE419"/>
  <c r="BF419"/>
  <c r="BG419"/>
  <c r="BH419"/>
  <c r="BI419"/>
  <c r="BJ419"/>
  <c r="BK419"/>
  <c r="BA419"/>
  <c r="BB420"/>
  <c r="BC420"/>
  <c r="BD420"/>
  <c r="BE420"/>
  <c r="BF420"/>
  <c r="BG420"/>
  <c r="BH420"/>
  <c r="BI420"/>
  <c r="BJ420"/>
  <c r="BK420"/>
  <c r="BA420"/>
  <c r="BB421"/>
  <c r="BC421"/>
  <c r="BD421"/>
  <c r="BE421"/>
  <c r="BF421"/>
  <c r="BG421"/>
  <c r="BH421"/>
  <c r="BI421"/>
  <c r="BJ421"/>
  <c r="BK421"/>
  <c r="BA421"/>
  <c r="BB422"/>
  <c r="BC422"/>
  <c r="BD422"/>
  <c r="BE422"/>
  <c r="BF422"/>
  <c r="BG422"/>
  <c r="BH422"/>
  <c r="BI422"/>
  <c r="BJ422"/>
  <c r="BK422"/>
  <c r="BA422"/>
  <c r="BB423"/>
  <c r="BC423"/>
  <c r="BD423"/>
  <c r="BE423"/>
  <c r="BF423"/>
  <c r="BG423"/>
  <c r="BH423"/>
  <c r="BI423"/>
  <c r="BJ423"/>
  <c r="BK423"/>
  <c r="BA423"/>
  <c r="BB424"/>
  <c r="BC424"/>
  <c r="BD424"/>
  <c r="BE424"/>
  <c r="BF424"/>
  <c r="BG424"/>
  <c r="BH424"/>
  <c r="BI424"/>
  <c r="BJ424"/>
  <c r="BK424"/>
  <c r="BA424"/>
  <c r="BB425"/>
  <c r="BC425"/>
  <c r="BD425"/>
  <c r="BE425"/>
  <c r="BF425"/>
  <c r="BG425"/>
  <c r="BH425"/>
  <c r="BI425"/>
  <c r="BJ425"/>
  <c r="BK425"/>
  <c r="BA425"/>
  <c r="BB426"/>
  <c r="BC426"/>
  <c r="BD426"/>
  <c r="BE426"/>
  <c r="BF426"/>
  <c r="BG426"/>
  <c r="BH426"/>
  <c r="BI426"/>
  <c r="BJ426"/>
  <c r="BK426"/>
  <c r="BA426"/>
  <c r="BB427"/>
  <c r="BC427"/>
  <c r="BD427"/>
  <c r="BE427"/>
  <c r="BF427"/>
  <c r="BG427"/>
  <c r="BH427"/>
  <c r="BI427"/>
  <c r="BJ427"/>
  <c r="BK427"/>
  <c r="BA427"/>
  <c r="BB428"/>
  <c r="BC428"/>
  <c r="BD428"/>
  <c r="BE428"/>
  <c r="BF428"/>
  <c r="BG428"/>
  <c r="BH428"/>
  <c r="BI428"/>
  <c r="BJ428"/>
  <c r="BK428"/>
  <c r="BA428"/>
  <c r="BB429"/>
  <c r="BC429"/>
  <c r="BD429"/>
  <c r="BE429"/>
  <c r="BF429"/>
  <c r="BG429"/>
  <c r="BH429"/>
  <c r="BI429"/>
  <c r="BJ429"/>
  <c r="BK429"/>
  <c r="BA429"/>
  <c r="BB430"/>
  <c r="BC430"/>
  <c r="BD430"/>
  <c r="BE430"/>
  <c r="BF430"/>
  <c r="BG430"/>
  <c r="BH430"/>
  <c r="BI430"/>
  <c r="BJ430"/>
  <c r="BK430"/>
  <c r="BA430"/>
  <c r="BB431"/>
  <c r="BC431"/>
  <c r="BD431"/>
  <c r="BE431"/>
  <c r="BF431"/>
  <c r="BG431"/>
  <c r="BH431"/>
  <c r="BI431"/>
  <c r="BJ431"/>
  <c r="BK431"/>
  <c r="BA431"/>
  <c r="BB432"/>
  <c r="BC432"/>
  <c r="BD432"/>
  <c r="BE432"/>
  <c r="BF432"/>
  <c r="BG432"/>
  <c r="BH432"/>
  <c r="BI432"/>
  <c r="BJ432"/>
  <c r="BK432"/>
  <c r="BA432"/>
  <c r="BB433"/>
  <c r="BC433"/>
  <c r="BD433"/>
  <c r="BE433"/>
  <c r="BF433"/>
  <c r="BG433"/>
  <c r="BH433"/>
  <c r="BI433"/>
  <c r="BJ433"/>
  <c r="BK433"/>
  <c r="BA433"/>
  <c r="BB434"/>
  <c r="BC434"/>
  <c r="BD434"/>
  <c r="BE434"/>
  <c r="BF434"/>
  <c r="BG434"/>
  <c r="BH434"/>
  <c r="BI434"/>
  <c r="BJ434"/>
  <c r="BK434"/>
  <c r="BA434"/>
  <c r="BB435"/>
  <c r="BC435"/>
  <c r="BD435"/>
  <c r="BE435"/>
  <c r="BF435"/>
  <c r="BG435"/>
  <c r="BH435"/>
  <c r="BI435"/>
  <c r="BJ435"/>
  <c r="BK435"/>
  <c r="BA435"/>
  <c r="BB436"/>
  <c r="BC436"/>
  <c r="BD436"/>
  <c r="BE436"/>
  <c r="BF436"/>
  <c r="BG436"/>
  <c r="BH436"/>
  <c r="BI436"/>
  <c r="BJ436"/>
  <c r="BK436"/>
  <c r="BA436"/>
  <c r="BB437"/>
  <c r="BC437"/>
  <c r="BD437"/>
  <c r="BE437"/>
  <c r="BF437"/>
  <c r="BG437"/>
  <c r="BH437"/>
  <c r="BI437"/>
  <c r="BJ437"/>
  <c r="BK437"/>
  <c r="BA437"/>
  <c r="BB438"/>
  <c r="BC438"/>
  <c r="BD438"/>
  <c r="BE438"/>
  <c r="BF438"/>
  <c r="BG438"/>
  <c r="BH438"/>
  <c r="BI438"/>
  <c r="BJ438"/>
  <c r="BK438"/>
  <c r="BA438"/>
  <c r="BB439"/>
  <c r="BC439"/>
  <c r="BD439"/>
  <c r="BE439"/>
  <c r="BF439"/>
  <c r="BG439"/>
  <c r="BH439"/>
  <c r="BI439"/>
  <c r="BJ439"/>
  <c r="BK439"/>
  <c r="BA439"/>
  <c r="BB440"/>
  <c r="BC440"/>
  <c r="BD440"/>
  <c r="BE440"/>
  <c r="BF440"/>
  <c r="BG440"/>
  <c r="BH440"/>
  <c r="BI440"/>
  <c r="BJ440"/>
  <c r="BK440"/>
  <c r="BA440"/>
  <c r="BB441"/>
  <c r="BC441"/>
  <c r="BD441"/>
  <c r="BE441"/>
  <c r="BF441"/>
  <c r="BG441"/>
  <c r="BH441"/>
  <c r="BI441"/>
  <c r="BJ441"/>
  <c r="BK441"/>
  <c r="BA441"/>
  <c r="BB442"/>
  <c r="BC442"/>
  <c r="BD442"/>
  <c r="BE442"/>
  <c r="BF442"/>
  <c r="BG442"/>
  <c r="BH442"/>
  <c r="BI442"/>
  <c r="BJ442"/>
  <c r="BK442"/>
  <c r="BA442"/>
  <c r="BB443"/>
  <c r="BC443"/>
  <c r="BD443"/>
  <c r="BE443"/>
  <c r="BF443"/>
  <c r="BG443"/>
  <c r="BH443"/>
  <c r="BI443"/>
  <c r="BJ443"/>
  <c r="BK443"/>
  <c r="BA443"/>
  <c r="BB444"/>
  <c r="BC444"/>
  <c r="BD444"/>
  <c r="BE444"/>
  <c r="BF444"/>
  <c r="BG444"/>
  <c r="BH444"/>
  <c r="BI444"/>
  <c r="BJ444"/>
  <c r="BK444"/>
  <c r="BA444"/>
  <c r="BB445"/>
  <c r="BC445"/>
  <c r="BD445"/>
  <c r="BE445"/>
  <c r="BF445"/>
  <c r="BG445"/>
  <c r="BH445"/>
  <c r="BI445"/>
  <c r="BJ445"/>
  <c r="BK445"/>
  <c r="BA445"/>
  <c r="BB446"/>
  <c r="BC446"/>
  <c r="BD446"/>
  <c r="BE446"/>
  <c r="BF446"/>
  <c r="BG446"/>
  <c r="BH446"/>
  <c r="BI446"/>
  <c r="BJ446"/>
  <c r="BK446"/>
  <c r="BA446"/>
  <c r="BB447"/>
  <c r="BC447"/>
  <c r="BD447"/>
  <c r="BE447"/>
  <c r="BF447"/>
  <c r="BG447"/>
  <c r="BH447"/>
  <c r="BI447"/>
  <c r="BJ447"/>
  <c r="BK447"/>
  <c r="BA447"/>
  <c r="BB448"/>
  <c r="BC448"/>
  <c r="BD448"/>
  <c r="BE448"/>
  <c r="BF448"/>
  <c r="BG448"/>
  <c r="BH448"/>
  <c r="BI448"/>
  <c r="BJ448"/>
  <c r="BK448"/>
  <c r="BA448"/>
  <c r="BB449"/>
  <c r="BC449"/>
  <c r="BD449"/>
  <c r="BE449"/>
  <c r="BF449"/>
  <c r="BG449"/>
  <c r="BH449"/>
  <c r="BI449"/>
  <c r="BJ449"/>
  <c r="BK449"/>
  <c r="BA449"/>
  <c r="BB450"/>
  <c r="BC450"/>
  <c r="BD450"/>
  <c r="BE450"/>
  <c r="BF450"/>
  <c r="BG450"/>
  <c r="BH450"/>
  <c r="BI450"/>
  <c r="BJ450"/>
  <c r="BK450"/>
  <c r="BA450"/>
  <c r="BB451"/>
  <c r="BC451"/>
  <c r="BD451"/>
  <c r="BE451"/>
  <c r="BF451"/>
  <c r="BG451"/>
  <c r="BH451"/>
  <c r="BI451"/>
  <c r="BJ451"/>
  <c r="BK451"/>
  <c r="BA451"/>
  <c r="BB452"/>
  <c r="BC452"/>
  <c r="BD452"/>
  <c r="BE452"/>
  <c r="BF452"/>
  <c r="BG452"/>
  <c r="BH452"/>
  <c r="BI452"/>
  <c r="BJ452"/>
  <c r="BK452"/>
  <c r="BA452"/>
  <c r="BB453"/>
  <c r="BC453"/>
  <c r="BD453"/>
  <c r="BE453"/>
  <c r="BF453"/>
  <c r="BG453"/>
  <c r="BH453"/>
  <c r="BI453"/>
  <c r="BJ453"/>
  <c r="BK453"/>
  <c r="BA453"/>
  <c r="BB454"/>
  <c r="BC454"/>
  <c r="BD454"/>
  <c r="BE454"/>
  <c r="BF454"/>
  <c r="BG454"/>
  <c r="BH454"/>
  <c r="BI454"/>
  <c r="BJ454"/>
  <c r="BK454"/>
  <c r="BA454"/>
  <c r="BB455"/>
  <c r="BC455"/>
  <c r="BD455"/>
  <c r="BE455"/>
  <c r="BF455"/>
  <c r="BG455"/>
  <c r="BH455"/>
  <c r="BI455"/>
  <c r="BJ455"/>
  <c r="BK455"/>
  <c r="BA455"/>
  <c r="BB456"/>
  <c r="BC456"/>
  <c r="BD456"/>
  <c r="BE456"/>
  <c r="BF456"/>
  <c r="BG456"/>
  <c r="BH456"/>
  <c r="BI456"/>
  <c r="BJ456"/>
  <c r="BK456"/>
  <c r="BA456"/>
  <c r="BB457"/>
  <c r="BC457"/>
  <c r="BD457"/>
  <c r="BE457"/>
  <c r="BF457"/>
  <c r="BG457"/>
  <c r="BH457"/>
  <c r="BI457"/>
  <c r="BJ457"/>
  <c r="BK457"/>
  <c r="BA457"/>
  <c r="BB458"/>
  <c r="BC458"/>
  <c r="BD458"/>
  <c r="BE458"/>
  <c r="BF458"/>
  <c r="BG458"/>
  <c r="BH458"/>
  <c r="BI458"/>
  <c r="BJ458"/>
  <c r="BK458"/>
  <c r="BA458"/>
  <c r="BB459"/>
  <c r="BC459"/>
  <c r="BD459"/>
  <c r="BE459"/>
  <c r="BF459"/>
  <c r="BG459"/>
  <c r="BH459"/>
  <c r="BI459"/>
  <c r="BJ459"/>
  <c r="BK459"/>
  <c r="BA459"/>
  <c r="BB460"/>
  <c r="BC460"/>
  <c r="BD460"/>
  <c r="BE460"/>
  <c r="BF460"/>
  <c r="BG460"/>
  <c r="BH460"/>
  <c r="BI460"/>
  <c r="BJ460"/>
  <c r="BK460"/>
  <c r="BA460"/>
  <c r="BB461"/>
  <c r="BC461"/>
  <c r="BD461"/>
  <c r="BE461"/>
  <c r="BF461"/>
  <c r="BG461"/>
  <c r="BH461"/>
  <c r="BI461"/>
  <c r="BJ461"/>
  <c r="BK461"/>
  <c r="BA461"/>
  <c r="BB462"/>
  <c r="BC462"/>
  <c r="BD462"/>
  <c r="BE462"/>
  <c r="BF462"/>
  <c r="BG462"/>
  <c r="BH462"/>
  <c r="BI462"/>
  <c r="BJ462"/>
  <c r="BK462"/>
  <c r="BA462"/>
  <c r="BB463"/>
  <c r="BC463"/>
  <c r="BD463"/>
  <c r="BE463"/>
  <c r="BF463"/>
  <c r="BG463"/>
  <c r="BH463"/>
  <c r="BI463"/>
  <c r="BJ463"/>
  <c r="BK463"/>
  <c r="BA463"/>
  <c r="BB464"/>
  <c r="BC464"/>
  <c r="BD464"/>
  <c r="BE464"/>
  <c r="BF464"/>
  <c r="BG464"/>
  <c r="BH464"/>
  <c r="BI464"/>
  <c r="BJ464"/>
  <c r="BK464"/>
  <c r="BA464"/>
  <c r="BB465"/>
  <c r="BC465"/>
  <c r="BD465"/>
  <c r="BE465"/>
  <c r="BF465"/>
  <c r="BG465"/>
  <c r="BH465"/>
  <c r="BI465"/>
  <c r="BJ465"/>
  <c r="BK465"/>
  <c r="BA465"/>
  <c r="BB466"/>
  <c r="BC466"/>
  <c r="BD466"/>
  <c r="BE466"/>
  <c r="BF466"/>
  <c r="BG466"/>
  <c r="BH466"/>
  <c r="BI466"/>
  <c r="BJ466"/>
  <c r="BK466"/>
  <c r="BA466"/>
  <c r="BB467"/>
  <c r="BC467"/>
  <c r="BD467"/>
  <c r="BE467"/>
  <c r="BF467"/>
  <c r="BG467"/>
  <c r="BH467"/>
  <c r="BI467"/>
  <c r="BJ467"/>
  <c r="BK467"/>
  <c r="BA467"/>
  <c r="BB468"/>
  <c r="BC468"/>
  <c r="BD468"/>
  <c r="BE468"/>
  <c r="BF468"/>
  <c r="BG468"/>
  <c r="BH468"/>
  <c r="BI468"/>
  <c r="BJ468"/>
  <c r="BK468"/>
  <c r="BA468"/>
  <c r="BB469"/>
  <c r="BC469"/>
  <c r="BD469"/>
  <c r="BE469"/>
  <c r="BF469"/>
  <c r="BG469"/>
  <c r="BH469"/>
  <c r="BI469"/>
  <c r="BJ469"/>
  <c r="BK469"/>
  <c r="BA469"/>
  <c r="BB470"/>
  <c r="BC470"/>
  <c r="BD470"/>
  <c r="BE470"/>
  <c r="BF470"/>
  <c r="BG470"/>
  <c r="BH470"/>
  <c r="BI470"/>
  <c r="BJ470"/>
  <c r="BK470"/>
  <c r="BA470"/>
  <c r="BB471"/>
  <c r="BC471"/>
  <c r="BD471"/>
  <c r="BE471"/>
  <c r="BF471"/>
  <c r="BG471"/>
  <c r="BH471"/>
  <c r="BI471"/>
  <c r="BJ471"/>
  <c r="BK471"/>
  <c r="BA471"/>
  <c r="BB472"/>
  <c r="BC472"/>
  <c r="BD472"/>
  <c r="BE472"/>
  <c r="BF472"/>
  <c r="BG472"/>
  <c r="BH472"/>
  <c r="BI472"/>
  <c r="BJ472"/>
  <c r="BK472"/>
  <c r="BA472"/>
  <c r="BB473"/>
  <c r="BC473"/>
  <c r="BD473"/>
  <c r="BE473"/>
  <c r="BF473"/>
  <c r="BG473"/>
  <c r="BH473"/>
  <c r="BI473"/>
  <c r="BJ473"/>
  <c r="BK473"/>
  <c r="BA473"/>
  <c r="BB474"/>
  <c r="BC474"/>
  <c r="BD474"/>
  <c r="BE474"/>
  <c r="BF474"/>
  <c r="BG474"/>
  <c r="BH474"/>
  <c r="BI474"/>
  <c r="BJ474"/>
  <c r="BK474"/>
  <c r="BA474"/>
  <c r="BB475"/>
  <c r="BC475"/>
  <c r="BD475"/>
  <c r="BE475"/>
  <c r="BF475"/>
  <c r="BG475"/>
  <c r="BH475"/>
  <c r="BI475"/>
  <c r="BJ475"/>
  <c r="BK475"/>
  <c r="BA475"/>
  <c r="BB476"/>
  <c r="BC476"/>
  <c r="BD476"/>
  <c r="BE476"/>
  <c r="BF476"/>
  <c r="BG476"/>
  <c r="BH476"/>
  <c r="BI476"/>
  <c r="BJ476"/>
  <c r="BK476"/>
  <c r="BA476"/>
  <c r="BB477"/>
  <c r="BC477"/>
  <c r="BD477"/>
  <c r="BE477"/>
  <c r="BF477"/>
  <c r="BG477"/>
  <c r="BH477"/>
  <c r="BI477"/>
  <c r="BJ477"/>
  <c r="BK477"/>
  <c r="BA477"/>
  <c r="BB478"/>
  <c r="BC478"/>
  <c r="BD478"/>
  <c r="BE478"/>
  <c r="BF478"/>
  <c r="BG478"/>
  <c r="BH478"/>
  <c r="BI478"/>
  <c r="BJ478"/>
  <c r="BK478"/>
  <c r="BA478"/>
  <c r="BB479"/>
  <c r="BC479"/>
  <c r="BD479"/>
  <c r="BE479"/>
  <c r="BF479"/>
  <c r="BG479"/>
  <c r="BH479"/>
  <c r="BI479"/>
  <c r="BJ479"/>
  <c r="BK479"/>
  <c r="BA479"/>
  <c r="BB480"/>
  <c r="BC480"/>
  <c r="BD480"/>
  <c r="BE480"/>
  <c r="BF480"/>
  <c r="BG480"/>
  <c r="BH480"/>
  <c r="BI480"/>
  <c r="BJ480"/>
  <c r="BK480"/>
  <c r="BA480"/>
  <c r="BB481"/>
  <c r="BC481"/>
  <c r="BD481"/>
  <c r="BE481"/>
  <c r="BF481"/>
  <c r="BG481"/>
  <c r="BH481"/>
  <c r="BI481"/>
  <c r="BJ481"/>
  <c r="BK481"/>
  <c r="BA481"/>
  <c r="BB482"/>
  <c r="BC482"/>
  <c r="BD482"/>
  <c r="BE482"/>
  <c r="BF482"/>
  <c r="BG482"/>
  <c r="BH482"/>
  <c r="BI482"/>
  <c r="BJ482"/>
  <c r="BK482"/>
  <c r="BA482"/>
  <c r="BB483"/>
  <c r="BC483"/>
  <c r="BD483"/>
  <c r="BE483"/>
  <c r="BF483"/>
  <c r="BG483"/>
  <c r="BH483"/>
  <c r="BI483"/>
  <c r="BJ483"/>
  <c r="BK483"/>
  <c r="BA483"/>
  <c r="BB484"/>
  <c r="BC484"/>
  <c r="BD484"/>
  <c r="BE484"/>
  <c r="BF484"/>
  <c r="BG484"/>
  <c r="BH484"/>
  <c r="BI484"/>
  <c r="BJ484"/>
  <c r="BK484"/>
  <c r="BA484"/>
  <c r="BB485"/>
  <c r="BC485"/>
  <c r="BD485"/>
  <c r="BE485"/>
  <c r="BF485"/>
  <c r="BG485"/>
  <c r="BH485"/>
  <c r="BI485"/>
  <c r="BJ485"/>
  <c r="BK485"/>
  <c r="BA485"/>
  <c r="BB486"/>
  <c r="BC486"/>
  <c r="BD486"/>
  <c r="BE486"/>
  <c r="BF486"/>
  <c r="BG486"/>
  <c r="BH486"/>
  <c r="BI486"/>
  <c r="BJ486"/>
  <c r="BK486"/>
  <c r="BA486"/>
  <c r="BB487"/>
  <c r="BC487"/>
  <c r="BD487"/>
  <c r="BE487"/>
  <c r="BF487"/>
  <c r="BG487"/>
  <c r="BH487"/>
  <c r="BI487"/>
  <c r="BJ487"/>
  <c r="BK487"/>
  <c r="BA487"/>
  <c r="BB488"/>
  <c r="BC488"/>
  <c r="BD488"/>
  <c r="BE488"/>
  <c r="BF488"/>
  <c r="BG488"/>
  <c r="BH488"/>
  <c r="BI488"/>
  <c r="BJ488"/>
  <c r="BK488"/>
  <c r="BA488"/>
  <c r="BB489"/>
  <c r="BC489"/>
  <c r="BD489"/>
  <c r="BE489"/>
  <c r="BF489"/>
  <c r="BG489"/>
  <c r="BH489"/>
  <c r="BI489"/>
  <c r="BJ489"/>
  <c r="BK489"/>
  <c r="BA489"/>
  <c r="BB490"/>
  <c r="BC490"/>
  <c r="BD490"/>
  <c r="BE490"/>
  <c r="BF490"/>
  <c r="BG490"/>
  <c r="BH490"/>
  <c r="BI490"/>
  <c r="BJ490"/>
  <c r="BK490"/>
  <c r="BA490"/>
  <c r="BB491"/>
  <c r="BC491"/>
  <c r="BD491"/>
  <c r="BE491"/>
  <c r="BF491"/>
  <c r="BG491"/>
  <c r="BH491"/>
  <c r="BI491"/>
  <c r="BJ491"/>
  <c r="BK491"/>
  <c r="BA491"/>
  <c r="BB492"/>
  <c r="BC492"/>
  <c r="BD492"/>
  <c r="BE492"/>
  <c r="BF492"/>
  <c r="BG492"/>
  <c r="BH492"/>
  <c r="BI492"/>
  <c r="BJ492"/>
  <c r="BK492"/>
  <c r="BA492"/>
  <c r="BB493"/>
  <c r="BC493"/>
  <c r="BD493"/>
  <c r="BE493"/>
  <c r="BF493"/>
  <c r="BG493"/>
  <c r="BH493"/>
  <c r="BI493"/>
  <c r="BJ493"/>
  <c r="BK493"/>
  <c r="BA493"/>
  <c r="BB494"/>
  <c r="BC494"/>
  <c r="BD494"/>
  <c r="BE494"/>
  <c r="BF494"/>
  <c r="BG494"/>
  <c r="BH494"/>
  <c r="BI494"/>
  <c r="BJ494"/>
  <c r="BK494"/>
  <c r="BA494"/>
  <c r="BB495"/>
  <c r="BC495"/>
  <c r="BD495"/>
  <c r="BE495"/>
  <c r="BF495"/>
  <c r="BG495"/>
  <c r="BH495"/>
  <c r="BI495"/>
  <c r="BJ495"/>
  <c r="BK495"/>
  <c r="BA495"/>
  <c r="BB496"/>
  <c r="BC496"/>
  <c r="BD496"/>
  <c r="BE496"/>
  <c r="BF496"/>
  <c r="BG496"/>
  <c r="BH496"/>
  <c r="BI496"/>
  <c r="BJ496"/>
  <c r="BK496"/>
  <c r="BA496"/>
  <c r="BB497"/>
  <c r="BC497"/>
  <c r="BD497"/>
  <c r="BE497"/>
  <c r="BF497"/>
  <c r="BG497"/>
  <c r="BH497"/>
  <c r="BI497"/>
  <c r="BJ497"/>
  <c r="BK497"/>
  <c r="BA497"/>
  <c r="BB498"/>
  <c r="BC498"/>
  <c r="BD498"/>
  <c r="BE498"/>
  <c r="BF498"/>
  <c r="BG498"/>
  <c r="BH498"/>
  <c r="BI498"/>
  <c r="BJ498"/>
  <c r="BK498"/>
  <c r="BA498"/>
  <c r="BB499"/>
  <c r="BC499"/>
  <c r="BD499"/>
  <c r="BE499"/>
  <c r="BF499"/>
  <c r="BG499"/>
  <c r="BH499"/>
  <c r="BI499"/>
  <c r="BJ499"/>
  <c r="BK499"/>
  <c r="BA499"/>
  <c r="BB500"/>
  <c r="BC500"/>
  <c r="BD500"/>
  <c r="BE500"/>
  <c r="BF500"/>
  <c r="BG500"/>
  <c r="BH500"/>
  <c r="BI500"/>
  <c r="BJ500"/>
  <c r="BK500"/>
  <c r="BA500"/>
  <c r="BB501"/>
  <c r="BC501"/>
  <c r="BD501"/>
  <c r="BE501"/>
  <c r="BF501"/>
  <c r="BG501"/>
  <c r="BH501"/>
  <c r="BI501"/>
  <c r="BJ501"/>
  <c r="BK501"/>
  <c r="BA501"/>
  <c r="BB502"/>
  <c r="BC502"/>
  <c r="BD502"/>
  <c r="BE502"/>
  <c r="BF502"/>
  <c r="BG502"/>
  <c r="BH502"/>
  <c r="BI502"/>
  <c r="BJ502"/>
  <c r="BK502"/>
  <c r="BA502"/>
  <c r="BB503"/>
  <c r="BC503"/>
  <c r="BD503"/>
  <c r="BE503"/>
  <c r="BF503"/>
  <c r="BG503"/>
  <c r="BH503"/>
  <c r="BI503"/>
  <c r="BJ503"/>
  <c r="BK503"/>
  <c r="BA503"/>
  <c r="BB504"/>
  <c r="BC504"/>
  <c r="BD504"/>
  <c r="BE504"/>
  <c r="BF504"/>
  <c r="BG504"/>
  <c r="BH504"/>
  <c r="BI504"/>
  <c r="BJ504"/>
  <c r="BK504"/>
  <c r="BA504"/>
  <c r="BB505"/>
  <c r="BC505"/>
  <c r="BD505"/>
  <c r="BE505"/>
  <c r="BF505"/>
  <c r="BG505"/>
  <c r="BH505"/>
  <c r="BI505"/>
  <c r="BJ505"/>
  <c r="BK505"/>
  <c r="BA505"/>
  <c r="BB506"/>
  <c r="BC506"/>
  <c r="BD506"/>
  <c r="BE506"/>
  <c r="BF506"/>
  <c r="BG506"/>
  <c r="BH506"/>
  <c r="BI506"/>
  <c r="BJ506"/>
  <c r="BK506"/>
  <c r="BA506"/>
  <c r="BB507"/>
  <c r="BC507"/>
  <c r="BD507"/>
  <c r="BE507"/>
  <c r="BF507"/>
  <c r="BG507"/>
  <c r="BH507"/>
  <c r="BI507"/>
  <c r="BJ507"/>
  <c r="BK507"/>
  <c r="BA507"/>
  <c r="BB508"/>
  <c r="BC508"/>
  <c r="BD508"/>
  <c r="BE508"/>
  <c r="BF508"/>
  <c r="BG508"/>
  <c r="BH508"/>
  <c r="BI508"/>
  <c r="BJ508"/>
  <c r="BK508"/>
  <c r="BA508"/>
  <c r="BB509"/>
  <c r="BC509"/>
  <c r="BD509"/>
  <c r="BE509"/>
  <c r="BF509"/>
  <c r="BG509"/>
  <c r="BH509"/>
  <c r="BI509"/>
  <c r="BJ509"/>
  <c r="BK509"/>
  <c r="BA509"/>
  <c r="BB510"/>
  <c r="BC510"/>
  <c r="BD510"/>
  <c r="BE510"/>
  <c r="BF510"/>
  <c r="BG510"/>
  <c r="BH510"/>
  <c r="BI510"/>
  <c r="BJ510"/>
  <c r="BK510"/>
  <c r="BA510"/>
  <c r="BB511"/>
  <c r="BC511"/>
  <c r="BD511"/>
  <c r="BE511"/>
  <c r="BF511"/>
  <c r="BG511"/>
  <c r="BH511"/>
  <c r="BI511"/>
  <c r="BJ511"/>
  <c r="BK511"/>
  <c r="BA511"/>
  <c r="BB512"/>
  <c r="BC512"/>
  <c r="BD512"/>
  <c r="BE512"/>
  <c r="BF512"/>
  <c r="BG512"/>
  <c r="BH512"/>
  <c r="BI512"/>
  <c r="BJ512"/>
  <c r="BK512"/>
  <c r="BA512"/>
  <c r="BB513"/>
  <c r="BC513"/>
  <c r="BD513"/>
  <c r="BE513"/>
  <c r="BF513"/>
  <c r="BG513"/>
  <c r="BH513"/>
  <c r="BI513"/>
  <c r="BJ513"/>
  <c r="BK513"/>
  <c r="BA513"/>
  <c r="BB514"/>
  <c r="BC514"/>
  <c r="BD514"/>
  <c r="BE514"/>
  <c r="BF514"/>
  <c r="BG514"/>
  <c r="BH514"/>
  <c r="BI514"/>
  <c r="BJ514"/>
  <c r="BK514"/>
  <c r="BA514"/>
  <c r="BB515"/>
  <c r="BC515"/>
  <c r="BD515"/>
  <c r="BE515"/>
  <c r="BF515"/>
  <c r="BG515"/>
  <c r="BH515"/>
  <c r="BI515"/>
  <c r="BJ515"/>
  <c r="BK515"/>
  <c r="BA515"/>
  <c r="BB516"/>
  <c r="BC516"/>
  <c r="BD516"/>
  <c r="BE516"/>
  <c r="BF516"/>
  <c r="BG516"/>
  <c r="BH516"/>
  <c r="BI516"/>
  <c r="BJ516"/>
  <c r="BK516"/>
  <c r="BA516"/>
  <c r="BB517"/>
  <c r="BC517"/>
  <c r="BD517"/>
  <c r="BE517"/>
  <c r="BF517"/>
  <c r="BG517"/>
  <c r="BH517"/>
  <c r="BI517"/>
  <c r="BJ517"/>
  <c r="BK517"/>
  <c r="BA517"/>
  <c r="BB518"/>
  <c r="BC518"/>
  <c r="BD518"/>
  <c r="BE518"/>
  <c r="BF518"/>
  <c r="BG518"/>
  <c r="BH518"/>
  <c r="BI518"/>
  <c r="BJ518"/>
  <c r="BK518"/>
  <c r="BA518"/>
  <c r="BB519"/>
  <c r="BC519"/>
  <c r="BD519"/>
  <c r="BE519"/>
  <c r="BF519"/>
  <c r="BG519"/>
  <c r="BH519"/>
  <c r="BI519"/>
  <c r="BJ519"/>
  <c r="BK519"/>
  <c r="BA519"/>
  <c r="BB520"/>
  <c r="BC520"/>
  <c r="BD520"/>
  <c r="BE520"/>
  <c r="BF520"/>
  <c r="BG520"/>
  <c r="BH520"/>
  <c r="BI520"/>
  <c r="BJ520"/>
  <c r="BK520"/>
  <c r="BA520"/>
  <c r="BB521"/>
  <c r="BC521"/>
  <c r="BD521"/>
  <c r="BE521"/>
  <c r="BF521"/>
  <c r="BG521"/>
  <c r="BH521"/>
  <c r="BI521"/>
  <c r="BJ521"/>
  <c r="BK521"/>
  <c r="BA521"/>
  <c r="BB522"/>
  <c r="BC522"/>
  <c r="BD522"/>
  <c r="BE522"/>
  <c r="BF522"/>
  <c r="BG522"/>
  <c r="BH522"/>
  <c r="BI522"/>
  <c r="BJ522"/>
  <c r="BK522"/>
  <c r="BA522"/>
  <c r="BB523"/>
  <c r="BC523"/>
  <c r="BD523"/>
  <c r="BE523"/>
  <c r="BF523"/>
  <c r="BG523"/>
  <c r="BH523"/>
  <c r="BI523"/>
  <c r="BJ523"/>
  <c r="BK523"/>
  <c r="BA523"/>
  <c r="BB524"/>
  <c r="BC524"/>
  <c r="BD524"/>
  <c r="BE524"/>
  <c r="BF524"/>
  <c r="BG524"/>
  <c r="BH524"/>
  <c r="BI524"/>
  <c r="BJ524"/>
  <c r="BK524"/>
  <c r="BA524"/>
  <c r="BB525"/>
  <c r="BC525"/>
  <c r="BD525"/>
  <c r="BE525"/>
  <c r="BF525"/>
  <c r="BG525"/>
  <c r="BH525"/>
  <c r="BI525"/>
  <c r="BJ525"/>
  <c r="BK525"/>
  <c r="BA525"/>
  <c r="BB526"/>
  <c r="BC526"/>
  <c r="BD526"/>
  <c r="BE526"/>
  <c r="BF526"/>
  <c r="BG526"/>
  <c r="BH526"/>
  <c r="BI526"/>
  <c r="BJ526"/>
  <c r="BK526"/>
  <c r="BA526"/>
  <c r="BB527"/>
  <c r="BC527"/>
  <c r="BD527"/>
  <c r="BE527"/>
  <c r="BF527"/>
  <c r="BG527"/>
  <c r="BH527"/>
  <c r="BI527"/>
  <c r="BJ527"/>
  <c r="BK527"/>
  <c r="BA527"/>
  <c r="BB528"/>
  <c r="BC528"/>
  <c r="BD528"/>
  <c r="BE528"/>
  <c r="BF528"/>
  <c r="BG528"/>
  <c r="BH528"/>
  <c r="BI528"/>
  <c r="BJ528"/>
  <c r="BK528"/>
  <c r="BA528"/>
  <c r="BB529"/>
  <c r="BC529"/>
  <c r="BD529"/>
  <c r="BE529"/>
  <c r="BF529"/>
  <c r="BG529"/>
  <c r="BH529"/>
  <c r="BI529"/>
  <c r="BJ529"/>
  <c r="BK529"/>
  <c r="BA529"/>
  <c r="BB530"/>
  <c r="BC530"/>
  <c r="BD530"/>
  <c r="BE530"/>
  <c r="BF530"/>
  <c r="BG530"/>
  <c r="BH530"/>
  <c r="BI530"/>
  <c r="BJ530"/>
  <c r="BK530"/>
  <c r="BA530"/>
  <c r="BB531"/>
  <c r="BC531"/>
  <c r="BD531"/>
  <c r="BE531"/>
  <c r="BF531"/>
  <c r="BG531"/>
  <c r="BH531"/>
  <c r="BI531"/>
  <c r="BJ531"/>
  <c r="BK531"/>
  <c r="BA531"/>
  <c r="BB532"/>
  <c r="BC532"/>
  <c r="BD532"/>
  <c r="BE532"/>
  <c r="BF532"/>
  <c r="BG532"/>
  <c r="BH532"/>
  <c r="BI532"/>
  <c r="BJ532"/>
  <c r="BK532"/>
  <c r="BA532"/>
  <c r="BB533"/>
  <c r="BC533"/>
  <c r="BD533"/>
  <c r="BE533"/>
  <c r="BF533"/>
  <c r="BG533"/>
  <c r="BH533"/>
  <c r="BI533"/>
  <c r="BJ533"/>
  <c r="BK533"/>
  <c r="BA533"/>
  <c r="BB534"/>
  <c r="BC534"/>
  <c r="BD534"/>
  <c r="BE534"/>
  <c r="BF534"/>
  <c r="BG534"/>
  <c r="BH534"/>
  <c r="BI534"/>
  <c r="BJ534"/>
  <c r="BK534"/>
  <c r="BA534"/>
  <c r="BB535"/>
  <c r="BC535"/>
  <c r="BD535"/>
  <c r="BE535"/>
  <c r="BF535"/>
  <c r="BG535"/>
  <c r="BH535"/>
  <c r="BI535"/>
  <c r="BJ535"/>
  <c r="BK535"/>
  <c r="BA535"/>
  <c r="BB536"/>
  <c r="BC536"/>
  <c r="BD536"/>
  <c r="BE536"/>
  <c r="BF536"/>
  <c r="BG536"/>
  <c r="BH536"/>
  <c r="BI536"/>
  <c r="BJ536"/>
  <c r="BK536"/>
  <c r="BA536"/>
  <c r="BB537"/>
  <c r="BC537"/>
  <c r="BD537"/>
  <c r="BE537"/>
  <c r="BF537"/>
  <c r="BG537"/>
  <c r="BH537"/>
  <c r="BI537"/>
  <c r="BJ537"/>
  <c r="BK537"/>
  <c r="BA537"/>
  <c r="BB538"/>
  <c r="BC538"/>
  <c r="BD538"/>
  <c r="BE538"/>
  <c r="BF538"/>
  <c r="BG538"/>
  <c r="BH538"/>
  <c r="BI538"/>
  <c r="BJ538"/>
  <c r="BK538"/>
  <c r="BA538"/>
  <c r="BB539"/>
  <c r="BC539"/>
  <c r="BD539"/>
  <c r="BE539"/>
  <c r="BF539"/>
  <c r="BG539"/>
  <c r="BH539"/>
  <c r="BI539"/>
  <c r="BJ539"/>
  <c r="BK539"/>
  <c r="BA539"/>
  <c r="BB540"/>
  <c r="BC540"/>
  <c r="BD540"/>
  <c r="BE540"/>
  <c r="BF540"/>
  <c r="BG540"/>
  <c r="BH540"/>
  <c r="BI540"/>
  <c r="BJ540"/>
  <c r="BK540"/>
  <c r="BA540"/>
  <c r="BB541"/>
  <c r="BC541"/>
  <c r="BD541"/>
  <c r="BE541"/>
  <c r="BF541"/>
  <c r="BG541"/>
  <c r="BH541"/>
  <c r="BI541"/>
  <c r="BJ541"/>
  <c r="BK541"/>
  <c r="BA541"/>
  <c r="BB542"/>
  <c r="BC542"/>
  <c r="BD542"/>
  <c r="BE542"/>
  <c r="BF542"/>
  <c r="BG542"/>
  <c r="BH542"/>
  <c r="BI542"/>
  <c r="BJ542"/>
  <c r="BK542"/>
  <c r="BA542"/>
  <c r="BB543"/>
  <c r="BC543"/>
  <c r="BD543"/>
  <c r="BE543"/>
  <c r="BF543"/>
  <c r="BG543"/>
  <c r="BH543"/>
  <c r="BI543"/>
  <c r="BJ543"/>
  <c r="BK543"/>
  <c r="BA543"/>
  <c r="BB544"/>
  <c r="BC544"/>
  <c r="BD544"/>
  <c r="BE544"/>
  <c r="BF544"/>
  <c r="BG544"/>
  <c r="BH544"/>
  <c r="BI544"/>
  <c r="BJ544"/>
  <c r="BK544"/>
  <c r="BA544"/>
  <c r="BB545"/>
  <c r="BC545"/>
  <c r="BD545"/>
  <c r="BE545"/>
  <c r="BF545"/>
  <c r="BG545"/>
  <c r="BH545"/>
  <c r="BI545"/>
  <c r="BJ545"/>
  <c r="BK545"/>
  <c r="BA545"/>
  <c r="BB546"/>
  <c r="BC546"/>
  <c r="BD546"/>
  <c r="BE546"/>
  <c r="BF546"/>
  <c r="BG546"/>
  <c r="BH546"/>
  <c r="BI546"/>
  <c r="BJ546"/>
  <c r="BK546"/>
  <c r="BA546"/>
  <c r="BB547"/>
  <c r="BC547"/>
  <c r="BD547"/>
  <c r="BE547"/>
  <c r="BF547"/>
  <c r="BG547"/>
  <c r="BH547"/>
  <c r="BI547"/>
  <c r="BJ547"/>
  <c r="BK547"/>
  <c r="BA547"/>
  <c r="BB548"/>
  <c r="BC548"/>
  <c r="BD548"/>
  <c r="BE548"/>
  <c r="BF548"/>
  <c r="BG548"/>
  <c r="BH548"/>
  <c r="BI548"/>
  <c r="BJ548"/>
  <c r="BK548"/>
  <c r="BA548"/>
  <c r="BB549"/>
  <c r="BC549"/>
  <c r="BD549"/>
  <c r="BE549"/>
  <c r="BF549"/>
  <c r="BG549"/>
  <c r="BH549"/>
  <c r="BI549"/>
  <c r="BJ549"/>
  <c r="BK549"/>
  <c r="BA549"/>
  <c r="BB550"/>
  <c r="BC550"/>
  <c r="BD550"/>
  <c r="BE550"/>
  <c r="BF550"/>
  <c r="BG550"/>
  <c r="BH550"/>
  <c r="BI550"/>
  <c r="BJ550"/>
  <c r="BK550"/>
  <c r="BA550"/>
  <c r="BB551"/>
  <c r="BC551"/>
  <c r="BD551"/>
  <c r="BE551"/>
  <c r="BF551"/>
  <c r="BG551"/>
  <c r="BH551"/>
  <c r="BI551"/>
  <c r="BJ551"/>
  <c r="BK551"/>
  <c r="BA551"/>
  <c r="BB552"/>
  <c r="BC552"/>
  <c r="BD552"/>
  <c r="BE552"/>
  <c r="BF552"/>
  <c r="BG552"/>
  <c r="BH552"/>
  <c r="BI552"/>
  <c r="BJ552"/>
  <c r="BK552"/>
  <c r="BA552"/>
  <c r="BB553"/>
  <c r="BC553"/>
  <c r="BD553"/>
  <c r="BE553"/>
  <c r="BF553"/>
  <c r="BG553"/>
  <c r="BH553"/>
  <c r="BI553"/>
  <c r="BJ553"/>
  <c r="BK553"/>
  <c r="BA553"/>
  <c r="BB554"/>
  <c r="BC554"/>
  <c r="BD554"/>
  <c r="BE554"/>
  <c r="BF554"/>
  <c r="BG554"/>
  <c r="BH554"/>
  <c r="BI554"/>
  <c r="BJ554"/>
  <c r="BK554"/>
  <c r="BA554"/>
  <c r="BB555"/>
  <c r="BC555"/>
  <c r="BD555"/>
  <c r="BE555"/>
  <c r="BF555"/>
  <c r="BG555"/>
  <c r="BH555"/>
  <c r="BI555"/>
  <c r="BJ555"/>
  <c r="BK555"/>
  <c r="BA555"/>
  <c r="BB556"/>
  <c r="BC556"/>
  <c r="BD556"/>
  <c r="BE556"/>
  <c r="BF556"/>
  <c r="BG556"/>
  <c r="BH556"/>
  <c r="BI556"/>
  <c r="BJ556"/>
  <c r="BK556"/>
  <c r="BA556"/>
  <c r="BB557"/>
  <c r="BC557"/>
  <c r="BD557"/>
  <c r="BE557"/>
  <c r="BF557"/>
  <c r="BG557"/>
  <c r="BH557"/>
  <c r="BI557"/>
  <c r="BJ557"/>
  <c r="BK557"/>
  <c r="BA557"/>
  <c r="BB558"/>
  <c r="BC558"/>
  <c r="BD558"/>
  <c r="BE558"/>
  <c r="BF558"/>
  <c r="BG558"/>
  <c r="BH558"/>
  <c r="BI558"/>
  <c r="BJ558"/>
  <c r="BK558"/>
  <c r="BA558"/>
  <c r="BB559"/>
  <c r="BC559"/>
  <c r="BD559"/>
  <c r="BE559"/>
  <c r="BF559"/>
  <c r="BG559"/>
  <c r="BH559"/>
  <c r="BI559"/>
  <c r="BJ559"/>
  <c r="BK559"/>
  <c r="BA559"/>
  <c r="BB560"/>
  <c r="BC560"/>
  <c r="BD560"/>
  <c r="BE560"/>
  <c r="BF560"/>
  <c r="BG560"/>
  <c r="BH560"/>
  <c r="BI560"/>
  <c r="BJ560"/>
  <c r="BK560"/>
  <c r="BA560"/>
  <c r="BB561"/>
  <c r="BC561"/>
  <c r="BD561"/>
  <c r="BE561"/>
  <c r="BF561"/>
  <c r="BG561"/>
  <c r="BH561"/>
  <c r="BI561"/>
  <c r="BJ561"/>
  <c r="BK561"/>
  <c r="BA561"/>
  <c r="BB562"/>
  <c r="BC562"/>
  <c r="BD562"/>
  <c r="BE562"/>
  <c r="BF562"/>
  <c r="BG562"/>
  <c r="BH562"/>
  <c r="BI562"/>
  <c r="BJ562"/>
  <c r="BK562"/>
  <c r="BA562"/>
  <c r="BB563"/>
  <c r="BC563"/>
  <c r="BD563"/>
  <c r="BE563"/>
  <c r="BF563"/>
  <c r="BG563"/>
  <c r="BH563"/>
  <c r="BI563"/>
  <c r="BJ563"/>
  <c r="BK563"/>
  <c r="BA563"/>
  <c r="BB564"/>
  <c r="BC564"/>
  <c r="BD564"/>
  <c r="BE564"/>
  <c r="BF564"/>
  <c r="BG564"/>
  <c r="BH564"/>
  <c r="BI564"/>
  <c r="BJ564"/>
  <c r="BK564"/>
  <c r="BA564"/>
  <c r="BB565"/>
  <c r="BC565"/>
  <c r="BD565"/>
  <c r="BE565"/>
  <c r="BF565"/>
  <c r="BG565"/>
  <c r="BH565"/>
  <c r="BI565"/>
  <c r="BJ565"/>
  <c r="BK565"/>
  <c r="BA565"/>
  <c r="BB566"/>
  <c r="BC566"/>
  <c r="BD566"/>
  <c r="BE566"/>
  <c r="BF566"/>
  <c r="BG566"/>
  <c r="BH566"/>
  <c r="BI566"/>
  <c r="BJ566"/>
  <c r="BK566"/>
  <c r="BA566"/>
  <c r="BB567"/>
  <c r="BC567"/>
  <c r="BD567"/>
  <c r="BE567"/>
  <c r="BF567"/>
  <c r="BG567"/>
  <c r="BH567"/>
  <c r="BI567"/>
  <c r="BJ567"/>
  <c r="BK567"/>
  <c r="BA567"/>
  <c r="BB568"/>
  <c r="BC568"/>
  <c r="BD568"/>
  <c r="BE568"/>
  <c r="BF568"/>
  <c r="BG568"/>
  <c r="BH568"/>
  <c r="BI568"/>
  <c r="BJ568"/>
  <c r="BK568"/>
  <c r="BA568"/>
  <c r="BB569"/>
  <c r="BC569"/>
  <c r="BD569"/>
  <c r="BE569"/>
  <c r="BF569"/>
  <c r="BG569"/>
  <c r="BH569"/>
  <c r="BI569"/>
  <c r="BJ569"/>
  <c r="BK569"/>
  <c r="BA569"/>
  <c r="BB570"/>
  <c r="BC570"/>
  <c r="BD570"/>
  <c r="BE570"/>
  <c r="BF570"/>
  <c r="BG570"/>
  <c r="BH570"/>
  <c r="BI570"/>
  <c r="BJ570"/>
  <c r="BK570"/>
  <c r="BA570"/>
  <c r="BB571"/>
  <c r="BC571"/>
  <c r="BD571"/>
  <c r="BE571"/>
  <c r="BF571"/>
  <c r="BG571"/>
  <c r="BH571"/>
  <c r="BI571"/>
  <c r="BJ571"/>
  <c r="BK571"/>
  <c r="BA571"/>
  <c r="BB572"/>
  <c r="BC572"/>
  <c r="BD572"/>
  <c r="BE572"/>
  <c r="BF572"/>
  <c r="BG572"/>
  <c r="BH572"/>
  <c r="BI572"/>
  <c r="BJ572"/>
  <c r="BK572"/>
  <c r="BA572"/>
  <c r="BA5"/>
  <c r="E27" i="6"/>
  <c r="K21"/>
  <c r="S8" i="1"/>
  <c r="E22" i="76"/>
  <c r="G1" i="15"/>
  <c r="AH8" i="1"/>
  <c r="C1" i="65"/>
  <c r="N1"/>
  <c r="B43" i="1"/>
  <c r="B41"/>
  <c r="F32" i="15"/>
  <c r="T4" i="1"/>
  <c r="K14"/>
  <c r="M14"/>
  <c r="K19" i="6"/>
  <c r="S6" i="1"/>
  <c r="K20" i="6"/>
  <c r="S7" i="1"/>
  <c r="A9"/>
  <c r="K22" i="6"/>
  <c r="S9" i="1"/>
  <c r="A10"/>
  <c r="S10"/>
  <c r="A11"/>
  <c r="S11"/>
  <c r="A12"/>
  <c r="S12"/>
  <c r="A13"/>
  <c r="S13"/>
  <c r="S16"/>
  <c r="T8"/>
  <c r="F15" i="15"/>
  <c r="F17"/>
  <c r="F18"/>
  <c r="F20"/>
  <c r="H1" i="65"/>
  <c r="B22" i="1"/>
  <c r="C2" i="65"/>
  <c r="I1"/>
  <c r="F23" i="15"/>
  <c r="F21"/>
  <c r="F28"/>
  <c r="B2" i="1"/>
  <c r="C42"/>
  <c r="C28" i="15"/>
  <c r="F33"/>
  <c r="BM13" i="3"/>
  <c r="BN13"/>
  <c r="BO13"/>
  <c r="BP13"/>
  <c r="BL13"/>
  <c r="AZ13"/>
  <c r="BM14"/>
  <c r="BN14"/>
  <c r="BO14"/>
  <c r="BP14"/>
  <c r="BL14"/>
  <c r="AZ14"/>
  <c r="BM15"/>
  <c r="BN15"/>
  <c r="BO15"/>
  <c r="BP15"/>
  <c r="BL15"/>
  <c r="AZ15"/>
  <c r="BM16"/>
  <c r="BN16"/>
  <c r="BO16"/>
  <c r="BP16"/>
  <c r="BL16"/>
  <c r="AZ16"/>
  <c r="BM17"/>
  <c r="BN17"/>
  <c r="BO17"/>
  <c r="BP17"/>
  <c r="BL17"/>
  <c r="AZ17"/>
  <c r="BM18"/>
  <c r="BN18"/>
  <c r="BO18"/>
  <c r="BP18"/>
  <c r="BL18"/>
  <c r="AZ18"/>
  <c r="BM19"/>
  <c r="BN19"/>
  <c r="BO19"/>
  <c r="BP19"/>
  <c r="BL19"/>
  <c r="AZ19"/>
  <c r="BM20"/>
  <c r="BN20"/>
  <c r="BO20"/>
  <c r="BP20"/>
  <c r="BL20"/>
  <c r="AZ20"/>
  <c r="BM21"/>
  <c r="BN21"/>
  <c r="BO21"/>
  <c r="BP21"/>
  <c r="BL21"/>
  <c r="AZ21"/>
  <c r="BM22"/>
  <c r="BN22"/>
  <c r="BO22"/>
  <c r="BP22"/>
  <c r="BL22"/>
  <c r="AZ22"/>
  <c r="BM23"/>
  <c r="BN23"/>
  <c r="BO23"/>
  <c r="BP23"/>
  <c r="BL23"/>
  <c r="AZ23"/>
  <c r="BM24"/>
  <c r="BN24"/>
  <c r="BO24"/>
  <c r="BP24"/>
  <c r="BL24"/>
  <c r="AZ24"/>
  <c r="BM25"/>
  <c r="BN25"/>
  <c r="BO25"/>
  <c r="BP25"/>
  <c r="BL25"/>
  <c r="AZ25"/>
  <c r="BM26"/>
  <c r="BN26"/>
  <c r="BO26"/>
  <c r="BP26"/>
  <c r="BL26"/>
  <c r="AZ26"/>
  <c r="BM27"/>
  <c r="BN27"/>
  <c r="BO27"/>
  <c r="BP27"/>
  <c r="BL27"/>
  <c r="AZ27"/>
  <c r="BM28"/>
  <c r="BN28"/>
  <c r="BO28"/>
  <c r="BP28"/>
  <c r="BL28"/>
  <c r="AZ28"/>
  <c r="BM29"/>
  <c r="BN29"/>
  <c r="BO29"/>
  <c r="BP29"/>
  <c r="BL29"/>
  <c r="AZ29"/>
  <c r="BM30"/>
  <c r="BN30"/>
  <c r="BO30"/>
  <c r="BP30"/>
  <c r="BL30"/>
  <c r="AZ30"/>
  <c r="BM31"/>
  <c r="BN31"/>
  <c r="BO31"/>
  <c r="BP31"/>
  <c r="BL31"/>
  <c r="AZ31"/>
  <c r="BM32"/>
  <c r="BN32"/>
  <c r="BO32"/>
  <c r="BP32"/>
  <c r="BL32"/>
  <c r="AZ32"/>
  <c r="BM33"/>
  <c r="BN33"/>
  <c r="BO33"/>
  <c r="BP33"/>
  <c r="BL33"/>
  <c r="AZ33"/>
  <c r="BM34"/>
  <c r="BN34"/>
  <c r="BO34"/>
  <c r="BP34"/>
  <c r="BL34"/>
  <c r="AZ34"/>
  <c r="BM35"/>
  <c r="BN35"/>
  <c r="BO35"/>
  <c r="BP35"/>
  <c r="BL35"/>
  <c r="AZ35"/>
  <c r="BM36"/>
  <c r="BN36"/>
  <c r="BO36"/>
  <c r="BP36"/>
  <c r="BL36"/>
  <c r="AZ36"/>
  <c r="BM37"/>
  <c r="BN37"/>
  <c r="BO37"/>
  <c r="BP37"/>
  <c r="BL37"/>
  <c r="AZ37"/>
  <c r="BM38"/>
  <c r="BN38"/>
  <c r="BO38"/>
  <c r="BP38"/>
  <c r="BL38"/>
  <c r="AZ38"/>
  <c r="BM39"/>
  <c r="BN39"/>
  <c r="BO39"/>
  <c r="BP39"/>
  <c r="BL39"/>
  <c r="AZ39"/>
  <c r="BM40"/>
  <c r="BN40"/>
  <c r="BO40"/>
  <c r="BP40"/>
  <c r="BL40"/>
  <c r="AZ40"/>
  <c r="BM41"/>
  <c r="BN41"/>
  <c r="BO41"/>
  <c r="BP41"/>
  <c r="BL41"/>
  <c r="AZ41"/>
  <c r="BM42"/>
  <c r="BN42"/>
  <c r="BO42"/>
  <c r="BP42"/>
  <c r="BL42"/>
  <c r="AZ42"/>
  <c r="BM43"/>
  <c r="BN43"/>
  <c r="BO43"/>
  <c r="BP43"/>
  <c r="BL43"/>
  <c r="AZ43"/>
  <c r="BM44"/>
  <c r="BN44"/>
  <c r="BO44"/>
  <c r="BP44"/>
  <c r="BL44"/>
  <c r="AZ44"/>
  <c r="BM45"/>
  <c r="BN45"/>
  <c r="BO45"/>
  <c r="BP45"/>
  <c r="BL45"/>
  <c r="AZ45"/>
  <c r="BM46"/>
  <c r="BN46"/>
  <c r="BO46"/>
  <c r="BP46"/>
  <c r="BL46"/>
  <c r="AZ46"/>
  <c r="BM47"/>
  <c r="BN47"/>
  <c r="BO47"/>
  <c r="BP47"/>
  <c r="BL47"/>
  <c r="AZ47"/>
  <c r="BM48"/>
  <c r="BN48"/>
  <c r="BO48"/>
  <c r="BP48"/>
  <c r="BL48"/>
  <c r="AZ48"/>
  <c r="BM49"/>
  <c r="BN49"/>
  <c r="BO49"/>
  <c r="BP49"/>
  <c r="BL49"/>
  <c r="AZ49"/>
  <c r="BM50"/>
  <c r="BN50"/>
  <c r="BO50"/>
  <c r="BP50"/>
  <c r="BL50"/>
  <c r="AZ50"/>
  <c r="BM51"/>
  <c r="BN51"/>
  <c r="BO51"/>
  <c r="BP51"/>
  <c r="BL51"/>
  <c r="AZ51"/>
  <c r="BM52"/>
  <c r="BN52"/>
  <c r="BO52"/>
  <c r="BP52"/>
  <c r="BL52"/>
  <c r="AZ52"/>
  <c r="BM53"/>
  <c r="BN53"/>
  <c r="BO53"/>
  <c r="BP53"/>
  <c r="BL53"/>
  <c r="AZ53"/>
  <c r="BM54"/>
  <c r="BN54"/>
  <c r="BO54"/>
  <c r="BP54"/>
  <c r="BL54"/>
  <c r="AZ54"/>
  <c r="BM55"/>
  <c r="BN55"/>
  <c r="BO55"/>
  <c r="BP55"/>
  <c r="BL55"/>
  <c r="AZ55"/>
  <c r="BM56"/>
  <c r="BN56"/>
  <c r="BO56"/>
  <c r="BP56"/>
  <c r="BL56"/>
  <c r="AZ56"/>
  <c r="BM57"/>
  <c r="BN57"/>
  <c r="BO57"/>
  <c r="BP57"/>
  <c r="BL57"/>
  <c r="AZ57"/>
  <c r="BM58"/>
  <c r="BN58"/>
  <c r="BO58"/>
  <c r="BP58"/>
  <c r="BL58"/>
  <c r="AZ58"/>
  <c r="BM59"/>
  <c r="BN59"/>
  <c r="BO59"/>
  <c r="BP59"/>
  <c r="BL59"/>
  <c r="AZ59"/>
  <c r="BM60"/>
  <c r="BN60"/>
  <c r="BO60"/>
  <c r="BP60"/>
  <c r="BL60"/>
  <c r="AZ60"/>
  <c r="BM61"/>
  <c r="BN61"/>
  <c r="BO61"/>
  <c r="BP61"/>
  <c r="BL61"/>
  <c r="AZ61"/>
  <c r="BM62"/>
  <c r="BN62"/>
  <c r="BO62"/>
  <c r="BP62"/>
  <c r="BL62"/>
  <c r="AZ62"/>
  <c r="BM63"/>
  <c r="BN63"/>
  <c r="BO63"/>
  <c r="BP63"/>
  <c r="BL63"/>
  <c r="AZ63"/>
  <c r="BM64"/>
  <c r="BN64"/>
  <c r="BO64"/>
  <c r="BP64"/>
  <c r="BL64"/>
  <c r="AZ64"/>
  <c r="BM65"/>
  <c r="BN65"/>
  <c r="BO65"/>
  <c r="BP65"/>
  <c r="BL65"/>
  <c r="AZ65"/>
  <c r="BM66"/>
  <c r="BN66"/>
  <c r="BO66"/>
  <c r="BP66"/>
  <c r="BL66"/>
  <c r="AZ66"/>
  <c r="BM67"/>
  <c r="BN67"/>
  <c r="BO67"/>
  <c r="BP67"/>
  <c r="BL67"/>
  <c r="AZ67"/>
  <c r="BM68"/>
  <c r="BN68"/>
  <c r="BO68"/>
  <c r="BP68"/>
  <c r="BL68"/>
  <c r="AZ68"/>
  <c r="BM69"/>
  <c r="BN69"/>
  <c r="BO69"/>
  <c r="BP69"/>
  <c r="BL69"/>
  <c r="AZ69"/>
  <c r="BM70"/>
  <c r="BN70"/>
  <c r="BO70"/>
  <c r="BP70"/>
  <c r="BL70"/>
  <c r="AZ70"/>
  <c r="BM71"/>
  <c r="BN71"/>
  <c r="BO71"/>
  <c r="BP71"/>
  <c r="BL71"/>
  <c r="AZ71"/>
  <c r="BM72"/>
  <c r="BN72"/>
  <c r="BO72"/>
  <c r="BP72"/>
  <c r="BL72"/>
  <c r="AZ72"/>
  <c r="BM73"/>
  <c r="BN73"/>
  <c r="BO73"/>
  <c r="BP73"/>
  <c r="BL73"/>
  <c r="AZ73"/>
  <c r="BM74"/>
  <c r="BN74"/>
  <c r="BO74"/>
  <c r="BP74"/>
  <c r="BL74"/>
  <c r="AZ74"/>
  <c r="BM75"/>
  <c r="BN75"/>
  <c r="BO75"/>
  <c r="BP75"/>
  <c r="BL75"/>
  <c r="AZ75"/>
  <c r="BM76"/>
  <c r="BN76"/>
  <c r="BO76"/>
  <c r="BP76"/>
  <c r="BL76"/>
  <c r="AZ76"/>
  <c r="BM77"/>
  <c r="BN77"/>
  <c r="BO77"/>
  <c r="BP77"/>
  <c r="BL77"/>
  <c r="AZ77"/>
  <c r="BM78"/>
  <c r="BN78"/>
  <c r="BO78"/>
  <c r="BP78"/>
  <c r="BL78"/>
  <c r="AZ78"/>
  <c r="BM79"/>
  <c r="BN79"/>
  <c r="BO79"/>
  <c r="BP79"/>
  <c r="BL79"/>
  <c r="AZ79"/>
  <c r="BM80"/>
  <c r="BN80"/>
  <c r="BO80"/>
  <c r="BP80"/>
  <c r="BL80"/>
  <c r="AZ80"/>
  <c r="BM81"/>
  <c r="BN81"/>
  <c r="BO81"/>
  <c r="BP81"/>
  <c r="BL81"/>
  <c r="AZ81"/>
  <c r="BM82"/>
  <c r="BN82"/>
  <c r="BO82"/>
  <c r="BP82"/>
  <c r="BL82"/>
  <c r="AZ82"/>
  <c r="BM83"/>
  <c r="BN83"/>
  <c r="BO83"/>
  <c r="BP83"/>
  <c r="BL83"/>
  <c r="AZ83"/>
  <c r="BM84"/>
  <c r="BN84"/>
  <c r="BO84"/>
  <c r="BP84"/>
  <c r="BL84"/>
  <c r="AZ84"/>
  <c r="BM85"/>
  <c r="BN85"/>
  <c r="BO85"/>
  <c r="BP85"/>
  <c r="BL85"/>
  <c r="AZ85"/>
  <c r="BM86"/>
  <c r="BN86"/>
  <c r="BO86"/>
  <c r="BP86"/>
  <c r="BL86"/>
  <c r="AZ86"/>
  <c r="BM87"/>
  <c r="BN87"/>
  <c r="BO87"/>
  <c r="BP87"/>
  <c r="BL87"/>
  <c r="AZ87"/>
  <c r="BM88"/>
  <c r="BN88"/>
  <c r="BO88"/>
  <c r="BP88"/>
  <c r="BL88"/>
  <c r="AZ88"/>
  <c r="BM89"/>
  <c r="BN89"/>
  <c r="BO89"/>
  <c r="BP89"/>
  <c r="BL89"/>
  <c r="AZ89"/>
  <c r="BM90"/>
  <c r="BN90"/>
  <c r="BO90"/>
  <c r="BP90"/>
  <c r="BL90"/>
  <c r="AZ90"/>
  <c r="BM91"/>
  <c r="BN91"/>
  <c r="BO91"/>
  <c r="BP91"/>
  <c r="BL91"/>
  <c r="AZ91"/>
  <c r="BM92"/>
  <c r="BN92"/>
  <c r="BO92"/>
  <c r="BP92"/>
  <c r="BL92"/>
  <c r="AZ92"/>
  <c r="BM93"/>
  <c r="BN93"/>
  <c r="BO93"/>
  <c r="BP93"/>
  <c r="BL93"/>
  <c r="AZ93"/>
  <c r="BM94"/>
  <c r="BN94"/>
  <c r="BO94"/>
  <c r="BP94"/>
  <c r="BL94"/>
  <c r="AZ94"/>
  <c r="BM95"/>
  <c r="BN95"/>
  <c r="BO95"/>
  <c r="BP95"/>
  <c r="BL95"/>
  <c r="AZ95"/>
  <c r="BM96"/>
  <c r="BN96"/>
  <c r="BO96"/>
  <c r="BP96"/>
  <c r="BL96"/>
  <c r="AZ96"/>
  <c r="BM97"/>
  <c r="BN97"/>
  <c r="BO97"/>
  <c r="BP97"/>
  <c r="BL97"/>
  <c r="AZ97"/>
  <c r="BM98"/>
  <c r="BN98"/>
  <c r="BO98"/>
  <c r="BP98"/>
  <c r="BL98"/>
  <c r="AZ98"/>
  <c r="BM99"/>
  <c r="BN99"/>
  <c r="BO99"/>
  <c r="BP99"/>
  <c r="BL99"/>
  <c r="AZ99"/>
  <c r="BM100"/>
  <c r="BN100"/>
  <c r="BO100"/>
  <c r="BP100"/>
  <c r="BL100"/>
  <c r="AZ100"/>
  <c r="BM101"/>
  <c r="BN101"/>
  <c r="BO101"/>
  <c r="BP101"/>
  <c r="BL101"/>
  <c r="AZ101"/>
  <c r="BM102"/>
  <c r="BN102"/>
  <c r="BO102"/>
  <c r="BP102"/>
  <c r="BL102"/>
  <c r="AZ102"/>
  <c r="BM103"/>
  <c r="BN103"/>
  <c r="BO103"/>
  <c r="BP103"/>
  <c r="BL103"/>
  <c r="AZ103"/>
  <c r="BM104"/>
  <c r="BN104"/>
  <c r="BO104"/>
  <c r="BP104"/>
  <c r="BL104"/>
  <c r="AZ104"/>
  <c r="BM105"/>
  <c r="BN105"/>
  <c r="BO105"/>
  <c r="BP105"/>
  <c r="BL105"/>
  <c r="AZ105"/>
  <c r="BM106"/>
  <c r="BN106"/>
  <c r="BO106"/>
  <c r="BP106"/>
  <c r="BL106"/>
  <c r="AZ106"/>
  <c r="BM107"/>
  <c r="BN107"/>
  <c r="BO107"/>
  <c r="BP107"/>
  <c r="BL107"/>
  <c r="AZ107"/>
  <c r="BM108"/>
  <c r="BN108"/>
  <c r="BO108"/>
  <c r="BP108"/>
  <c r="BL108"/>
  <c r="AZ108"/>
  <c r="BM109"/>
  <c r="BN109"/>
  <c r="BO109"/>
  <c r="BP109"/>
  <c r="BL109"/>
  <c r="AZ109"/>
  <c r="BM110"/>
  <c r="BN110"/>
  <c r="BO110"/>
  <c r="BP110"/>
  <c r="BL110"/>
  <c r="AZ110"/>
  <c r="BM111"/>
  <c r="BN111"/>
  <c r="BO111"/>
  <c r="BP111"/>
  <c r="BL111"/>
  <c r="AZ111"/>
  <c r="BM112"/>
  <c r="BN112"/>
  <c r="BO112"/>
  <c r="BP112"/>
  <c r="BL112"/>
  <c r="AZ112"/>
  <c r="BM113"/>
  <c r="BN113"/>
  <c r="BO113"/>
  <c r="BP113"/>
  <c r="BL113"/>
  <c r="AZ113"/>
  <c r="BM114"/>
  <c r="BN114"/>
  <c r="BO114"/>
  <c r="BP114"/>
  <c r="BL114"/>
  <c r="AZ114"/>
  <c r="BM115"/>
  <c r="BN115"/>
  <c r="BO115"/>
  <c r="BP115"/>
  <c r="BL115"/>
  <c r="AZ115"/>
  <c r="BM116"/>
  <c r="BN116"/>
  <c r="BO116"/>
  <c r="BP116"/>
  <c r="BL116"/>
  <c r="AZ116"/>
  <c r="BM117"/>
  <c r="BN117"/>
  <c r="BO117"/>
  <c r="BP117"/>
  <c r="BL117"/>
  <c r="AZ117"/>
  <c r="BM118"/>
  <c r="BN118"/>
  <c r="BO118"/>
  <c r="BP118"/>
  <c r="BL118"/>
  <c r="AZ118"/>
  <c r="BM119"/>
  <c r="BN119"/>
  <c r="BO119"/>
  <c r="BP119"/>
  <c r="BL119"/>
  <c r="AZ119"/>
  <c r="BM120"/>
  <c r="BN120"/>
  <c r="BO120"/>
  <c r="BP120"/>
  <c r="BL120"/>
  <c r="AZ120"/>
  <c r="BM121"/>
  <c r="BN121"/>
  <c r="BO121"/>
  <c r="BP121"/>
  <c r="BL121"/>
  <c r="AZ121"/>
  <c r="BM122"/>
  <c r="BN122"/>
  <c r="BO122"/>
  <c r="BP122"/>
  <c r="BL122"/>
  <c r="AZ122"/>
  <c r="BM123"/>
  <c r="BN123"/>
  <c r="BO123"/>
  <c r="BP123"/>
  <c r="BL123"/>
  <c r="AZ123"/>
  <c r="BM124"/>
  <c r="BN124"/>
  <c r="BO124"/>
  <c r="BP124"/>
  <c r="BL124"/>
  <c r="AZ124"/>
  <c r="BM125"/>
  <c r="BN125"/>
  <c r="BO125"/>
  <c r="BP125"/>
  <c r="BL125"/>
  <c r="AZ125"/>
  <c r="BM126"/>
  <c r="BN126"/>
  <c r="BO126"/>
  <c r="BP126"/>
  <c r="BL126"/>
  <c r="AZ126"/>
  <c r="BM127"/>
  <c r="BN127"/>
  <c r="BO127"/>
  <c r="BP127"/>
  <c r="BL127"/>
  <c r="AZ127"/>
  <c r="BM128"/>
  <c r="BN128"/>
  <c r="BO128"/>
  <c r="BP128"/>
  <c r="BL128"/>
  <c r="AZ128"/>
  <c r="BM129"/>
  <c r="BN129"/>
  <c r="BO129"/>
  <c r="BP129"/>
  <c r="BL129"/>
  <c r="AZ129"/>
  <c r="BM130"/>
  <c r="BN130"/>
  <c r="BO130"/>
  <c r="BP130"/>
  <c r="BL130"/>
  <c r="AZ130"/>
  <c r="BM131"/>
  <c r="BN131"/>
  <c r="BO131"/>
  <c r="BP131"/>
  <c r="BL131"/>
  <c r="AZ131"/>
  <c r="BM132"/>
  <c r="BN132"/>
  <c r="BO132"/>
  <c r="BP132"/>
  <c r="BL132"/>
  <c r="AZ132"/>
  <c r="BM133"/>
  <c r="BN133"/>
  <c r="BO133"/>
  <c r="BP133"/>
  <c r="BL133"/>
  <c r="AZ133"/>
  <c r="BM134"/>
  <c r="BN134"/>
  <c r="BO134"/>
  <c r="BP134"/>
  <c r="BL134"/>
  <c r="AZ134"/>
  <c r="BM135"/>
  <c r="BN135"/>
  <c r="BO135"/>
  <c r="BP135"/>
  <c r="BL135"/>
  <c r="AZ135"/>
  <c r="BM136"/>
  <c r="BN136"/>
  <c r="BO136"/>
  <c r="BP136"/>
  <c r="BL136"/>
  <c r="AZ136"/>
  <c r="BM137"/>
  <c r="BN137"/>
  <c r="BO137"/>
  <c r="BP137"/>
  <c r="BL137"/>
  <c r="AZ137"/>
  <c r="BM138"/>
  <c r="BN138"/>
  <c r="BO138"/>
  <c r="BP138"/>
  <c r="BL138"/>
  <c r="AZ138"/>
  <c r="BM139"/>
  <c r="BN139"/>
  <c r="BO139"/>
  <c r="BP139"/>
  <c r="BL139"/>
  <c r="AZ139"/>
  <c r="BM140"/>
  <c r="BN140"/>
  <c r="BO140"/>
  <c r="BP140"/>
  <c r="BL140"/>
  <c r="AZ140"/>
  <c r="BM141"/>
  <c r="BN141"/>
  <c r="BO141"/>
  <c r="BP141"/>
  <c r="BL141"/>
  <c r="AZ141"/>
  <c r="BM142"/>
  <c r="BN142"/>
  <c r="BO142"/>
  <c r="BP142"/>
  <c r="BL142"/>
  <c r="AZ142"/>
  <c r="BM143"/>
  <c r="BN143"/>
  <c r="BO143"/>
  <c r="BP143"/>
  <c r="BL143"/>
  <c r="AZ143"/>
  <c r="BM144"/>
  <c r="BN144"/>
  <c r="BO144"/>
  <c r="BP144"/>
  <c r="BL144"/>
  <c r="AZ144"/>
  <c r="BM145"/>
  <c r="BN145"/>
  <c r="BO145"/>
  <c r="BP145"/>
  <c r="BL145"/>
  <c r="AZ145"/>
  <c r="BM146"/>
  <c r="BN146"/>
  <c r="BO146"/>
  <c r="BP146"/>
  <c r="BL146"/>
  <c r="AZ146"/>
  <c r="BM147"/>
  <c r="BN147"/>
  <c r="BO147"/>
  <c r="BP147"/>
  <c r="BL147"/>
  <c r="AZ147"/>
  <c r="BM148"/>
  <c r="BN148"/>
  <c r="BO148"/>
  <c r="BP148"/>
  <c r="BL148"/>
  <c r="AZ148"/>
  <c r="BM149"/>
  <c r="BN149"/>
  <c r="BO149"/>
  <c r="BP149"/>
  <c r="BL149"/>
  <c r="AZ149"/>
  <c r="BM150"/>
  <c r="BN150"/>
  <c r="BO150"/>
  <c r="BP150"/>
  <c r="BL150"/>
  <c r="AZ150"/>
  <c r="BM151"/>
  <c r="BN151"/>
  <c r="BO151"/>
  <c r="BP151"/>
  <c r="BL151"/>
  <c r="AZ151"/>
  <c r="BM152"/>
  <c r="BN152"/>
  <c r="BO152"/>
  <c r="BP152"/>
  <c r="BL152"/>
  <c r="AZ152"/>
  <c r="BM153"/>
  <c r="BN153"/>
  <c r="BO153"/>
  <c r="BP153"/>
  <c r="BL153"/>
  <c r="AZ153"/>
  <c r="BM154"/>
  <c r="BN154"/>
  <c r="BO154"/>
  <c r="BP154"/>
  <c r="BL154"/>
  <c r="AZ154"/>
  <c r="BM155"/>
  <c r="BN155"/>
  <c r="BO155"/>
  <c r="BP155"/>
  <c r="BL155"/>
  <c r="AZ155"/>
  <c r="BM156"/>
  <c r="BN156"/>
  <c r="BO156"/>
  <c r="BP156"/>
  <c r="BL156"/>
  <c r="AZ156"/>
  <c r="BM157"/>
  <c r="BN157"/>
  <c r="BO157"/>
  <c r="BP157"/>
  <c r="BL157"/>
  <c r="AZ157"/>
  <c r="BM158"/>
  <c r="BN158"/>
  <c r="BO158"/>
  <c r="BP158"/>
  <c r="BL158"/>
  <c r="AZ158"/>
  <c r="BM159"/>
  <c r="BN159"/>
  <c r="BO159"/>
  <c r="BP159"/>
  <c r="BL159"/>
  <c r="AZ159"/>
  <c r="BM160"/>
  <c r="BN160"/>
  <c r="BO160"/>
  <c r="BP160"/>
  <c r="BL160"/>
  <c r="AZ160"/>
  <c r="BM161"/>
  <c r="BN161"/>
  <c r="BO161"/>
  <c r="BP161"/>
  <c r="BL161"/>
  <c r="AZ161"/>
  <c r="BM162"/>
  <c r="BN162"/>
  <c r="BO162"/>
  <c r="BP162"/>
  <c r="BL162"/>
  <c r="AZ162"/>
  <c r="BM163"/>
  <c r="BN163"/>
  <c r="BO163"/>
  <c r="BP163"/>
  <c r="BL163"/>
  <c r="AZ163"/>
  <c r="BM164"/>
  <c r="BN164"/>
  <c r="BO164"/>
  <c r="BP164"/>
  <c r="BL164"/>
  <c r="AZ164"/>
  <c r="BM165"/>
  <c r="BN165"/>
  <c r="BO165"/>
  <c r="BP165"/>
  <c r="BL165"/>
  <c r="AZ165"/>
  <c r="BM166"/>
  <c r="BN166"/>
  <c r="BO166"/>
  <c r="BP166"/>
  <c r="BL166"/>
  <c r="AZ166"/>
  <c r="BM167"/>
  <c r="BN167"/>
  <c r="BO167"/>
  <c r="BP167"/>
  <c r="BL167"/>
  <c r="AZ167"/>
  <c r="BM168"/>
  <c r="BN168"/>
  <c r="BO168"/>
  <c r="BP168"/>
  <c r="BL168"/>
  <c r="AZ168"/>
  <c r="BM169"/>
  <c r="BN169"/>
  <c r="BO169"/>
  <c r="BP169"/>
  <c r="BL169"/>
  <c r="AZ169"/>
  <c r="BM170"/>
  <c r="BN170"/>
  <c r="BO170"/>
  <c r="BP170"/>
  <c r="BL170"/>
  <c r="AZ170"/>
  <c r="BM171"/>
  <c r="BN171"/>
  <c r="BO171"/>
  <c r="BP171"/>
  <c r="BL171"/>
  <c r="AZ171"/>
  <c r="BM172"/>
  <c r="BN172"/>
  <c r="BO172"/>
  <c r="BP172"/>
  <c r="BL172"/>
  <c r="AZ172"/>
  <c r="BM173"/>
  <c r="BN173"/>
  <c r="BO173"/>
  <c r="BP173"/>
  <c r="BL173"/>
  <c r="AZ173"/>
  <c r="BM174"/>
  <c r="BN174"/>
  <c r="BO174"/>
  <c r="BP174"/>
  <c r="BL174"/>
  <c r="AZ174"/>
  <c r="BM175"/>
  <c r="BN175"/>
  <c r="BO175"/>
  <c r="BP175"/>
  <c r="BL175"/>
  <c r="AZ175"/>
  <c r="BM176"/>
  <c r="BN176"/>
  <c r="BO176"/>
  <c r="BP176"/>
  <c r="BL176"/>
  <c r="AZ176"/>
  <c r="BM177"/>
  <c r="BN177"/>
  <c r="BO177"/>
  <c r="BP177"/>
  <c r="BL177"/>
  <c r="AZ177"/>
  <c r="BM178"/>
  <c r="BN178"/>
  <c r="BO178"/>
  <c r="BP178"/>
  <c r="BL178"/>
  <c r="AZ178"/>
  <c r="BM179"/>
  <c r="BN179"/>
  <c r="BO179"/>
  <c r="BP179"/>
  <c r="BL179"/>
  <c r="AZ179"/>
  <c r="BM180"/>
  <c r="BN180"/>
  <c r="BO180"/>
  <c r="BP180"/>
  <c r="BL180"/>
  <c r="AZ180"/>
  <c r="BM181"/>
  <c r="BN181"/>
  <c r="BO181"/>
  <c r="BP181"/>
  <c r="BL181"/>
  <c r="AZ181"/>
  <c r="BM182"/>
  <c r="BN182"/>
  <c r="BO182"/>
  <c r="BP182"/>
  <c r="BL182"/>
  <c r="AZ182"/>
  <c r="BM183"/>
  <c r="BN183"/>
  <c r="BO183"/>
  <c r="BP183"/>
  <c r="BL183"/>
  <c r="AZ183"/>
  <c r="BM184"/>
  <c r="BN184"/>
  <c r="BO184"/>
  <c r="BP184"/>
  <c r="BL184"/>
  <c r="AZ184"/>
  <c r="BM185"/>
  <c r="BN185"/>
  <c r="BO185"/>
  <c r="BP185"/>
  <c r="BL185"/>
  <c r="AZ185"/>
  <c r="BM186"/>
  <c r="BN186"/>
  <c r="BO186"/>
  <c r="BP186"/>
  <c r="BL186"/>
  <c r="AZ186"/>
  <c r="BM187"/>
  <c r="BN187"/>
  <c r="BO187"/>
  <c r="BP187"/>
  <c r="BL187"/>
  <c r="AZ187"/>
  <c r="BM188"/>
  <c r="BN188"/>
  <c r="BO188"/>
  <c r="BP188"/>
  <c r="BL188"/>
  <c r="AZ188"/>
  <c r="BM189"/>
  <c r="BN189"/>
  <c r="BO189"/>
  <c r="BP189"/>
  <c r="BL189"/>
  <c r="AZ189"/>
  <c r="BM190"/>
  <c r="BN190"/>
  <c r="BO190"/>
  <c r="BP190"/>
  <c r="BL190"/>
  <c r="AZ190"/>
  <c r="BM191"/>
  <c r="BN191"/>
  <c r="BO191"/>
  <c r="BP191"/>
  <c r="BL191"/>
  <c r="AZ191"/>
  <c r="BM192"/>
  <c r="BN192"/>
  <c r="BO192"/>
  <c r="BP192"/>
  <c r="BL192"/>
  <c r="AZ192"/>
  <c r="BM193"/>
  <c r="BN193"/>
  <c r="BO193"/>
  <c r="BP193"/>
  <c r="BL193"/>
  <c r="AZ193"/>
  <c r="BM194"/>
  <c r="BN194"/>
  <c r="BO194"/>
  <c r="BP194"/>
  <c r="BL194"/>
  <c r="AZ194"/>
  <c r="BM195"/>
  <c r="BN195"/>
  <c r="BO195"/>
  <c r="BP195"/>
  <c r="BL195"/>
  <c r="AZ195"/>
  <c r="BM196"/>
  <c r="BN196"/>
  <c r="BO196"/>
  <c r="BP196"/>
  <c r="BL196"/>
  <c r="AZ196"/>
  <c r="BM197"/>
  <c r="BN197"/>
  <c r="BO197"/>
  <c r="BP197"/>
  <c r="BL197"/>
  <c r="AZ197"/>
  <c r="BM198"/>
  <c r="BN198"/>
  <c r="BO198"/>
  <c r="BP198"/>
  <c r="BL198"/>
  <c r="AZ198"/>
  <c r="BM199"/>
  <c r="BN199"/>
  <c r="BO199"/>
  <c r="BP199"/>
  <c r="BL199"/>
  <c r="AZ199"/>
  <c r="BM200"/>
  <c r="BN200"/>
  <c r="BO200"/>
  <c r="BP200"/>
  <c r="BL200"/>
  <c r="AZ200"/>
  <c r="BM201"/>
  <c r="BN201"/>
  <c r="BO201"/>
  <c r="BP201"/>
  <c r="BL201"/>
  <c r="AZ201"/>
  <c r="BM202"/>
  <c r="BN202"/>
  <c r="BO202"/>
  <c r="BP202"/>
  <c r="BL202"/>
  <c r="AZ202"/>
  <c r="BM203"/>
  <c r="BN203"/>
  <c r="BO203"/>
  <c r="BP203"/>
  <c r="BL203"/>
  <c r="AZ203"/>
  <c r="BM204"/>
  <c r="BN204"/>
  <c r="BO204"/>
  <c r="BP204"/>
  <c r="BL204"/>
  <c r="AZ204"/>
  <c r="BM205"/>
  <c r="BN205"/>
  <c r="BO205"/>
  <c r="BP205"/>
  <c r="BL205"/>
  <c r="AZ205"/>
  <c r="BM206"/>
  <c r="BN206"/>
  <c r="BO206"/>
  <c r="BP206"/>
  <c r="BL206"/>
  <c r="AZ206"/>
  <c r="BM207"/>
  <c r="BN207"/>
  <c r="BO207"/>
  <c r="BP207"/>
  <c r="BL207"/>
  <c r="AZ207"/>
  <c r="BM208"/>
  <c r="BN208"/>
  <c r="BO208"/>
  <c r="BP208"/>
  <c r="BL208"/>
  <c r="AZ208"/>
  <c r="BM209"/>
  <c r="BN209"/>
  <c r="BO209"/>
  <c r="BP209"/>
  <c r="BL209"/>
  <c r="AZ209"/>
  <c r="BM210"/>
  <c r="BN210"/>
  <c r="BO210"/>
  <c r="BP210"/>
  <c r="BL210"/>
  <c r="AZ210"/>
  <c r="BM211"/>
  <c r="BN211"/>
  <c r="BO211"/>
  <c r="BP211"/>
  <c r="BL211"/>
  <c r="AZ211"/>
  <c r="BM212"/>
  <c r="BN212"/>
  <c r="BO212"/>
  <c r="BP212"/>
  <c r="BL212"/>
  <c r="AZ212"/>
  <c r="BM213"/>
  <c r="BN213"/>
  <c r="BO213"/>
  <c r="BP213"/>
  <c r="BL213"/>
  <c r="AZ213"/>
  <c r="BM214"/>
  <c r="BN214"/>
  <c r="BO214"/>
  <c r="BP214"/>
  <c r="BL214"/>
  <c r="AZ214"/>
  <c r="BM215"/>
  <c r="BN215"/>
  <c r="BO215"/>
  <c r="BP215"/>
  <c r="BL215"/>
  <c r="AZ215"/>
  <c r="BM216"/>
  <c r="BN216"/>
  <c r="BO216"/>
  <c r="BP216"/>
  <c r="BL216"/>
  <c r="AZ216"/>
  <c r="BM217"/>
  <c r="BN217"/>
  <c r="BO217"/>
  <c r="BP217"/>
  <c r="BL217"/>
  <c r="AZ217"/>
  <c r="BM218"/>
  <c r="BN218"/>
  <c r="BO218"/>
  <c r="BP218"/>
  <c r="BL218"/>
  <c r="AZ218"/>
  <c r="BM219"/>
  <c r="BN219"/>
  <c r="BO219"/>
  <c r="BP219"/>
  <c r="BL219"/>
  <c r="AZ219"/>
  <c r="BM220"/>
  <c r="BN220"/>
  <c r="BO220"/>
  <c r="BP220"/>
  <c r="BL220"/>
  <c r="AZ220"/>
  <c r="BM221"/>
  <c r="BN221"/>
  <c r="BO221"/>
  <c r="BP221"/>
  <c r="BL221"/>
  <c r="AZ221"/>
  <c r="BM222"/>
  <c r="BN222"/>
  <c r="BO222"/>
  <c r="BP222"/>
  <c r="BL222"/>
  <c r="AZ222"/>
  <c r="BM223"/>
  <c r="BN223"/>
  <c r="BO223"/>
  <c r="BP223"/>
  <c r="BL223"/>
  <c r="AZ223"/>
  <c r="BM224"/>
  <c r="BN224"/>
  <c r="BO224"/>
  <c r="BP224"/>
  <c r="BL224"/>
  <c r="AZ224"/>
  <c r="BM225"/>
  <c r="BN225"/>
  <c r="BO225"/>
  <c r="BP225"/>
  <c r="BL225"/>
  <c r="AZ225"/>
  <c r="BM226"/>
  <c r="BN226"/>
  <c r="BO226"/>
  <c r="BP226"/>
  <c r="BL226"/>
  <c r="AZ226"/>
  <c r="BM227"/>
  <c r="BN227"/>
  <c r="BO227"/>
  <c r="BP227"/>
  <c r="BL227"/>
  <c r="AZ227"/>
  <c r="BM228"/>
  <c r="BN228"/>
  <c r="BO228"/>
  <c r="BP228"/>
  <c r="BL228"/>
  <c r="AZ228"/>
  <c r="BM229"/>
  <c r="BN229"/>
  <c r="BO229"/>
  <c r="BP229"/>
  <c r="BL229"/>
  <c r="AZ229"/>
  <c r="BM230"/>
  <c r="BN230"/>
  <c r="BO230"/>
  <c r="BP230"/>
  <c r="BL230"/>
  <c r="AZ230"/>
  <c r="BM231"/>
  <c r="BN231"/>
  <c r="BO231"/>
  <c r="BP231"/>
  <c r="BL231"/>
  <c r="AZ231"/>
  <c r="BM232"/>
  <c r="BN232"/>
  <c r="BO232"/>
  <c r="BP232"/>
  <c r="BL232"/>
  <c r="AZ232"/>
  <c r="BM233"/>
  <c r="BN233"/>
  <c r="BO233"/>
  <c r="BP233"/>
  <c r="BL233"/>
  <c r="AZ233"/>
  <c r="BM234"/>
  <c r="BN234"/>
  <c r="BO234"/>
  <c r="BP234"/>
  <c r="BL234"/>
  <c r="AZ234"/>
  <c r="BM235"/>
  <c r="BN235"/>
  <c r="BO235"/>
  <c r="BP235"/>
  <c r="BL235"/>
  <c r="AZ235"/>
  <c r="BM236"/>
  <c r="BN236"/>
  <c r="BO236"/>
  <c r="BP236"/>
  <c r="BL236"/>
  <c r="AZ236"/>
  <c r="BM237"/>
  <c r="BN237"/>
  <c r="BO237"/>
  <c r="BP237"/>
  <c r="BL237"/>
  <c r="AZ237"/>
  <c r="BM238"/>
  <c r="BN238"/>
  <c r="BO238"/>
  <c r="BP238"/>
  <c r="BL238"/>
  <c r="AZ238"/>
  <c r="BM239"/>
  <c r="BN239"/>
  <c r="BO239"/>
  <c r="BP239"/>
  <c r="BL239"/>
  <c r="AZ239"/>
  <c r="BM240"/>
  <c r="BN240"/>
  <c r="BO240"/>
  <c r="BP240"/>
  <c r="BL240"/>
  <c r="AZ240"/>
  <c r="BM241"/>
  <c r="BN241"/>
  <c r="BO241"/>
  <c r="BP241"/>
  <c r="BL241"/>
  <c r="AZ241"/>
  <c r="BM242"/>
  <c r="BN242"/>
  <c r="BO242"/>
  <c r="BP242"/>
  <c r="BL242"/>
  <c r="AZ242"/>
  <c r="BM243"/>
  <c r="BN243"/>
  <c r="BO243"/>
  <c r="BP243"/>
  <c r="BL243"/>
  <c r="AZ243"/>
  <c r="BM244"/>
  <c r="BN244"/>
  <c r="BO244"/>
  <c r="BP244"/>
  <c r="BL244"/>
  <c r="AZ244"/>
  <c r="BM245"/>
  <c r="BN245"/>
  <c r="BO245"/>
  <c r="BP245"/>
  <c r="BL245"/>
  <c r="AZ245"/>
  <c r="BM246"/>
  <c r="BN246"/>
  <c r="BO246"/>
  <c r="BP246"/>
  <c r="BL246"/>
  <c r="AZ246"/>
  <c r="BM247"/>
  <c r="BN247"/>
  <c r="BO247"/>
  <c r="BP247"/>
  <c r="BL247"/>
  <c r="AZ247"/>
  <c r="BM248"/>
  <c r="BN248"/>
  <c r="BO248"/>
  <c r="BP248"/>
  <c r="BL248"/>
  <c r="AZ248"/>
  <c r="BM249"/>
  <c r="BN249"/>
  <c r="BO249"/>
  <c r="BP249"/>
  <c r="BL249"/>
  <c r="AZ249"/>
  <c r="BM250"/>
  <c r="BN250"/>
  <c r="BO250"/>
  <c r="BP250"/>
  <c r="BL250"/>
  <c r="AZ250"/>
  <c r="BM251"/>
  <c r="BN251"/>
  <c r="BO251"/>
  <c r="BP251"/>
  <c r="BL251"/>
  <c r="AZ251"/>
  <c r="BM252"/>
  <c r="BN252"/>
  <c r="BO252"/>
  <c r="BP252"/>
  <c r="BL252"/>
  <c r="AZ252"/>
  <c r="BM253"/>
  <c r="BN253"/>
  <c r="BO253"/>
  <c r="BP253"/>
  <c r="BL253"/>
  <c r="AZ253"/>
  <c r="BM254"/>
  <c r="BN254"/>
  <c r="BO254"/>
  <c r="BP254"/>
  <c r="BL254"/>
  <c r="AZ254"/>
  <c r="BM255"/>
  <c r="BN255"/>
  <c r="BO255"/>
  <c r="BP255"/>
  <c r="BL255"/>
  <c r="AZ255"/>
  <c r="BM256"/>
  <c r="BN256"/>
  <c r="BO256"/>
  <c r="BP256"/>
  <c r="BL256"/>
  <c r="AZ256"/>
  <c r="BM257"/>
  <c r="BN257"/>
  <c r="BO257"/>
  <c r="BP257"/>
  <c r="BL257"/>
  <c r="AZ257"/>
  <c r="BM258"/>
  <c r="BN258"/>
  <c r="BO258"/>
  <c r="BP258"/>
  <c r="BL258"/>
  <c r="AZ258"/>
  <c r="BM259"/>
  <c r="BN259"/>
  <c r="BO259"/>
  <c r="BP259"/>
  <c r="BL259"/>
  <c r="AZ259"/>
  <c r="BM260"/>
  <c r="BN260"/>
  <c r="BO260"/>
  <c r="BP260"/>
  <c r="BL260"/>
  <c r="AZ260"/>
  <c r="BM261"/>
  <c r="BN261"/>
  <c r="BO261"/>
  <c r="BP261"/>
  <c r="BL261"/>
  <c r="AZ261"/>
  <c r="BM262"/>
  <c r="BN262"/>
  <c r="BO262"/>
  <c r="BP262"/>
  <c r="BL262"/>
  <c r="AZ262"/>
  <c r="BM263"/>
  <c r="BN263"/>
  <c r="BO263"/>
  <c r="BP263"/>
  <c r="BL263"/>
  <c r="AZ263"/>
  <c r="BM264"/>
  <c r="BN264"/>
  <c r="BO264"/>
  <c r="BP264"/>
  <c r="BL264"/>
  <c r="AZ264"/>
  <c r="BM265"/>
  <c r="BN265"/>
  <c r="BO265"/>
  <c r="BP265"/>
  <c r="BL265"/>
  <c r="AZ265"/>
  <c r="BM266"/>
  <c r="BN266"/>
  <c r="BO266"/>
  <c r="BP266"/>
  <c r="BL266"/>
  <c r="AZ266"/>
  <c r="BM267"/>
  <c r="BN267"/>
  <c r="BO267"/>
  <c r="BP267"/>
  <c r="BL267"/>
  <c r="AZ267"/>
  <c r="BM268"/>
  <c r="BN268"/>
  <c r="BO268"/>
  <c r="BP268"/>
  <c r="BL268"/>
  <c r="AZ268"/>
  <c r="BM269"/>
  <c r="BN269"/>
  <c r="BO269"/>
  <c r="BP269"/>
  <c r="BL269"/>
  <c r="AZ269"/>
  <c r="BM270"/>
  <c r="BN270"/>
  <c r="BO270"/>
  <c r="BP270"/>
  <c r="BL270"/>
  <c r="AZ270"/>
  <c r="BM271"/>
  <c r="BN271"/>
  <c r="BO271"/>
  <c r="BP271"/>
  <c r="BL271"/>
  <c r="AZ271"/>
  <c r="BM272"/>
  <c r="BN272"/>
  <c r="BO272"/>
  <c r="BP272"/>
  <c r="BL272"/>
  <c r="AZ272"/>
  <c r="BM273"/>
  <c r="BN273"/>
  <c r="BO273"/>
  <c r="BP273"/>
  <c r="BL273"/>
  <c r="AZ273"/>
  <c r="BM274"/>
  <c r="BN274"/>
  <c r="BO274"/>
  <c r="BP274"/>
  <c r="BL274"/>
  <c r="AZ274"/>
  <c r="BM275"/>
  <c r="BN275"/>
  <c r="BO275"/>
  <c r="BP275"/>
  <c r="BL275"/>
  <c r="AZ275"/>
  <c r="BM276"/>
  <c r="BN276"/>
  <c r="BO276"/>
  <c r="BP276"/>
  <c r="BL276"/>
  <c r="AZ276"/>
  <c r="BM277"/>
  <c r="BN277"/>
  <c r="BO277"/>
  <c r="BP277"/>
  <c r="BL277"/>
  <c r="AZ277"/>
  <c r="BM278"/>
  <c r="BN278"/>
  <c r="BO278"/>
  <c r="BP278"/>
  <c r="BL278"/>
  <c r="AZ278"/>
  <c r="BM279"/>
  <c r="BN279"/>
  <c r="BO279"/>
  <c r="BP279"/>
  <c r="BL279"/>
  <c r="AZ279"/>
  <c r="BM280"/>
  <c r="BN280"/>
  <c r="BO280"/>
  <c r="BP280"/>
  <c r="BL280"/>
  <c r="AZ280"/>
  <c r="BM281"/>
  <c r="BN281"/>
  <c r="BO281"/>
  <c r="BP281"/>
  <c r="BL281"/>
  <c r="AZ281"/>
  <c r="BM282"/>
  <c r="BN282"/>
  <c r="BO282"/>
  <c r="BP282"/>
  <c r="BL282"/>
  <c r="AZ282"/>
  <c r="BM283"/>
  <c r="BN283"/>
  <c r="BO283"/>
  <c r="BP283"/>
  <c r="BL283"/>
  <c r="AZ283"/>
  <c r="BM284"/>
  <c r="BN284"/>
  <c r="BO284"/>
  <c r="BP284"/>
  <c r="BL284"/>
  <c r="AZ284"/>
  <c r="BM285"/>
  <c r="BN285"/>
  <c r="BO285"/>
  <c r="BP285"/>
  <c r="BL285"/>
  <c r="AZ285"/>
  <c r="BM286"/>
  <c r="BN286"/>
  <c r="BO286"/>
  <c r="BP286"/>
  <c r="BL286"/>
  <c r="AZ286"/>
  <c r="BM287"/>
  <c r="BN287"/>
  <c r="BO287"/>
  <c r="BP287"/>
  <c r="BL287"/>
  <c r="AZ287"/>
  <c r="BM288"/>
  <c r="BN288"/>
  <c r="BO288"/>
  <c r="BP288"/>
  <c r="BL288"/>
  <c r="AZ288"/>
  <c r="BM289"/>
  <c r="BN289"/>
  <c r="BO289"/>
  <c r="BP289"/>
  <c r="BL289"/>
  <c r="AZ289"/>
  <c r="BM290"/>
  <c r="BN290"/>
  <c r="BO290"/>
  <c r="BP290"/>
  <c r="BL290"/>
  <c r="AZ290"/>
  <c r="BM291"/>
  <c r="BN291"/>
  <c r="BO291"/>
  <c r="BP291"/>
  <c r="BL291"/>
  <c r="AZ291"/>
  <c r="BM292"/>
  <c r="BN292"/>
  <c r="BO292"/>
  <c r="BP292"/>
  <c r="BL292"/>
  <c r="AZ292"/>
  <c r="BM293"/>
  <c r="BN293"/>
  <c r="BO293"/>
  <c r="BP293"/>
  <c r="BL293"/>
  <c r="AZ293"/>
  <c r="BM294"/>
  <c r="BN294"/>
  <c r="BO294"/>
  <c r="BP294"/>
  <c r="BL294"/>
  <c r="AZ294"/>
  <c r="BM295"/>
  <c r="BN295"/>
  <c r="BO295"/>
  <c r="BP295"/>
  <c r="BL295"/>
  <c r="AZ295"/>
  <c r="BM296"/>
  <c r="BN296"/>
  <c r="BO296"/>
  <c r="BP296"/>
  <c r="BL296"/>
  <c r="AZ296"/>
  <c r="BM297"/>
  <c r="BN297"/>
  <c r="BO297"/>
  <c r="BP297"/>
  <c r="BL297"/>
  <c r="AZ297"/>
  <c r="BM298"/>
  <c r="BN298"/>
  <c r="BO298"/>
  <c r="BP298"/>
  <c r="BL298"/>
  <c r="AZ298"/>
  <c r="BM299"/>
  <c r="BN299"/>
  <c r="BO299"/>
  <c r="BP299"/>
  <c r="BL299"/>
  <c r="AZ299"/>
  <c r="BM300"/>
  <c r="BN300"/>
  <c r="BO300"/>
  <c r="BP300"/>
  <c r="BL300"/>
  <c r="AZ300"/>
  <c r="BM301"/>
  <c r="BN301"/>
  <c r="BO301"/>
  <c r="BP301"/>
  <c r="BL301"/>
  <c r="AZ301"/>
  <c r="BM302"/>
  <c r="BN302"/>
  <c r="BO302"/>
  <c r="BP302"/>
  <c r="BL302"/>
  <c r="AZ302"/>
  <c r="BM303"/>
  <c r="BN303"/>
  <c r="BO303"/>
  <c r="BP303"/>
  <c r="BL303"/>
  <c r="AZ303"/>
  <c r="BM304"/>
  <c r="BN304"/>
  <c r="BO304"/>
  <c r="BP304"/>
  <c r="BL304"/>
  <c r="AZ304"/>
  <c r="BM305"/>
  <c r="BN305"/>
  <c r="BO305"/>
  <c r="BP305"/>
  <c r="BL305"/>
  <c r="AZ305"/>
  <c r="BM306"/>
  <c r="BN306"/>
  <c r="BO306"/>
  <c r="BP306"/>
  <c r="BL306"/>
  <c r="AZ306"/>
  <c r="BM307"/>
  <c r="BN307"/>
  <c r="BO307"/>
  <c r="BP307"/>
  <c r="BL307"/>
  <c r="AZ307"/>
  <c r="BM308"/>
  <c r="BN308"/>
  <c r="BO308"/>
  <c r="BP308"/>
  <c r="BL308"/>
  <c r="AZ308"/>
  <c r="BM309"/>
  <c r="BN309"/>
  <c r="BO309"/>
  <c r="BP309"/>
  <c r="BL309"/>
  <c r="AZ309"/>
  <c r="BM310"/>
  <c r="BN310"/>
  <c r="BO310"/>
  <c r="BP310"/>
  <c r="BL310"/>
  <c r="AZ310"/>
  <c r="BM311"/>
  <c r="BN311"/>
  <c r="BO311"/>
  <c r="BP311"/>
  <c r="BL311"/>
  <c r="AZ311"/>
  <c r="BM312"/>
  <c r="BN312"/>
  <c r="BO312"/>
  <c r="BP312"/>
  <c r="BL312"/>
  <c r="AZ312"/>
  <c r="BM313"/>
  <c r="BN313"/>
  <c r="BO313"/>
  <c r="BP313"/>
  <c r="BL313"/>
  <c r="AZ313"/>
  <c r="BM314"/>
  <c r="BN314"/>
  <c r="BO314"/>
  <c r="BP314"/>
  <c r="BL314"/>
  <c r="AZ314"/>
  <c r="BM315"/>
  <c r="BN315"/>
  <c r="BO315"/>
  <c r="BP315"/>
  <c r="BL315"/>
  <c r="AZ315"/>
  <c r="BM316"/>
  <c r="BN316"/>
  <c r="BO316"/>
  <c r="BP316"/>
  <c r="BL316"/>
  <c r="AZ316"/>
  <c r="BM317"/>
  <c r="BN317"/>
  <c r="BO317"/>
  <c r="BP317"/>
  <c r="BL317"/>
  <c r="AZ317"/>
  <c r="BM318"/>
  <c r="BN318"/>
  <c r="BO318"/>
  <c r="BP318"/>
  <c r="BL318"/>
  <c r="AZ318"/>
  <c r="BM319"/>
  <c r="BN319"/>
  <c r="BO319"/>
  <c r="BP319"/>
  <c r="BL319"/>
  <c r="AZ319"/>
  <c r="BM320"/>
  <c r="BN320"/>
  <c r="BO320"/>
  <c r="BP320"/>
  <c r="BL320"/>
  <c r="AZ320"/>
  <c r="BM321"/>
  <c r="BN321"/>
  <c r="BO321"/>
  <c r="BP321"/>
  <c r="BL321"/>
  <c r="AZ321"/>
  <c r="BM322"/>
  <c r="BN322"/>
  <c r="BO322"/>
  <c r="BP322"/>
  <c r="BL322"/>
  <c r="AZ322"/>
  <c r="BM323"/>
  <c r="BN323"/>
  <c r="BO323"/>
  <c r="BP323"/>
  <c r="BL323"/>
  <c r="AZ323"/>
  <c r="BM324"/>
  <c r="BN324"/>
  <c r="BO324"/>
  <c r="BP324"/>
  <c r="BL324"/>
  <c r="AZ324"/>
  <c r="BM325"/>
  <c r="BN325"/>
  <c r="BO325"/>
  <c r="BP325"/>
  <c r="BL325"/>
  <c r="AZ325"/>
  <c r="BM326"/>
  <c r="BN326"/>
  <c r="BO326"/>
  <c r="BP326"/>
  <c r="BL326"/>
  <c r="AZ326"/>
  <c r="BM327"/>
  <c r="BN327"/>
  <c r="BO327"/>
  <c r="BP327"/>
  <c r="BL327"/>
  <c r="AZ327"/>
  <c r="BM328"/>
  <c r="BN328"/>
  <c r="BO328"/>
  <c r="BP328"/>
  <c r="BL328"/>
  <c r="AZ328"/>
  <c r="BM329"/>
  <c r="BN329"/>
  <c r="BO329"/>
  <c r="BP329"/>
  <c r="BL329"/>
  <c r="AZ329"/>
  <c r="BM330"/>
  <c r="BN330"/>
  <c r="BO330"/>
  <c r="BP330"/>
  <c r="BL330"/>
  <c r="AZ330"/>
  <c r="BM331"/>
  <c r="BN331"/>
  <c r="BO331"/>
  <c r="BP331"/>
  <c r="BL331"/>
  <c r="AZ331"/>
  <c r="BM332"/>
  <c r="BN332"/>
  <c r="BO332"/>
  <c r="BP332"/>
  <c r="BL332"/>
  <c r="AZ332"/>
  <c r="BM333"/>
  <c r="BN333"/>
  <c r="BO333"/>
  <c r="BP333"/>
  <c r="BL333"/>
  <c r="AZ333"/>
  <c r="BM334"/>
  <c r="BN334"/>
  <c r="BO334"/>
  <c r="BP334"/>
  <c r="BL334"/>
  <c r="AZ334"/>
  <c r="BM335"/>
  <c r="BN335"/>
  <c r="BO335"/>
  <c r="BP335"/>
  <c r="BL335"/>
  <c r="AZ335"/>
  <c r="BM336"/>
  <c r="BN336"/>
  <c r="BO336"/>
  <c r="BP336"/>
  <c r="BL336"/>
  <c r="AZ336"/>
  <c r="BM337"/>
  <c r="BN337"/>
  <c r="BO337"/>
  <c r="BP337"/>
  <c r="BL337"/>
  <c r="AZ337"/>
  <c r="BM338"/>
  <c r="BN338"/>
  <c r="BO338"/>
  <c r="BP338"/>
  <c r="BL338"/>
  <c r="AZ338"/>
  <c r="BM339"/>
  <c r="BN339"/>
  <c r="BO339"/>
  <c r="BP339"/>
  <c r="BL339"/>
  <c r="AZ339"/>
  <c r="BM340"/>
  <c r="BN340"/>
  <c r="BO340"/>
  <c r="BP340"/>
  <c r="BL340"/>
  <c r="AZ340"/>
  <c r="BM341"/>
  <c r="BN341"/>
  <c r="BO341"/>
  <c r="BP341"/>
  <c r="BL341"/>
  <c r="AZ341"/>
  <c r="BM342"/>
  <c r="BN342"/>
  <c r="BO342"/>
  <c r="BP342"/>
  <c r="BL342"/>
  <c r="AZ342"/>
  <c r="BM343"/>
  <c r="BN343"/>
  <c r="BO343"/>
  <c r="BP343"/>
  <c r="BL343"/>
  <c r="AZ343"/>
  <c r="BM344"/>
  <c r="BN344"/>
  <c r="BO344"/>
  <c r="BP344"/>
  <c r="BL344"/>
  <c r="AZ344"/>
  <c r="BM345"/>
  <c r="BN345"/>
  <c r="BO345"/>
  <c r="BP345"/>
  <c r="BL345"/>
  <c r="AZ345"/>
  <c r="BM346"/>
  <c r="BN346"/>
  <c r="BO346"/>
  <c r="BP346"/>
  <c r="BL346"/>
  <c r="AZ346"/>
  <c r="BM347"/>
  <c r="BN347"/>
  <c r="BO347"/>
  <c r="BP347"/>
  <c r="BL347"/>
  <c r="AZ347"/>
  <c r="BM348"/>
  <c r="BN348"/>
  <c r="BO348"/>
  <c r="BP348"/>
  <c r="BL348"/>
  <c r="AZ348"/>
  <c r="BM349"/>
  <c r="BN349"/>
  <c r="BO349"/>
  <c r="BP349"/>
  <c r="BL349"/>
  <c r="AZ349"/>
  <c r="BM350"/>
  <c r="BN350"/>
  <c r="BO350"/>
  <c r="BP350"/>
  <c r="BL350"/>
  <c r="AZ350"/>
  <c r="BM351"/>
  <c r="BN351"/>
  <c r="BO351"/>
  <c r="BP351"/>
  <c r="BL351"/>
  <c r="AZ351"/>
  <c r="BM352"/>
  <c r="BN352"/>
  <c r="BO352"/>
  <c r="BP352"/>
  <c r="BL352"/>
  <c r="AZ352"/>
  <c r="BM353"/>
  <c r="BN353"/>
  <c r="BO353"/>
  <c r="BP353"/>
  <c r="BL353"/>
  <c r="AZ353"/>
  <c r="BM354"/>
  <c r="BN354"/>
  <c r="BO354"/>
  <c r="BP354"/>
  <c r="BL354"/>
  <c r="AZ354"/>
  <c r="BM355"/>
  <c r="BN355"/>
  <c r="BO355"/>
  <c r="BP355"/>
  <c r="BL355"/>
  <c r="AZ355"/>
  <c r="BM356"/>
  <c r="BN356"/>
  <c r="BO356"/>
  <c r="BP356"/>
  <c r="BL356"/>
  <c r="AZ356"/>
  <c r="BM357"/>
  <c r="BN357"/>
  <c r="BO357"/>
  <c r="BP357"/>
  <c r="BL357"/>
  <c r="AZ357"/>
  <c r="BM358"/>
  <c r="BN358"/>
  <c r="BO358"/>
  <c r="BP358"/>
  <c r="BL358"/>
  <c r="AZ358"/>
  <c r="BM359"/>
  <c r="BN359"/>
  <c r="BO359"/>
  <c r="BP359"/>
  <c r="BL359"/>
  <c r="AZ359"/>
  <c r="BM360"/>
  <c r="BN360"/>
  <c r="BO360"/>
  <c r="BP360"/>
  <c r="BL360"/>
  <c r="AZ360"/>
  <c r="BM361"/>
  <c r="BN361"/>
  <c r="BO361"/>
  <c r="BP361"/>
  <c r="BL361"/>
  <c r="AZ361"/>
  <c r="BM362"/>
  <c r="BN362"/>
  <c r="BO362"/>
  <c r="BP362"/>
  <c r="BL362"/>
  <c r="AZ362"/>
  <c r="BM363"/>
  <c r="BN363"/>
  <c r="BO363"/>
  <c r="BP363"/>
  <c r="BL363"/>
  <c r="AZ363"/>
  <c r="BM364"/>
  <c r="BN364"/>
  <c r="BO364"/>
  <c r="BP364"/>
  <c r="BL364"/>
  <c r="AZ364"/>
  <c r="BM365"/>
  <c r="BN365"/>
  <c r="BO365"/>
  <c r="BP365"/>
  <c r="BL365"/>
  <c r="AZ365"/>
  <c r="BM366"/>
  <c r="BN366"/>
  <c r="BO366"/>
  <c r="BP366"/>
  <c r="BL366"/>
  <c r="AZ366"/>
  <c r="BM367"/>
  <c r="BN367"/>
  <c r="BO367"/>
  <c r="BP367"/>
  <c r="BL367"/>
  <c r="AZ367"/>
  <c r="BM368"/>
  <c r="BN368"/>
  <c r="BO368"/>
  <c r="BP368"/>
  <c r="BL368"/>
  <c r="AZ368"/>
  <c r="BM369"/>
  <c r="BN369"/>
  <c r="BO369"/>
  <c r="BP369"/>
  <c r="BL369"/>
  <c r="AZ369"/>
  <c r="BM370"/>
  <c r="BN370"/>
  <c r="BO370"/>
  <c r="BP370"/>
  <c r="BL370"/>
  <c r="AZ370"/>
  <c r="BM371"/>
  <c r="BN371"/>
  <c r="BO371"/>
  <c r="BP371"/>
  <c r="BL371"/>
  <c r="AZ371"/>
  <c r="BM372"/>
  <c r="BN372"/>
  <c r="BO372"/>
  <c r="BP372"/>
  <c r="BL372"/>
  <c r="AZ372"/>
  <c r="BM373"/>
  <c r="BN373"/>
  <c r="BO373"/>
  <c r="BP373"/>
  <c r="BL373"/>
  <c r="AZ373"/>
  <c r="BM374"/>
  <c r="BN374"/>
  <c r="BO374"/>
  <c r="BP374"/>
  <c r="BL374"/>
  <c r="AZ374"/>
  <c r="BM375"/>
  <c r="BN375"/>
  <c r="BO375"/>
  <c r="BP375"/>
  <c r="BL375"/>
  <c r="AZ375"/>
  <c r="BM376"/>
  <c r="BN376"/>
  <c r="BO376"/>
  <c r="BP376"/>
  <c r="BL376"/>
  <c r="AZ376"/>
  <c r="BM377"/>
  <c r="BN377"/>
  <c r="BO377"/>
  <c r="BP377"/>
  <c r="BL377"/>
  <c r="AZ377"/>
  <c r="BM378"/>
  <c r="BN378"/>
  <c r="BO378"/>
  <c r="BP378"/>
  <c r="BL378"/>
  <c r="AZ378"/>
  <c r="BM379"/>
  <c r="BN379"/>
  <c r="BO379"/>
  <c r="BP379"/>
  <c r="BL379"/>
  <c r="AZ379"/>
  <c r="BM380"/>
  <c r="BN380"/>
  <c r="BO380"/>
  <c r="BP380"/>
  <c r="BL380"/>
  <c r="AZ380"/>
  <c r="BM381"/>
  <c r="BN381"/>
  <c r="BO381"/>
  <c r="BP381"/>
  <c r="BL381"/>
  <c r="AZ381"/>
  <c r="BM382"/>
  <c r="BN382"/>
  <c r="BO382"/>
  <c r="BP382"/>
  <c r="BL382"/>
  <c r="AZ382"/>
  <c r="BM383"/>
  <c r="BN383"/>
  <c r="BO383"/>
  <c r="BP383"/>
  <c r="BL383"/>
  <c r="AZ383"/>
  <c r="BM384"/>
  <c r="BN384"/>
  <c r="BO384"/>
  <c r="BP384"/>
  <c r="BL384"/>
  <c r="AZ384"/>
  <c r="BM385"/>
  <c r="BN385"/>
  <c r="BO385"/>
  <c r="BP385"/>
  <c r="BL385"/>
  <c r="AZ385"/>
  <c r="BM386"/>
  <c r="BN386"/>
  <c r="BO386"/>
  <c r="BP386"/>
  <c r="BL386"/>
  <c r="AZ386"/>
  <c r="BM387"/>
  <c r="BN387"/>
  <c r="BO387"/>
  <c r="BP387"/>
  <c r="BL387"/>
  <c r="AZ387"/>
  <c r="BM388"/>
  <c r="BN388"/>
  <c r="BO388"/>
  <c r="BP388"/>
  <c r="BL388"/>
  <c r="AZ388"/>
  <c r="BM389"/>
  <c r="BN389"/>
  <c r="BO389"/>
  <c r="BP389"/>
  <c r="BL389"/>
  <c r="AZ389"/>
  <c r="BM390"/>
  <c r="BN390"/>
  <c r="BO390"/>
  <c r="BP390"/>
  <c r="BL390"/>
  <c r="AZ390"/>
  <c r="BM391"/>
  <c r="BN391"/>
  <c r="BO391"/>
  <c r="BP391"/>
  <c r="BL391"/>
  <c r="AZ391"/>
  <c r="BM392"/>
  <c r="BN392"/>
  <c r="BO392"/>
  <c r="BP392"/>
  <c r="BL392"/>
  <c r="AZ392"/>
  <c r="BM393"/>
  <c r="BN393"/>
  <c r="BO393"/>
  <c r="BP393"/>
  <c r="BL393"/>
  <c r="AZ393"/>
  <c r="BM394"/>
  <c r="BN394"/>
  <c r="BO394"/>
  <c r="BP394"/>
  <c r="BL394"/>
  <c r="AZ394"/>
  <c r="BM395"/>
  <c r="BN395"/>
  <c r="BO395"/>
  <c r="BP395"/>
  <c r="BL395"/>
  <c r="AZ395"/>
  <c r="BM396"/>
  <c r="BN396"/>
  <c r="BO396"/>
  <c r="BP396"/>
  <c r="BL396"/>
  <c r="AZ396"/>
  <c r="BM397"/>
  <c r="BN397"/>
  <c r="BO397"/>
  <c r="BP397"/>
  <c r="BL397"/>
  <c r="AZ397"/>
  <c r="BM398"/>
  <c r="BN398"/>
  <c r="BO398"/>
  <c r="BP398"/>
  <c r="BL398"/>
  <c r="AZ398"/>
  <c r="BM399"/>
  <c r="BN399"/>
  <c r="BO399"/>
  <c r="BP399"/>
  <c r="BL399"/>
  <c r="AZ399"/>
  <c r="BM400"/>
  <c r="BN400"/>
  <c r="BO400"/>
  <c r="BP400"/>
  <c r="BL400"/>
  <c r="AZ400"/>
  <c r="BM401"/>
  <c r="BN401"/>
  <c r="BO401"/>
  <c r="BP401"/>
  <c r="BL401"/>
  <c r="AZ401"/>
  <c r="BM402"/>
  <c r="BN402"/>
  <c r="BO402"/>
  <c r="BP402"/>
  <c r="BL402"/>
  <c r="AZ402"/>
  <c r="BM403"/>
  <c r="BN403"/>
  <c r="BO403"/>
  <c r="BP403"/>
  <c r="BL403"/>
  <c r="AZ403"/>
  <c r="BM404"/>
  <c r="BN404"/>
  <c r="BO404"/>
  <c r="BP404"/>
  <c r="BL404"/>
  <c r="AZ404"/>
  <c r="BM405"/>
  <c r="BN405"/>
  <c r="BO405"/>
  <c r="BP405"/>
  <c r="BL405"/>
  <c r="AZ405"/>
  <c r="BM406"/>
  <c r="BN406"/>
  <c r="BO406"/>
  <c r="BP406"/>
  <c r="BL406"/>
  <c r="AZ406"/>
  <c r="BM407"/>
  <c r="BN407"/>
  <c r="BO407"/>
  <c r="BP407"/>
  <c r="BL407"/>
  <c r="AZ407"/>
  <c r="BM408"/>
  <c r="BN408"/>
  <c r="BO408"/>
  <c r="BP408"/>
  <c r="BL408"/>
  <c r="AZ408"/>
  <c r="BM409"/>
  <c r="BN409"/>
  <c r="BO409"/>
  <c r="BP409"/>
  <c r="BL409"/>
  <c r="AZ409"/>
  <c r="BM410"/>
  <c r="BN410"/>
  <c r="BO410"/>
  <c r="BP410"/>
  <c r="BL410"/>
  <c r="AZ410"/>
  <c r="BM411"/>
  <c r="BN411"/>
  <c r="BO411"/>
  <c r="BP411"/>
  <c r="BL411"/>
  <c r="AZ411"/>
  <c r="BM412"/>
  <c r="BN412"/>
  <c r="BO412"/>
  <c r="BP412"/>
  <c r="BL412"/>
  <c r="AZ412"/>
  <c r="BM413"/>
  <c r="BN413"/>
  <c r="BO413"/>
  <c r="BP413"/>
  <c r="BL413"/>
  <c r="AZ413"/>
  <c r="BM414"/>
  <c r="BN414"/>
  <c r="BO414"/>
  <c r="BP414"/>
  <c r="BL414"/>
  <c r="AZ414"/>
  <c r="BM415"/>
  <c r="BN415"/>
  <c r="BO415"/>
  <c r="BP415"/>
  <c r="BL415"/>
  <c r="AZ415"/>
  <c r="BM416"/>
  <c r="BN416"/>
  <c r="BO416"/>
  <c r="BP416"/>
  <c r="BL416"/>
  <c r="AZ416"/>
  <c r="BM417"/>
  <c r="BN417"/>
  <c r="BO417"/>
  <c r="BP417"/>
  <c r="BL417"/>
  <c r="AZ417"/>
  <c r="BM418"/>
  <c r="BN418"/>
  <c r="BO418"/>
  <c r="BP418"/>
  <c r="BL418"/>
  <c r="AZ418"/>
  <c r="BM419"/>
  <c r="BN419"/>
  <c r="BO419"/>
  <c r="BP419"/>
  <c r="BL419"/>
  <c r="AZ419"/>
  <c r="BM420"/>
  <c r="BN420"/>
  <c r="BO420"/>
  <c r="BP420"/>
  <c r="BL420"/>
  <c r="AZ420"/>
  <c r="BM421"/>
  <c r="BN421"/>
  <c r="BO421"/>
  <c r="BP421"/>
  <c r="BL421"/>
  <c r="AZ421"/>
  <c r="BM422"/>
  <c r="BN422"/>
  <c r="BO422"/>
  <c r="BP422"/>
  <c r="BL422"/>
  <c r="AZ422"/>
  <c r="BM423"/>
  <c r="BN423"/>
  <c r="BO423"/>
  <c r="BP423"/>
  <c r="BL423"/>
  <c r="AZ423"/>
  <c r="BM424"/>
  <c r="BN424"/>
  <c r="BO424"/>
  <c r="BP424"/>
  <c r="BL424"/>
  <c r="AZ424"/>
  <c r="BM425"/>
  <c r="BN425"/>
  <c r="BO425"/>
  <c r="BP425"/>
  <c r="BL425"/>
  <c r="AZ425"/>
  <c r="BM426"/>
  <c r="BN426"/>
  <c r="BO426"/>
  <c r="BP426"/>
  <c r="BL426"/>
  <c r="AZ426"/>
  <c r="BM427"/>
  <c r="BN427"/>
  <c r="BO427"/>
  <c r="BP427"/>
  <c r="BL427"/>
  <c r="AZ427"/>
  <c r="BM428"/>
  <c r="BN428"/>
  <c r="BO428"/>
  <c r="BP428"/>
  <c r="BL428"/>
  <c r="AZ428"/>
  <c r="BM429"/>
  <c r="BN429"/>
  <c r="BO429"/>
  <c r="BP429"/>
  <c r="BL429"/>
  <c r="AZ429"/>
  <c r="BM430"/>
  <c r="BN430"/>
  <c r="BO430"/>
  <c r="BP430"/>
  <c r="BL430"/>
  <c r="AZ430"/>
  <c r="BM431"/>
  <c r="BN431"/>
  <c r="BO431"/>
  <c r="BP431"/>
  <c r="BL431"/>
  <c r="AZ431"/>
  <c r="BM432"/>
  <c r="BN432"/>
  <c r="BO432"/>
  <c r="BP432"/>
  <c r="BL432"/>
  <c r="AZ432"/>
  <c r="BM433"/>
  <c r="BN433"/>
  <c r="BO433"/>
  <c r="BP433"/>
  <c r="BL433"/>
  <c r="AZ433"/>
  <c r="BM434"/>
  <c r="BN434"/>
  <c r="BO434"/>
  <c r="BP434"/>
  <c r="BL434"/>
  <c r="AZ434"/>
  <c r="BM435"/>
  <c r="BN435"/>
  <c r="BO435"/>
  <c r="BP435"/>
  <c r="BL435"/>
  <c r="AZ435"/>
  <c r="BM436"/>
  <c r="BN436"/>
  <c r="BO436"/>
  <c r="BP436"/>
  <c r="BL436"/>
  <c r="AZ436"/>
  <c r="BM437"/>
  <c r="BN437"/>
  <c r="BO437"/>
  <c r="BP437"/>
  <c r="BL437"/>
  <c r="AZ437"/>
  <c r="BM438"/>
  <c r="BN438"/>
  <c r="BO438"/>
  <c r="BP438"/>
  <c r="BL438"/>
  <c r="AZ438"/>
  <c r="BM439"/>
  <c r="BN439"/>
  <c r="BO439"/>
  <c r="BP439"/>
  <c r="BL439"/>
  <c r="AZ439"/>
  <c r="BM440"/>
  <c r="BN440"/>
  <c r="BO440"/>
  <c r="BP440"/>
  <c r="BL440"/>
  <c r="AZ440"/>
  <c r="BM441"/>
  <c r="BN441"/>
  <c r="BO441"/>
  <c r="BP441"/>
  <c r="BL441"/>
  <c r="AZ441"/>
  <c r="BM442"/>
  <c r="BN442"/>
  <c r="BO442"/>
  <c r="BP442"/>
  <c r="BL442"/>
  <c r="AZ442"/>
  <c r="BM443"/>
  <c r="BN443"/>
  <c r="BO443"/>
  <c r="BP443"/>
  <c r="BL443"/>
  <c r="AZ443"/>
  <c r="BM444"/>
  <c r="BN444"/>
  <c r="BO444"/>
  <c r="BP444"/>
  <c r="BL444"/>
  <c r="AZ444"/>
  <c r="BM445"/>
  <c r="BN445"/>
  <c r="BO445"/>
  <c r="BP445"/>
  <c r="BL445"/>
  <c r="AZ445"/>
  <c r="BM446"/>
  <c r="BN446"/>
  <c r="BO446"/>
  <c r="BP446"/>
  <c r="BL446"/>
  <c r="AZ446"/>
  <c r="BM447"/>
  <c r="BN447"/>
  <c r="BO447"/>
  <c r="BP447"/>
  <c r="BL447"/>
  <c r="AZ447"/>
  <c r="BM448"/>
  <c r="BN448"/>
  <c r="BO448"/>
  <c r="BP448"/>
  <c r="BL448"/>
  <c r="AZ448"/>
  <c r="BM449"/>
  <c r="BN449"/>
  <c r="BO449"/>
  <c r="BP449"/>
  <c r="BL449"/>
  <c r="AZ449"/>
  <c r="BM450"/>
  <c r="BN450"/>
  <c r="BO450"/>
  <c r="BP450"/>
  <c r="BL450"/>
  <c r="AZ450"/>
  <c r="BM451"/>
  <c r="BN451"/>
  <c r="BO451"/>
  <c r="BP451"/>
  <c r="BL451"/>
  <c r="AZ451"/>
  <c r="BM452"/>
  <c r="BN452"/>
  <c r="BO452"/>
  <c r="BP452"/>
  <c r="BL452"/>
  <c r="AZ452"/>
  <c r="BM453"/>
  <c r="BN453"/>
  <c r="BO453"/>
  <c r="BP453"/>
  <c r="BL453"/>
  <c r="AZ453"/>
  <c r="BM454"/>
  <c r="BN454"/>
  <c r="BO454"/>
  <c r="BP454"/>
  <c r="BL454"/>
  <c r="AZ454"/>
  <c r="BM455"/>
  <c r="BN455"/>
  <c r="BO455"/>
  <c r="BP455"/>
  <c r="BL455"/>
  <c r="AZ455"/>
  <c r="BM456"/>
  <c r="BN456"/>
  <c r="BO456"/>
  <c r="BP456"/>
  <c r="BL456"/>
  <c r="AZ456"/>
  <c r="BM457"/>
  <c r="BN457"/>
  <c r="BO457"/>
  <c r="BP457"/>
  <c r="BL457"/>
  <c r="AZ457"/>
  <c r="BM458"/>
  <c r="BN458"/>
  <c r="BO458"/>
  <c r="BP458"/>
  <c r="BL458"/>
  <c r="AZ458"/>
  <c r="BM459"/>
  <c r="BN459"/>
  <c r="BO459"/>
  <c r="BP459"/>
  <c r="BL459"/>
  <c r="AZ459"/>
  <c r="BM460"/>
  <c r="BN460"/>
  <c r="BO460"/>
  <c r="BP460"/>
  <c r="BL460"/>
  <c r="AZ460"/>
  <c r="BM461"/>
  <c r="BN461"/>
  <c r="BO461"/>
  <c r="BP461"/>
  <c r="BL461"/>
  <c r="AZ461"/>
  <c r="BM462"/>
  <c r="BN462"/>
  <c r="BO462"/>
  <c r="BP462"/>
  <c r="BL462"/>
  <c r="AZ462"/>
  <c r="BM463"/>
  <c r="BN463"/>
  <c r="BO463"/>
  <c r="BP463"/>
  <c r="BL463"/>
  <c r="AZ463"/>
  <c r="BM464"/>
  <c r="BN464"/>
  <c r="BO464"/>
  <c r="BP464"/>
  <c r="BL464"/>
  <c r="AZ464"/>
  <c r="BM465"/>
  <c r="BN465"/>
  <c r="BO465"/>
  <c r="BP465"/>
  <c r="BL465"/>
  <c r="AZ465"/>
  <c r="BM466"/>
  <c r="BN466"/>
  <c r="BO466"/>
  <c r="BP466"/>
  <c r="BL466"/>
  <c r="AZ466"/>
  <c r="BM467"/>
  <c r="BN467"/>
  <c r="BO467"/>
  <c r="BP467"/>
  <c r="BL467"/>
  <c r="AZ467"/>
  <c r="BM468"/>
  <c r="BN468"/>
  <c r="BO468"/>
  <c r="BP468"/>
  <c r="BL468"/>
  <c r="AZ468"/>
  <c r="BM469"/>
  <c r="BN469"/>
  <c r="BO469"/>
  <c r="BP469"/>
  <c r="BL469"/>
  <c r="AZ469"/>
  <c r="BM470"/>
  <c r="BN470"/>
  <c r="BO470"/>
  <c r="BP470"/>
  <c r="BL470"/>
  <c r="AZ470"/>
  <c r="BM471"/>
  <c r="BN471"/>
  <c r="BO471"/>
  <c r="BP471"/>
  <c r="BL471"/>
  <c r="AZ471"/>
  <c r="BM472"/>
  <c r="BN472"/>
  <c r="BO472"/>
  <c r="BP472"/>
  <c r="BL472"/>
  <c r="AZ472"/>
  <c r="BM473"/>
  <c r="BN473"/>
  <c r="BO473"/>
  <c r="BP473"/>
  <c r="BL473"/>
  <c r="AZ473"/>
  <c r="BM474"/>
  <c r="BN474"/>
  <c r="BO474"/>
  <c r="BP474"/>
  <c r="BL474"/>
  <c r="AZ474"/>
  <c r="BM475"/>
  <c r="BN475"/>
  <c r="BO475"/>
  <c r="BP475"/>
  <c r="BL475"/>
  <c r="AZ475"/>
  <c r="BM476"/>
  <c r="BN476"/>
  <c r="BO476"/>
  <c r="BP476"/>
  <c r="BL476"/>
  <c r="AZ476"/>
  <c r="BM477"/>
  <c r="BN477"/>
  <c r="BO477"/>
  <c r="BP477"/>
  <c r="BL477"/>
  <c r="AZ477"/>
  <c r="BM478"/>
  <c r="BN478"/>
  <c r="BO478"/>
  <c r="BP478"/>
  <c r="BL478"/>
  <c r="AZ478"/>
  <c r="BM479"/>
  <c r="BN479"/>
  <c r="BO479"/>
  <c r="BP479"/>
  <c r="BL479"/>
  <c r="AZ479"/>
  <c r="BM480"/>
  <c r="BN480"/>
  <c r="BO480"/>
  <c r="BP480"/>
  <c r="BL480"/>
  <c r="AZ480"/>
  <c r="BM481"/>
  <c r="BN481"/>
  <c r="BO481"/>
  <c r="BP481"/>
  <c r="BL481"/>
  <c r="AZ481"/>
  <c r="BM482"/>
  <c r="BN482"/>
  <c r="BO482"/>
  <c r="BP482"/>
  <c r="BL482"/>
  <c r="AZ482"/>
  <c r="BM483"/>
  <c r="BN483"/>
  <c r="BO483"/>
  <c r="BP483"/>
  <c r="BL483"/>
  <c r="AZ483"/>
  <c r="BM484"/>
  <c r="BN484"/>
  <c r="BO484"/>
  <c r="BP484"/>
  <c r="BL484"/>
  <c r="AZ484"/>
  <c r="BM485"/>
  <c r="BN485"/>
  <c r="BO485"/>
  <c r="BP485"/>
  <c r="BL485"/>
  <c r="AZ485"/>
  <c r="BM486"/>
  <c r="BN486"/>
  <c r="BO486"/>
  <c r="BP486"/>
  <c r="BL486"/>
  <c r="AZ486"/>
  <c r="BM487"/>
  <c r="BN487"/>
  <c r="BO487"/>
  <c r="BP487"/>
  <c r="BL487"/>
  <c r="AZ487"/>
  <c r="BM488"/>
  <c r="BN488"/>
  <c r="BO488"/>
  <c r="BP488"/>
  <c r="BL488"/>
  <c r="AZ488"/>
  <c r="BM489"/>
  <c r="BN489"/>
  <c r="BO489"/>
  <c r="BP489"/>
  <c r="BL489"/>
  <c r="AZ489"/>
  <c r="BM490"/>
  <c r="BN490"/>
  <c r="BO490"/>
  <c r="BP490"/>
  <c r="BL490"/>
  <c r="AZ490"/>
  <c r="BM491"/>
  <c r="BN491"/>
  <c r="BO491"/>
  <c r="BP491"/>
  <c r="BL491"/>
  <c r="AZ491"/>
  <c r="BM492"/>
  <c r="BN492"/>
  <c r="BO492"/>
  <c r="BP492"/>
  <c r="BL492"/>
  <c r="AZ492"/>
  <c r="BM493"/>
  <c r="BN493"/>
  <c r="BO493"/>
  <c r="BP493"/>
  <c r="BL493"/>
  <c r="AZ493"/>
  <c r="BM494"/>
  <c r="BN494"/>
  <c r="BO494"/>
  <c r="BP494"/>
  <c r="BL494"/>
  <c r="AZ494"/>
  <c r="BM495"/>
  <c r="BN495"/>
  <c r="BO495"/>
  <c r="BP495"/>
  <c r="BL495"/>
  <c r="AZ495"/>
  <c r="BM496"/>
  <c r="BN496"/>
  <c r="BO496"/>
  <c r="BP496"/>
  <c r="BL496"/>
  <c r="AZ496"/>
  <c r="BM497"/>
  <c r="BN497"/>
  <c r="BO497"/>
  <c r="BP497"/>
  <c r="BL497"/>
  <c r="AZ497"/>
  <c r="BM498"/>
  <c r="BN498"/>
  <c r="BO498"/>
  <c r="BP498"/>
  <c r="BL498"/>
  <c r="AZ498"/>
  <c r="BM499"/>
  <c r="BN499"/>
  <c r="BO499"/>
  <c r="BP499"/>
  <c r="BL499"/>
  <c r="AZ499"/>
  <c r="BM500"/>
  <c r="BN500"/>
  <c r="BO500"/>
  <c r="BP500"/>
  <c r="BL500"/>
  <c r="AZ500"/>
  <c r="BM501"/>
  <c r="BN501"/>
  <c r="BO501"/>
  <c r="BP501"/>
  <c r="BL501"/>
  <c r="AZ501"/>
  <c r="BM502"/>
  <c r="BN502"/>
  <c r="BO502"/>
  <c r="BP502"/>
  <c r="BL502"/>
  <c r="AZ502"/>
  <c r="BM503"/>
  <c r="BN503"/>
  <c r="BO503"/>
  <c r="BP503"/>
  <c r="BL503"/>
  <c r="AZ503"/>
  <c r="BM504"/>
  <c r="BN504"/>
  <c r="BO504"/>
  <c r="BP504"/>
  <c r="BL504"/>
  <c r="AZ504"/>
  <c r="BM505"/>
  <c r="BN505"/>
  <c r="BO505"/>
  <c r="BP505"/>
  <c r="BL505"/>
  <c r="AZ505"/>
  <c r="BM506"/>
  <c r="BN506"/>
  <c r="BO506"/>
  <c r="BP506"/>
  <c r="BL506"/>
  <c r="AZ506"/>
  <c r="BM507"/>
  <c r="BN507"/>
  <c r="BO507"/>
  <c r="BP507"/>
  <c r="BL507"/>
  <c r="AZ507"/>
  <c r="BM508"/>
  <c r="BN508"/>
  <c r="BO508"/>
  <c r="BP508"/>
  <c r="BL508"/>
  <c r="AZ508"/>
  <c r="BM509"/>
  <c r="BN509"/>
  <c r="BO509"/>
  <c r="BP509"/>
  <c r="BL509"/>
  <c r="AZ509"/>
  <c r="BM510"/>
  <c r="BN510"/>
  <c r="BO510"/>
  <c r="BP510"/>
  <c r="BL510"/>
  <c r="AZ510"/>
  <c r="BM511"/>
  <c r="BN511"/>
  <c r="BO511"/>
  <c r="BP511"/>
  <c r="BL511"/>
  <c r="AZ511"/>
  <c r="BM512"/>
  <c r="BN512"/>
  <c r="BO512"/>
  <c r="BP512"/>
  <c r="BL512"/>
  <c r="AZ512"/>
  <c r="BM513"/>
  <c r="BN513"/>
  <c r="BO513"/>
  <c r="BP513"/>
  <c r="BL513"/>
  <c r="AZ513"/>
  <c r="BM514"/>
  <c r="BN514"/>
  <c r="BO514"/>
  <c r="BP514"/>
  <c r="BL514"/>
  <c r="AZ514"/>
  <c r="BM515"/>
  <c r="BN515"/>
  <c r="BO515"/>
  <c r="BP515"/>
  <c r="BL515"/>
  <c r="AZ515"/>
  <c r="BM516"/>
  <c r="BN516"/>
  <c r="BO516"/>
  <c r="BP516"/>
  <c r="BL516"/>
  <c r="AZ516"/>
  <c r="BM517"/>
  <c r="BN517"/>
  <c r="BO517"/>
  <c r="BP517"/>
  <c r="BL517"/>
  <c r="AZ517"/>
  <c r="BM518"/>
  <c r="BN518"/>
  <c r="BO518"/>
  <c r="BP518"/>
  <c r="BL518"/>
  <c r="AZ518"/>
  <c r="BM519"/>
  <c r="BN519"/>
  <c r="BO519"/>
  <c r="BP519"/>
  <c r="BL519"/>
  <c r="AZ519"/>
  <c r="BM520"/>
  <c r="BN520"/>
  <c r="BO520"/>
  <c r="BP520"/>
  <c r="BL520"/>
  <c r="AZ520"/>
  <c r="BM521"/>
  <c r="BN521"/>
  <c r="BO521"/>
  <c r="BP521"/>
  <c r="BL521"/>
  <c r="AZ521"/>
  <c r="BM522"/>
  <c r="BN522"/>
  <c r="BO522"/>
  <c r="BP522"/>
  <c r="BL522"/>
  <c r="AZ522"/>
  <c r="BM523"/>
  <c r="BN523"/>
  <c r="BO523"/>
  <c r="BP523"/>
  <c r="BL523"/>
  <c r="AZ523"/>
  <c r="BM524"/>
  <c r="BN524"/>
  <c r="BO524"/>
  <c r="BP524"/>
  <c r="BL524"/>
  <c r="AZ524"/>
  <c r="BM525"/>
  <c r="BN525"/>
  <c r="BO525"/>
  <c r="BP525"/>
  <c r="BL525"/>
  <c r="AZ525"/>
  <c r="BM526"/>
  <c r="BN526"/>
  <c r="BO526"/>
  <c r="BP526"/>
  <c r="BL526"/>
  <c r="AZ526"/>
  <c r="BM527"/>
  <c r="BN527"/>
  <c r="BO527"/>
  <c r="BP527"/>
  <c r="BL527"/>
  <c r="AZ527"/>
  <c r="BM528"/>
  <c r="BN528"/>
  <c r="BO528"/>
  <c r="BP528"/>
  <c r="BL528"/>
  <c r="AZ528"/>
  <c r="BM529"/>
  <c r="BN529"/>
  <c r="BO529"/>
  <c r="BP529"/>
  <c r="BL529"/>
  <c r="AZ529"/>
  <c r="BM530"/>
  <c r="BN530"/>
  <c r="BO530"/>
  <c r="BP530"/>
  <c r="BL530"/>
  <c r="AZ530"/>
  <c r="BM531"/>
  <c r="BN531"/>
  <c r="BO531"/>
  <c r="BP531"/>
  <c r="BL531"/>
  <c r="AZ531"/>
  <c r="BM532"/>
  <c r="BN532"/>
  <c r="BO532"/>
  <c r="BP532"/>
  <c r="BL532"/>
  <c r="AZ532"/>
  <c r="BM533"/>
  <c r="BN533"/>
  <c r="BO533"/>
  <c r="BP533"/>
  <c r="BL533"/>
  <c r="AZ533"/>
  <c r="BM534"/>
  <c r="BN534"/>
  <c r="BO534"/>
  <c r="BP534"/>
  <c r="BL534"/>
  <c r="AZ534"/>
  <c r="BM535"/>
  <c r="BN535"/>
  <c r="BO535"/>
  <c r="BP535"/>
  <c r="BL535"/>
  <c r="AZ535"/>
  <c r="BM536"/>
  <c r="BN536"/>
  <c r="BO536"/>
  <c r="BP536"/>
  <c r="BL536"/>
  <c r="AZ536"/>
  <c r="BM537"/>
  <c r="BN537"/>
  <c r="BO537"/>
  <c r="BP537"/>
  <c r="BL537"/>
  <c r="AZ537"/>
  <c r="BM538"/>
  <c r="BN538"/>
  <c r="BO538"/>
  <c r="BP538"/>
  <c r="BL538"/>
  <c r="AZ538"/>
  <c r="BM539"/>
  <c r="BN539"/>
  <c r="BO539"/>
  <c r="BP539"/>
  <c r="BL539"/>
  <c r="AZ539"/>
  <c r="BM540"/>
  <c r="BN540"/>
  <c r="BO540"/>
  <c r="BP540"/>
  <c r="BL540"/>
  <c r="AZ540"/>
  <c r="BM541"/>
  <c r="BN541"/>
  <c r="BO541"/>
  <c r="BP541"/>
  <c r="BL541"/>
  <c r="AZ541"/>
  <c r="BM542"/>
  <c r="BN542"/>
  <c r="BO542"/>
  <c r="BP542"/>
  <c r="BL542"/>
  <c r="AZ542"/>
  <c r="BM543"/>
  <c r="BN543"/>
  <c r="BO543"/>
  <c r="BP543"/>
  <c r="BL543"/>
  <c r="AZ543"/>
  <c r="BM544"/>
  <c r="BN544"/>
  <c r="BO544"/>
  <c r="BP544"/>
  <c r="BL544"/>
  <c r="AZ544"/>
  <c r="BM545"/>
  <c r="BN545"/>
  <c r="BO545"/>
  <c r="BP545"/>
  <c r="BL545"/>
  <c r="AZ545"/>
  <c r="BM546"/>
  <c r="BN546"/>
  <c r="BO546"/>
  <c r="BP546"/>
  <c r="BL546"/>
  <c r="AZ546"/>
  <c r="BM547"/>
  <c r="BN547"/>
  <c r="BO547"/>
  <c r="BP547"/>
  <c r="BL547"/>
  <c r="AZ547"/>
  <c r="BM548"/>
  <c r="BN548"/>
  <c r="BO548"/>
  <c r="BP548"/>
  <c r="BL548"/>
  <c r="AZ548"/>
  <c r="BM549"/>
  <c r="BN549"/>
  <c r="BO549"/>
  <c r="BP549"/>
  <c r="BL549"/>
  <c r="AZ549"/>
  <c r="BM550"/>
  <c r="BN550"/>
  <c r="BO550"/>
  <c r="BP550"/>
  <c r="BL550"/>
  <c r="AZ550"/>
  <c r="BM551"/>
  <c r="BN551"/>
  <c r="BO551"/>
  <c r="BP551"/>
  <c r="BL551"/>
  <c r="AZ551"/>
  <c r="BM552"/>
  <c r="BN552"/>
  <c r="BO552"/>
  <c r="BP552"/>
  <c r="BL552"/>
  <c r="AZ552"/>
  <c r="BM553"/>
  <c r="BN553"/>
  <c r="BO553"/>
  <c r="BP553"/>
  <c r="BL553"/>
  <c r="AZ553"/>
  <c r="BM554"/>
  <c r="BN554"/>
  <c r="BO554"/>
  <c r="BP554"/>
  <c r="BL554"/>
  <c r="AZ554"/>
  <c r="BM555"/>
  <c r="BN555"/>
  <c r="BO555"/>
  <c r="BP555"/>
  <c r="BL555"/>
  <c r="AZ555"/>
  <c r="BM556"/>
  <c r="BN556"/>
  <c r="BO556"/>
  <c r="BP556"/>
  <c r="BL556"/>
  <c r="AZ556"/>
  <c r="BM557"/>
  <c r="BN557"/>
  <c r="BO557"/>
  <c r="BP557"/>
  <c r="BL557"/>
  <c r="AZ557"/>
  <c r="BM558"/>
  <c r="BN558"/>
  <c r="BO558"/>
  <c r="BP558"/>
  <c r="BL558"/>
  <c r="AZ558"/>
  <c r="BM559"/>
  <c r="BN559"/>
  <c r="BO559"/>
  <c r="BP559"/>
  <c r="BL559"/>
  <c r="AZ559"/>
  <c r="BM560"/>
  <c r="BN560"/>
  <c r="BO560"/>
  <c r="BP560"/>
  <c r="BL560"/>
  <c r="AZ560"/>
  <c r="BM561"/>
  <c r="BN561"/>
  <c r="BO561"/>
  <c r="BP561"/>
  <c r="BL561"/>
  <c r="AZ561"/>
  <c r="BM562"/>
  <c r="BN562"/>
  <c r="BO562"/>
  <c r="BP562"/>
  <c r="BL562"/>
  <c r="AZ562"/>
  <c r="BM563"/>
  <c r="BN563"/>
  <c r="BO563"/>
  <c r="BP563"/>
  <c r="BL563"/>
  <c r="AZ563"/>
  <c r="BM564"/>
  <c r="BN564"/>
  <c r="BO564"/>
  <c r="BP564"/>
  <c r="BL564"/>
  <c r="AZ564"/>
  <c r="BM565"/>
  <c r="BN565"/>
  <c r="BO565"/>
  <c r="BP565"/>
  <c r="BL565"/>
  <c r="AZ565"/>
  <c r="BM566"/>
  <c r="BN566"/>
  <c r="BO566"/>
  <c r="BP566"/>
  <c r="BL566"/>
  <c r="AZ566"/>
  <c r="BM567"/>
  <c r="BN567"/>
  <c r="BO567"/>
  <c r="BP567"/>
  <c r="BL567"/>
  <c r="AZ567"/>
  <c r="BM568"/>
  <c r="BN568"/>
  <c r="BO568"/>
  <c r="BP568"/>
  <c r="BL568"/>
  <c r="AZ568"/>
  <c r="BM569"/>
  <c r="BN569"/>
  <c r="BO569"/>
  <c r="BP569"/>
  <c r="BL569"/>
  <c r="AZ569"/>
  <c r="BM570"/>
  <c r="BN570"/>
  <c r="BO570"/>
  <c r="BP570"/>
  <c r="BL570"/>
  <c r="AZ570"/>
  <c r="BM571"/>
  <c r="BN571"/>
  <c r="BO571"/>
  <c r="BP571"/>
  <c r="BL571"/>
  <c r="AZ571"/>
  <c r="BM572"/>
  <c r="BN572"/>
  <c r="BO572"/>
  <c r="BP572"/>
  <c r="BL572"/>
  <c r="AZ572"/>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G5"/>
  <c r="B3"/>
  <c r="AY6"/>
  <c r="D3" i="6"/>
  <c r="E3"/>
  <c r="D21"/>
  <c r="L21"/>
  <c r="M21"/>
  <c r="I21"/>
  <c r="H21"/>
  <c r="R21"/>
  <c r="R8" i="1"/>
  <c r="B52"/>
  <c r="F34" i="15"/>
  <c r="H19" i="4"/>
  <c r="G41" i="46"/>
  <c r="G2"/>
  <c r="I2"/>
  <c r="M6"/>
  <c r="C6"/>
  <c r="G17"/>
  <c r="H17"/>
  <c r="I17"/>
  <c r="J17"/>
  <c r="C17"/>
  <c r="C16"/>
  <c r="D5"/>
  <c r="G19"/>
  <c r="N5" i="59"/>
  <c r="N6"/>
  <c r="N7"/>
  <c r="N8"/>
  <c r="N9"/>
  <c r="N10"/>
  <c r="N11"/>
  <c r="N12"/>
  <c r="N13"/>
  <c r="N14"/>
  <c r="N15"/>
  <c r="N16"/>
  <c r="N17"/>
  <c r="N18"/>
  <c r="N19"/>
  <c r="N20"/>
  <c r="N21"/>
  <c r="N22"/>
  <c r="N23"/>
  <c r="N24"/>
  <c r="X3"/>
  <c r="O5"/>
  <c r="O6"/>
  <c r="O7"/>
  <c r="O8"/>
  <c r="O9"/>
  <c r="O10"/>
  <c r="O11"/>
  <c r="O12"/>
  <c r="O13"/>
  <c r="O14"/>
  <c r="O15"/>
  <c r="O16"/>
  <c r="O17"/>
  <c r="O18"/>
  <c r="O19"/>
  <c r="O20"/>
  <c r="O21"/>
  <c r="O22"/>
  <c r="O23"/>
  <c r="O24"/>
  <c r="Y3"/>
  <c r="Z3"/>
  <c r="P5"/>
  <c r="P6"/>
  <c r="P7"/>
  <c r="P8"/>
  <c r="P9"/>
  <c r="P10"/>
  <c r="P11"/>
  <c r="P12"/>
  <c r="P13"/>
  <c r="P14"/>
  <c r="P15"/>
  <c r="P16"/>
  <c r="P17"/>
  <c r="P18"/>
  <c r="P19"/>
  <c r="P20"/>
  <c r="P21"/>
  <c r="P22"/>
  <c r="P23"/>
  <c r="P24"/>
  <c r="AA3"/>
  <c r="Q5"/>
  <c r="Q6"/>
  <c r="Q7"/>
  <c r="Q8"/>
  <c r="Q9"/>
  <c r="Q10"/>
  <c r="Q11"/>
  <c r="Q12"/>
  <c r="Q13"/>
  <c r="Q14"/>
  <c r="Q15"/>
  <c r="Q16"/>
  <c r="Q17"/>
  <c r="Q18"/>
  <c r="Q19"/>
  <c r="Q20"/>
  <c r="Q21"/>
  <c r="Q22"/>
  <c r="Q23"/>
  <c r="Q24"/>
  <c r="AB3"/>
  <c r="N25"/>
  <c r="X5"/>
  <c r="O25"/>
  <c r="Y5"/>
  <c r="Z5"/>
  <c r="P25"/>
  <c r="AA5"/>
  <c r="Q25"/>
  <c r="AB5"/>
  <c r="X6"/>
  <c r="Y6"/>
  <c r="Z6"/>
  <c r="AA6"/>
  <c r="AB6"/>
  <c r="X7"/>
  <c r="Y7"/>
  <c r="Z7"/>
  <c r="AA7"/>
  <c r="AB7"/>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C19" i="46"/>
  <c r="D69"/>
  <c r="D70"/>
  <c r="D71"/>
  <c r="K72"/>
  <c r="D72"/>
  <c r="D73"/>
  <c r="K74"/>
  <c r="J74"/>
  <c r="D74"/>
  <c r="D75"/>
  <c r="D76"/>
  <c r="D77"/>
  <c r="E69"/>
  <c r="B67"/>
  <c r="C24"/>
  <c r="F38"/>
  <c r="F8" i="1"/>
  <c r="AF8"/>
  <c r="C43" i="15"/>
  <c r="C8" i="76"/>
  <c r="C9"/>
  <c r="F14"/>
  <c r="E16"/>
  <c r="F17"/>
  <c r="E19"/>
  <c r="F23"/>
  <c r="F24"/>
  <c r="F29"/>
  <c r="F25"/>
  <c r="C25"/>
  <c r="R42" i="68"/>
  <c r="H14"/>
  <c r="T42"/>
  <c r="S42"/>
  <c r="K44"/>
  <c r="Q42"/>
  <c r="L44"/>
  <c r="J20" i="46"/>
  <c r="D19" i="4"/>
  <c r="F6" i="1"/>
  <c r="I20" i="46"/>
  <c r="G3"/>
  <c r="E22"/>
  <c r="G22"/>
  <c r="F22"/>
  <c r="H22"/>
  <c r="D22"/>
  <c r="C21"/>
  <c r="C15"/>
  <c r="D15"/>
  <c r="E15"/>
  <c r="F15"/>
  <c r="C12"/>
  <c r="C5"/>
  <c r="C18"/>
  <c r="K6" i="1"/>
  <c r="M6"/>
  <c r="O6"/>
  <c r="P6"/>
  <c r="T6"/>
  <c r="K1" i="12"/>
  <c r="F14"/>
  <c r="F15"/>
  <c r="E16"/>
  <c r="F17"/>
  <c r="E19"/>
  <c r="E21"/>
  <c r="E22"/>
  <c r="F23"/>
  <c r="R47" i="21"/>
  <c r="C7"/>
  <c r="C58"/>
  <c r="D58"/>
  <c r="E58"/>
  <c r="F58"/>
  <c r="G58"/>
  <c r="H58"/>
  <c r="I58"/>
  <c r="J58"/>
  <c r="K58"/>
  <c r="L58"/>
  <c r="M58"/>
  <c r="N58"/>
  <c r="O58"/>
  <c r="F7"/>
  <c r="AA7"/>
  <c r="F8"/>
  <c r="AA8"/>
  <c r="C63"/>
  <c r="F9"/>
  <c r="AA9"/>
  <c r="D66"/>
  <c r="F10"/>
  <c r="AA10"/>
  <c r="F11"/>
  <c r="AA11"/>
  <c r="B70"/>
  <c r="F12"/>
  <c r="AA12"/>
  <c r="B72"/>
  <c r="F13"/>
  <c r="AA13"/>
  <c r="B74"/>
  <c r="F14"/>
  <c r="AA14"/>
  <c r="D77"/>
  <c r="D79"/>
  <c r="D81"/>
  <c r="F21"/>
  <c r="AA21"/>
  <c r="D85"/>
  <c r="F25"/>
  <c r="AA25"/>
  <c r="B90"/>
  <c r="F27"/>
  <c r="AA27"/>
  <c r="B92"/>
  <c r="F28"/>
  <c r="AA28"/>
  <c r="B94"/>
  <c r="F29"/>
  <c r="AA29"/>
  <c r="B96"/>
  <c r="F30"/>
  <c r="AA30"/>
  <c r="B98"/>
  <c r="F31"/>
  <c r="AA31"/>
  <c r="F32"/>
  <c r="AA32"/>
  <c r="F33"/>
  <c r="AA33"/>
  <c r="F34"/>
  <c r="AA34"/>
  <c r="F35"/>
  <c r="AA35"/>
  <c r="F36"/>
  <c r="AA36"/>
  <c r="D113"/>
  <c r="E113"/>
  <c r="F113"/>
  <c r="G113"/>
  <c r="F37"/>
  <c r="AA37"/>
  <c r="F38"/>
  <c r="AA38"/>
  <c r="F39"/>
  <c r="AA39"/>
  <c r="F40"/>
  <c r="AA40"/>
  <c r="F41"/>
  <c r="AA41"/>
  <c r="D123"/>
  <c r="F42"/>
  <c r="AA42"/>
  <c r="D125"/>
  <c r="F43"/>
  <c r="AA43"/>
  <c r="B126"/>
  <c r="F44"/>
  <c r="AA44"/>
  <c r="B128"/>
  <c r="F45"/>
  <c r="AA45"/>
  <c r="B130"/>
  <c r="F46"/>
  <c r="AA46"/>
  <c r="T47"/>
  <c r="H7"/>
  <c r="AB7"/>
  <c r="H8"/>
  <c r="AB8"/>
  <c r="H9"/>
  <c r="AB9"/>
  <c r="H10"/>
  <c r="AB10"/>
  <c r="H11"/>
  <c r="AB11"/>
  <c r="H12"/>
  <c r="AB12"/>
  <c r="H13"/>
  <c r="AB13"/>
  <c r="H14"/>
  <c r="AB14"/>
  <c r="H21"/>
  <c r="AB21"/>
  <c r="H25"/>
  <c r="AB25"/>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V47"/>
  <c r="J7"/>
  <c r="AC7"/>
  <c r="J8"/>
  <c r="AC8"/>
  <c r="J9"/>
  <c r="AC9"/>
  <c r="J10"/>
  <c r="AC10"/>
  <c r="J11"/>
  <c r="AC11"/>
  <c r="J12"/>
  <c r="AC12"/>
  <c r="J13"/>
  <c r="AC13"/>
  <c r="J14"/>
  <c r="AC14"/>
  <c r="J21"/>
  <c r="AC21"/>
  <c r="J25"/>
  <c r="AC25"/>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F24" i="12"/>
  <c r="F29"/>
  <c r="F25"/>
  <c r="C25"/>
  <c r="K43" i="68"/>
  <c r="D46"/>
  <c r="D44"/>
  <c r="F44"/>
  <c r="F12"/>
  <c r="E44"/>
  <c r="F14"/>
  <c r="E46"/>
  <c r="E48"/>
  <c r="C46"/>
  <c r="C44"/>
  <c r="K32"/>
  <c r="J32"/>
  <c r="L32"/>
  <c r="T34"/>
  <c r="K30"/>
  <c r="J30"/>
  <c r="L30"/>
  <c r="H12"/>
  <c r="D31"/>
  <c r="C31"/>
  <c r="E31"/>
  <c r="D24"/>
  <c r="F15" i="76"/>
  <c r="G28"/>
  <c r="G27"/>
  <c r="G26"/>
  <c r="K9"/>
  <c r="J9"/>
  <c r="I9"/>
  <c r="H9"/>
  <c r="G9"/>
  <c r="F9"/>
  <c r="E9"/>
  <c r="D9"/>
  <c r="B5"/>
  <c r="B4"/>
  <c r="C36" i="68"/>
  <c r="C37"/>
  <c r="BB5" i="3"/>
  <c r="BC5"/>
  <c r="BB10"/>
  <c r="BC10"/>
  <c r="BD10"/>
  <c r="BE10"/>
  <c r="BF10"/>
  <c r="BG10"/>
  <c r="BH10"/>
  <c r="BI10"/>
  <c r="BJ10"/>
  <c r="BK10"/>
  <c r="BD5"/>
  <c r="BE5"/>
  <c r="BF5"/>
  <c r="BG5"/>
  <c r="BH5"/>
  <c r="BI5"/>
  <c r="BJ5"/>
  <c r="BK5"/>
  <c r="E8" i="6"/>
  <c r="F27"/>
  <c r="D16" i="68"/>
  <c r="D17"/>
  <c r="E16"/>
  <c r="F16"/>
  <c r="E32"/>
  <c r="D36"/>
  <c r="E36"/>
  <c r="E37"/>
  <c r="C32"/>
  <c r="F31"/>
  <c r="F32"/>
  <c r="D32"/>
  <c r="I5"/>
  <c r="H3" i="75"/>
  <c r="G3"/>
  <c r="H2"/>
  <c r="G2"/>
  <c r="D2"/>
  <c r="I2"/>
  <c r="Q34" i="68"/>
  <c r="C18"/>
  <c r="C7" i="33"/>
  <c r="C58"/>
  <c r="D58"/>
  <c r="E58"/>
  <c r="F58"/>
  <c r="G58"/>
  <c r="H58"/>
  <c r="I58"/>
  <c r="J58"/>
  <c r="K58"/>
  <c r="L58"/>
  <c r="M58"/>
  <c r="N58"/>
  <c r="O58"/>
  <c r="F7"/>
  <c r="AA7"/>
  <c r="R47"/>
  <c r="F8"/>
  <c r="AA8"/>
  <c r="C63"/>
  <c r="F9"/>
  <c r="AA9"/>
  <c r="G66"/>
  <c r="F10"/>
  <c r="AA10"/>
  <c r="F11"/>
  <c r="AA11"/>
  <c r="B70"/>
  <c r="F12"/>
  <c r="AA12"/>
  <c r="B72"/>
  <c r="F13"/>
  <c r="AA13"/>
  <c r="B74"/>
  <c r="F14"/>
  <c r="AA14"/>
  <c r="D77"/>
  <c r="E77"/>
  <c r="F15"/>
  <c r="AA15"/>
  <c r="D79"/>
  <c r="E79"/>
  <c r="F17"/>
  <c r="AA17"/>
  <c r="D81"/>
  <c r="F19"/>
  <c r="AA19"/>
  <c r="F21"/>
  <c r="AA21"/>
  <c r="D85"/>
  <c r="F23"/>
  <c r="AA23"/>
  <c r="F25"/>
  <c r="AA25"/>
  <c r="B88"/>
  <c r="F26"/>
  <c r="AA26"/>
  <c r="B90"/>
  <c r="D91"/>
  <c r="E91"/>
  <c r="F27"/>
  <c r="AA27"/>
  <c r="B92"/>
  <c r="F28"/>
  <c r="AA28"/>
  <c r="B94"/>
  <c r="F29"/>
  <c r="AA29"/>
  <c r="B96"/>
  <c r="F30"/>
  <c r="AA30"/>
  <c r="B98"/>
  <c r="F31"/>
  <c r="AA31"/>
  <c r="D101"/>
  <c r="E101"/>
  <c r="F32"/>
  <c r="AA32"/>
  <c r="F33"/>
  <c r="AA33"/>
  <c r="F34"/>
  <c r="AA34"/>
  <c r="F35"/>
  <c r="AA35"/>
  <c r="D111"/>
  <c r="E111"/>
  <c r="F111"/>
  <c r="F36"/>
  <c r="AA36"/>
  <c r="D113"/>
  <c r="E113"/>
  <c r="F37"/>
  <c r="AA37"/>
  <c r="F38"/>
  <c r="AA38"/>
  <c r="F39"/>
  <c r="AA39"/>
  <c r="F40"/>
  <c r="AA40"/>
  <c r="F41"/>
  <c r="AA41"/>
  <c r="F42"/>
  <c r="AA42"/>
  <c r="D125"/>
  <c r="F43"/>
  <c r="AA43"/>
  <c r="B126"/>
  <c r="F44"/>
  <c r="AA44"/>
  <c r="B128"/>
  <c r="F45"/>
  <c r="AA45"/>
  <c r="B130"/>
  <c r="F46"/>
  <c r="AA46"/>
  <c r="R48"/>
  <c r="H7"/>
  <c r="AB7"/>
  <c r="T4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J7"/>
  <c r="AC7"/>
  <c r="V4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V48"/>
  <c r="R49"/>
  <c r="C49"/>
  <c r="C8" i="72"/>
  <c r="C10"/>
  <c r="I3" i="68"/>
  <c r="I2"/>
  <c r="F9"/>
  <c r="B9"/>
  <c r="D20"/>
  <c r="D18"/>
  <c r="G5"/>
  <c r="D38" i="46"/>
  <c r="C5" i="33"/>
  <c r="F113" i="73"/>
  <c r="N99"/>
  <c r="N108"/>
  <c r="M99"/>
  <c r="M108"/>
  <c r="L99"/>
  <c r="L108"/>
  <c r="K99"/>
  <c r="K108"/>
  <c r="J99"/>
  <c r="J108"/>
  <c r="I99"/>
  <c r="I108"/>
  <c r="H99"/>
  <c r="H108"/>
  <c r="G99"/>
  <c r="G108"/>
  <c r="F99"/>
  <c r="F108"/>
  <c r="E99"/>
  <c r="E108"/>
  <c r="D99"/>
  <c r="D108"/>
  <c r="C99"/>
  <c r="C108"/>
  <c r="M87"/>
  <c r="N87"/>
  <c r="K87"/>
  <c r="J87"/>
  <c r="D87"/>
  <c r="M86"/>
  <c r="N86"/>
  <c r="K86"/>
  <c r="J86"/>
  <c r="D86"/>
  <c r="M85"/>
  <c r="N85"/>
  <c r="K85"/>
  <c r="J85"/>
  <c r="D85"/>
  <c r="M84"/>
  <c r="N84"/>
  <c r="K84"/>
  <c r="J84"/>
  <c r="D84"/>
  <c r="M83"/>
  <c r="N83"/>
  <c r="K83"/>
  <c r="J83"/>
  <c r="D83"/>
  <c r="B83"/>
  <c r="M82"/>
  <c r="N82"/>
  <c r="K82"/>
  <c r="J82"/>
  <c r="D82"/>
  <c r="B82"/>
  <c r="M81"/>
  <c r="N81"/>
  <c r="K81"/>
  <c r="J81"/>
  <c r="D81"/>
  <c r="M80"/>
  <c r="N80"/>
  <c r="K80"/>
  <c r="J80"/>
  <c r="F80"/>
  <c r="H86"/>
  <c r="D80"/>
  <c r="E80"/>
  <c r="B78"/>
  <c r="M77"/>
  <c r="N77"/>
  <c r="K77"/>
  <c r="J77"/>
  <c r="D77"/>
  <c r="M76"/>
  <c r="N76"/>
  <c r="K76"/>
  <c r="J76"/>
  <c r="D76"/>
  <c r="M75"/>
  <c r="N75"/>
  <c r="K75"/>
  <c r="J75"/>
  <c r="M74"/>
  <c r="N74"/>
  <c r="K74"/>
  <c r="J74"/>
  <c r="D74"/>
  <c r="M73"/>
  <c r="N73"/>
  <c r="K73"/>
  <c r="J73"/>
  <c r="M72"/>
  <c r="N72"/>
  <c r="K72"/>
  <c r="J72"/>
  <c r="D72"/>
  <c r="M71"/>
  <c r="N71"/>
  <c r="K71"/>
  <c r="J71"/>
  <c r="B71"/>
  <c r="M70"/>
  <c r="N70"/>
  <c r="K70"/>
  <c r="J70"/>
  <c r="M69"/>
  <c r="N69"/>
  <c r="K69"/>
  <c r="J69"/>
  <c r="D69"/>
  <c r="M66"/>
  <c r="N66"/>
  <c r="K66"/>
  <c r="J66"/>
  <c r="D66"/>
  <c r="M65"/>
  <c r="N65"/>
  <c r="K65"/>
  <c r="J65"/>
  <c r="D65"/>
  <c r="M64"/>
  <c r="N64"/>
  <c r="K64"/>
  <c r="J64"/>
  <c r="D64"/>
  <c r="M63"/>
  <c r="N63"/>
  <c r="K63"/>
  <c r="J63"/>
  <c r="D63"/>
  <c r="M62"/>
  <c r="N62"/>
  <c r="K62"/>
  <c r="J62"/>
  <c r="D62"/>
  <c r="M61"/>
  <c r="N61"/>
  <c r="K61"/>
  <c r="J61"/>
  <c r="D61"/>
  <c r="M60"/>
  <c r="N60"/>
  <c r="K60"/>
  <c r="J60"/>
  <c r="D60"/>
  <c r="B60"/>
  <c r="M59"/>
  <c r="N59"/>
  <c r="K59"/>
  <c r="J59"/>
  <c r="D59"/>
  <c r="M58"/>
  <c r="N58"/>
  <c r="K58"/>
  <c r="J58"/>
  <c r="F58"/>
  <c r="H65"/>
  <c r="D58"/>
  <c r="E58"/>
  <c r="B56"/>
  <c r="M55"/>
  <c r="N55"/>
  <c r="K55"/>
  <c r="J55"/>
  <c r="D55"/>
  <c r="M54"/>
  <c r="N54"/>
  <c r="K54"/>
  <c r="J54"/>
  <c r="M53"/>
  <c r="N53"/>
  <c r="K53"/>
  <c r="J53"/>
  <c r="D53"/>
  <c r="M52"/>
  <c r="N52"/>
  <c r="K52"/>
  <c r="J52"/>
  <c r="D52"/>
  <c r="M51"/>
  <c r="N51"/>
  <c r="K51"/>
  <c r="J51"/>
  <c r="D51"/>
  <c r="M50"/>
  <c r="N50"/>
  <c r="K50"/>
  <c r="J50"/>
  <c r="D50"/>
  <c r="M49"/>
  <c r="N49"/>
  <c r="K49"/>
  <c r="J49"/>
  <c r="D49"/>
  <c r="B49"/>
  <c r="M48"/>
  <c r="N48"/>
  <c r="K48"/>
  <c r="J48"/>
  <c r="D48"/>
  <c r="M47"/>
  <c r="N47"/>
  <c r="K47"/>
  <c r="J47"/>
  <c r="D47"/>
  <c r="H39"/>
  <c r="H38"/>
  <c r="H37"/>
  <c r="H36"/>
  <c r="H35"/>
  <c r="H34"/>
  <c r="H33"/>
  <c r="D29"/>
  <c r="J20"/>
  <c r="I19"/>
  <c r="C18"/>
  <c r="F15"/>
  <c r="E15"/>
  <c r="D15"/>
  <c r="C15"/>
  <c r="C12"/>
  <c r="Y12"/>
  <c r="Y10"/>
  <c r="C10"/>
  <c r="C11"/>
  <c r="AJ9"/>
  <c r="AJ10"/>
  <c r="AI9"/>
  <c r="AI12"/>
  <c r="AH9"/>
  <c r="AH10"/>
  <c r="AG9"/>
  <c r="AG12"/>
  <c r="AF9"/>
  <c r="AF10"/>
  <c r="AE9"/>
  <c r="AE12"/>
  <c r="AD9"/>
  <c r="AD10"/>
  <c r="AC9"/>
  <c r="AC12"/>
  <c r="AB9"/>
  <c r="AB10"/>
  <c r="AA9"/>
  <c r="AA12"/>
  <c r="Z9"/>
  <c r="Z10"/>
  <c r="C9"/>
  <c r="A7"/>
  <c r="G3"/>
  <c r="B113"/>
  <c r="I2"/>
  <c r="M12"/>
  <c r="G2"/>
  <c r="F69"/>
  <c r="N1"/>
  <c r="D1"/>
  <c r="F25" i="72"/>
  <c r="F24"/>
  <c r="F23"/>
  <c r="E22"/>
  <c r="D54" i="73"/>
  <c r="E47"/>
  <c r="B45"/>
  <c r="D71"/>
  <c r="D73"/>
  <c r="M1"/>
  <c r="M2"/>
  <c r="N3"/>
  <c r="N5"/>
  <c r="M8"/>
  <c r="H80"/>
  <c r="M4"/>
  <c r="N6"/>
  <c r="M7"/>
  <c r="F47"/>
  <c r="H54"/>
  <c r="H75"/>
  <c r="H74"/>
  <c r="H72"/>
  <c r="H70"/>
  <c r="H77"/>
  <c r="H76"/>
  <c r="H73"/>
  <c r="H71"/>
  <c r="H69"/>
  <c r="D118"/>
  <c r="E118"/>
  <c r="F118"/>
  <c r="B118"/>
  <c r="C118"/>
  <c r="D117"/>
  <c r="E117"/>
  <c r="F117"/>
  <c r="G117"/>
  <c r="H117"/>
  <c r="B117"/>
  <c r="C117"/>
  <c r="D116"/>
  <c r="E116"/>
  <c r="F116"/>
  <c r="G116"/>
  <c r="H116"/>
  <c r="B116"/>
  <c r="C116"/>
  <c r="D115"/>
  <c r="E115"/>
  <c r="F115"/>
  <c r="G115"/>
  <c r="H115"/>
  <c r="B115"/>
  <c r="C115"/>
  <c r="I118"/>
  <c r="J118"/>
  <c r="K118"/>
  <c r="L118"/>
  <c r="M118"/>
  <c r="G118"/>
  <c r="H118"/>
  <c r="I117"/>
  <c r="J117"/>
  <c r="K117"/>
  <c r="L117"/>
  <c r="M117"/>
  <c r="I116"/>
  <c r="J116"/>
  <c r="K116"/>
  <c r="L116"/>
  <c r="M116"/>
  <c r="I115"/>
  <c r="J115"/>
  <c r="K115"/>
  <c r="L115"/>
  <c r="M115"/>
  <c r="E11"/>
  <c r="E10"/>
  <c r="E9"/>
  <c r="E8"/>
  <c r="S2"/>
  <c r="S7"/>
  <c r="Z7"/>
  <c r="N2"/>
  <c r="M3"/>
  <c r="S3"/>
  <c r="N4"/>
  <c r="M5"/>
  <c r="S5"/>
  <c r="M6"/>
  <c r="S6"/>
  <c r="N7"/>
  <c r="X7"/>
  <c r="N8"/>
  <c r="N9"/>
  <c r="M10"/>
  <c r="AA10"/>
  <c r="AC10"/>
  <c r="AE10"/>
  <c r="AG10"/>
  <c r="AI10"/>
  <c r="M11"/>
  <c r="Y11"/>
  <c r="Y13"/>
  <c r="AA11"/>
  <c r="AA13"/>
  <c r="AC11"/>
  <c r="AC13"/>
  <c r="AE11"/>
  <c r="AE13"/>
  <c r="AG11"/>
  <c r="AG13"/>
  <c r="AI11"/>
  <c r="AI13"/>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C7" i="73"/>
  <c r="D22"/>
  <c r="C21"/>
  <c r="E69"/>
  <c r="B67"/>
  <c r="C24"/>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21"/>
  <c r="C5" i="73"/>
  <c r="D29" i="46"/>
  <c r="I6" i="68"/>
  <c r="G4"/>
  <c r="G8"/>
  <c r="C7"/>
  <c r="C4"/>
  <c r="C8"/>
  <c r="AH5" i="59"/>
  <c r="AG5"/>
  <c r="AE5"/>
  <c r="AF5"/>
  <c r="AD5"/>
  <c r="L3"/>
  <c r="AH3"/>
  <c r="K3"/>
  <c r="J3"/>
  <c r="I3"/>
  <c r="AH6"/>
  <c r="AG6"/>
  <c r="AE6"/>
  <c r="AF6"/>
  <c r="AD6"/>
  <c r="AH7"/>
  <c r="AG7"/>
  <c r="AE7"/>
  <c r="AF7"/>
  <c r="AD7"/>
  <c r="J50" i="15"/>
  <c r="J51"/>
  <c r="D10" i="59"/>
  <c r="AH8"/>
  <c r="AG8"/>
  <c r="AE8"/>
  <c r="AF8"/>
  <c r="AD8"/>
  <c r="AE9"/>
  <c r="AF9"/>
  <c r="AG9"/>
  <c r="AH9"/>
  <c r="AD9"/>
  <c r="K59" i="15"/>
  <c r="P62"/>
  <c r="P75"/>
  <c r="Q74" i="44"/>
  <c r="Q61"/>
  <c r="Q60"/>
  <c r="Q53"/>
  <c r="J51"/>
  <c r="J52"/>
  <c r="M48"/>
  <c r="A16" i="55"/>
  <c r="A15"/>
  <c r="A14"/>
  <c r="A11"/>
  <c r="A10"/>
  <c r="A9"/>
  <c r="A8"/>
  <c r="A6" i="54"/>
  <c r="A8"/>
  <c r="A7"/>
  <c r="A27" i="51"/>
  <c r="K75" i="9"/>
  <c r="K6" i="4"/>
  <c r="O76" i="9"/>
  <c r="L76"/>
  <c r="B22" i="31"/>
  <c r="E15" i="66"/>
  <c r="F15"/>
  <c r="E16"/>
  <c r="F16"/>
  <c r="E17"/>
  <c r="F17"/>
  <c r="E18"/>
  <c r="F18"/>
  <c r="E19"/>
  <c r="F19"/>
  <c r="E20"/>
  <c r="F20"/>
  <c r="E21"/>
  <c r="F21"/>
  <c r="E22"/>
  <c r="F22"/>
  <c r="E23"/>
  <c r="F23"/>
  <c r="B3"/>
  <c r="B9" i="59"/>
  <c r="B8"/>
  <c r="B7"/>
  <c r="E9"/>
  <c r="E8"/>
  <c r="E7"/>
  <c r="E6"/>
  <c r="E5"/>
  <c r="F9"/>
  <c r="F8"/>
  <c r="F7"/>
  <c r="F6"/>
  <c r="F5"/>
  <c r="U9"/>
  <c r="S9"/>
  <c r="AD3"/>
  <c r="AE3"/>
  <c r="AF3"/>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S2" i="31"/>
  <c r="M2"/>
  <c r="N2"/>
  <c r="O2"/>
  <c r="P2"/>
  <c r="Q2"/>
  <c r="R2"/>
  <c r="C9" i="59"/>
  <c r="C8"/>
  <c r="C3" i="65"/>
  <c r="D9" i="59"/>
  <c r="B76" i="63"/>
  <c r="M5" i="54"/>
  <c r="A23" i="51"/>
  <c r="Y12" i="46"/>
  <c r="AA9"/>
  <c r="AA10"/>
  <c r="AB9"/>
  <c r="AC9"/>
  <c r="AC10"/>
  <c r="AD9"/>
  <c r="AE9"/>
  <c r="AE10"/>
  <c r="AF9"/>
  <c r="AG9"/>
  <c r="AG10"/>
  <c r="AH9"/>
  <c r="AH10"/>
  <c r="AI9"/>
  <c r="AI12"/>
  <c r="AJ9"/>
  <c r="AJ10"/>
  <c r="Z9"/>
  <c r="Z10"/>
  <c r="AI10"/>
  <c r="AF10"/>
  <c r="AD10"/>
  <c r="AB10"/>
  <c r="Y10"/>
  <c r="AJ12"/>
  <c r="AH12"/>
  <c r="AF12"/>
  <c r="AD12"/>
  <c r="AB12"/>
  <c r="Z12"/>
  <c r="AG12"/>
  <c r="AC12"/>
  <c r="B73" i="63"/>
  <c r="A21" i="64"/>
  <c r="B75" i="63"/>
  <c r="A27" i="64"/>
  <c r="A15"/>
  <c r="A14"/>
  <c r="A11"/>
  <c r="A3"/>
  <c r="A45" i="9"/>
  <c r="A44"/>
  <c r="C57" i="10"/>
  <c r="A28" i="51"/>
  <c r="B21" i="63"/>
  <c r="C56" i="10"/>
  <c r="C55"/>
  <c r="C54"/>
  <c r="B49" i="63"/>
  <c r="B44"/>
  <c r="B40"/>
  <c r="B30"/>
  <c r="B27"/>
  <c r="B25"/>
  <c r="A11" i="51"/>
  <c r="B10" i="63"/>
  <c r="A26" i="64"/>
  <c r="A26" i="51"/>
  <c r="B19" i="63"/>
  <c r="K39" i="9"/>
  <c r="K40"/>
  <c r="B58" i="63"/>
  <c r="B53"/>
  <c r="B51"/>
  <c r="A46" i="9"/>
  <c r="K41"/>
  <c r="B8" i="63"/>
  <c r="A21" i="55"/>
  <c r="B71" i="63"/>
  <c r="A20" i="55"/>
  <c r="B69" i="63"/>
  <c r="B26"/>
  <c r="B28"/>
  <c r="B29"/>
  <c r="B31"/>
  <c r="B33"/>
  <c r="B35"/>
  <c r="B36"/>
  <c r="B37"/>
  <c r="B63"/>
  <c r="B64"/>
  <c r="B68"/>
  <c r="D51" i="10"/>
  <c r="B61" i="63"/>
  <c r="B60"/>
  <c r="B59"/>
  <c r="B51" i="10"/>
  <c r="B20" i="63"/>
  <c r="B17"/>
  <c r="A15" i="51"/>
  <c r="B12" i="63"/>
  <c r="A14" i="51"/>
  <c r="B11" i="63"/>
  <c r="B66"/>
  <c r="A4" i="55"/>
  <c r="B57" i="63"/>
  <c r="B41"/>
  <c r="G5" i="54"/>
  <c r="B34" i="63"/>
  <c r="E5" i="54"/>
  <c r="B32" i="63"/>
  <c r="R2" i="54"/>
  <c r="B24" i="63"/>
  <c r="B49" i="50"/>
  <c r="B5" i="63"/>
  <c r="B40" i="50"/>
  <c r="B3" i="63"/>
  <c r="B67"/>
  <c r="I19" i="46"/>
  <c r="E13" i="59"/>
  <c r="B13"/>
  <c r="D74"/>
  <c r="F73"/>
  <c r="F72"/>
  <c r="F71"/>
  <c r="E73"/>
  <c r="E72"/>
  <c r="E71"/>
  <c r="C73"/>
  <c r="D73"/>
  <c r="B73"/>
  <c r="B72"/>
  <c r="B71"/>
  <c r="D70"/>
  <c r="F69"/>
  <c r="F68"/>
  <c r="F67"/>
  <c r="E69"/>
  <c r="E68"/>
  <c r="E67"/>
  <c r="C69"/>
  <c r="D69"/>
  <c r="B69"/>
  <c r="B68"/>
  <c r="B67"/>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P52"/>
  <c r="C53"/>
  <c r="B53"/>
  <c r="N53"/>
  <c r="F52"/>
  <c r="F51"/>
  <c r="B52"/>
  <c r="D50"/>
  <c r="Q49"/>
  <c r="P49"/>
  <c r="O49"/>
  <c r="N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F40"/>
  <c r="F41"/>
  <c r="V41"/>
  <c r="P38"/>
  <c r="E39"/>
  <c r="E40"/>
  <c r="E41"/>
  <c r="U41"/>
  <c r="O38"/>
  <c r="C39"/>
  <c r="N38"/>
  <c r="B39"/>
  <c r="B40"/>
  <c r="B41"/>
  <c r="S41"/>
  <c r="D38"/>
  <c r="Q37"/>
  <c r="P37"/>
  <c r="O37"/>
  <c r="N37"/>
  <c r="Q36"/>
  <c r="P36"/>
  <c r="O36"/>
  <c r="N36"/>
  <c r="Q35"/>
  <c r="P35"/>
  <c r="O35"/>
  <c r="N35"/>
  <c r="Q34"/>
  <c r="F35"/>
  <c r="F36"/>
  <c r="F37"/>
  <c r="V37"/>
  <c r="P34"/>
  <c r="E35"/>
  <c r="E36"/>
  <c r="E37"/>
  <c r="U37"/>
  <c r="O34"/>
  <c r="C35"/>
  <c r="N34"/>
  <c r="B35"/>
  <c r="B36"/>
  <c r="B37"/>
  <c r="S37"/>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F28"/>
  <c r="F29"/>
  <c r="V29"/>
  <c r="P26"/>
  <c r="E27"/>
  <c r="E28"/>
  <c r="E29"/>
  <c r="U29"/>
  <c r="O26"/>
  <c r="C27"/>
  <c r="N26"/>
  <c r="B27"/>
  <c r="B28"/>
  <c r="B29"/>
  <c r="S29"/>
  <c r="D26"/>
  <c r="F23"/>
  <c r="E23"/>
  <c r="E24"/>
  <c r="E25"/>
  <c r="D22"/>
  <c r="C19"/>
  <c r="B19"/>
  <c r="B20"/>
  <c r="B21"/>
  <c r="S21"/>
  <c r="D18"/>
  <c r="F15"/>
  <c r="D14"/>
  <c r="E15"/>
  <c r="E16"/>
  <c r="E17"/>
  <c r="U17"/>
  <c r="S53"/>
  <c r="F16"/>
  <c r="F17"/>
  <c r="V17"/>
  <c r="F24"/>
  <c r="F25"/>
  <c r="V25"/>
  <c r="F32"/>
  <c r="F33"/>
  <c r="V33"/>
  <c r="F44"/>
  <c r="F45"/>
  <c r="V45"/>
  <c r="F48"/>
  <c r="F49"/>
  <c r="V49"/>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c r="D64"/>
  <c r="C63"/>
  <c r="D63"/>
  <c r="D56"/>
  <c r="C55"/>
  <c r="D55"/>
  <c r="C51"/>
  <c r="O52"/>
  <c r="D52"/>
  <c r="D68"/>
  <c r="C67"/>
  <c r="D67"/>
  <c r="D60"/>
  <c r="C59"/>
  <c r="D59"/>
  <c r="N50"/>
  <c r="N51"/>
  <c r="C21"/>
  <c r="D20"/>
  <c r="C49"/>
  <c r="D48"/>
  <c r="C41"/>
  <c r="D40"/>
  <c r="C29"/>
  <c r="D28"/>
  <c r="T29"/>
  <c r="D29"/>
  <c r="T41"/>
  <c r="D41"/>
  <c r="T49"/>
  <c r="D49"/>
  <c r="T21"/>
  <c r="D21"/>
  <c r="O51"/>
  <c r="D51"/>
  <c r="O50"/>
  <c r="O27" i="6"/>
  <c r="N27"/>
  <c r="P26"/>
  <c r="L26"/>
  <c r="P25"/>
  <c r="L25"/>
  <c r="P24"/>
  <c r="L24"/>
  <c r="P23"/>
  <c r="L23"/>
  <c r="P22"/>
  <c r="L22"/>
  <c r="P21"/>
  <c r="P20"/>
  <c r="P19"/>
  <c r="P27"/>
  <c r="Q18" i="36"/>
  <c r="Z18"/>
  <c r="C18"/>
  <c r="D66"/>
  <c r="F18"/>
  <c r="AA18"/>
  <c r="Q18" i="35"/>
  <c r="Z18"/>
  <c r="F18"/>
  <c r="AA18"/>
  <c r="C18"/>
  <c r="D68"/>
  <c r="E68"/>
  <c r="F68"/>
  <c r="G68"/>
  <c r="Q21" i="37"/>
  <c r="Z21"/>
  <c r="F21"/>
  <c r="AA21"/>
  <c r="C21"/>
  <c r="D77"/>
  <c r="E77"/>
  <c r="F77"/>
  <c r="G77"/>
  <c r="Q21" i="34"/>
  <c r="Z21"/>
  <c r="C21"/>
  <c r="D84"/>
  <c r="F21"/>
  <c r="AA21"/>
  <c r="Q21" i="33"/>
  <c r="Z21"/>
  <c r="C21"/>
  <c r="D83"/>
  <c r="E83"/>
  <c r="F83"/>
  <c r="G83"/>
  <c r="Q21" i="21"/>
  <c r="Z21"/>
  <c r="D83"/>
  <c r="E83"/>
  <c r="C21"/>
  <c r="Q27" i="40"/>
  <c r="Z27"/>
  <c r="D96"/>
  <c r="E96"/>
  <c r="F27"/>
  <c r="AA27"/>
  <c r="Q31" i="39"/>
  <c r="Z31"/>
  <c r="D105"/>
  <c r="E105"/>
  <c r="F31"/>
  <c r="AA31"/>
  <c r="G20" i="20"/>
  <c r="B85" i="73"/>
  <c r="B85" i="46"/>
  <c r="C22" i="20"/>
  <c r="B65" i="46"/>
  <c r="S18" i="36"/>
  <c r="S18" i="35"/>
  <c r="S21" i="37"/>
  <c r="S21" i="34"/>
  <c r="S27" i="40"/>
  <c r="S31" i="39"/>
  <c r="C27" i="40"/>
  <c r="C31" i="39"/>
  <c r="B54" i="46"/>
  <c r="B74"/>
  <c r="E66" i="36"/>
  <c r="H18" i="35"/>
  <c r="J18"/>
  <c r="H21" i="37"/>
  <c r="J21"/>
  <c r="E84" i="34"/>
  <c r="F84"/>
  <c r="G84"/>
  <c r="J21"/>
  <c r="H21"/>
  <c r="F83" i="21"/>
  <c r="G83"/>
  <c r="F96" i="40"/>
  <c r="H27"/>
  <c r="F105" i="39"/>
  <c r="H31"/>
  <c r="D22" i="15"/>
  <c r="G17" i="11"/>
  <c r="D23" i="15"/>
  <c r="F60"/>
  <c r="K2" i="4"/>
  <c r="K1"/>
  <c r="B1"/>
  <c r="B37" i="50"/>
  <c r="B2" i="63"/>
  <c r="C31" i="57"/>
  <c r="C32"/>
  <c r="I23"/>
  <c r="D20"/>
  <c r="I19"/>
  <c r="I18"/>
  <c r="I17"/>
  <c r="I20"/>
  <c r="E15"/>
  <c r="I14"/>
  <c r="I13"/>
  <c r="I12"/>
  <c r="I15"/>
  <c r="I9"/>
  <c r="I8"/>
  <c r="I7"/>
  <c r="I6"/>
  <c r="I5"/>
  <c r="I4"/>
  <c r="I3"/>
  <c r="I10"/>
  <c r="I21"/>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K76"/>
  <c r="J76"/>
  <c r="M75"/>
  <c r="N75"/>
  <c r="K75"/>
  <c r="J75"/>
  <c r="M74"/>
  <c r="N74"/>
  <c r="M73"/>
  <c r="K73"/>
  <c r="M72"/>
  <c r="N72"/>
  <c r="J72"/>
  <c r="M71"/>
  <c r="N71"/>
  <c r="K71"/>
  <c r="J71"/>
  <c r="M70"/>
  <c r="N70"/>
  <c r="K70"/>
  <c r="J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N86"/>
  <c r="D80"/>
  <c r="D81"/>
  <c r="N73"/>
  <c r="J66"/>
  <c r="D66"/>
  <c r="J50"/>
  <c r="D50"/>
  <c r="J54"/>
  <c r="D54"/>
  <c r="Q73" i="15"/>
  <c r="Q60"/>
  <c r="Q59"/>
  <c r="Q52"/>
  <c r="AE10" i="1"/>
  <c r="AE11"/>
  <c r="AE12"/>
  <c r="AE13"/>
  <c r="M47" i="15"/>
  <c r="AG7" i="1"/>
  <c r="G1" i="44"/>
  <c r="L49"/>
  <c r="J54"/>
  <c r="F1"/>
  <c r="L48" i="15"/>
  <c r="J53"/>
  <c r="F1"/>
  <c r="AE8"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c r="F13"/>
  <c r="AP13"/>
  <c r="D11"/>
  <c r="D12"/>
  <c r="D13"/>
  <c r="D6"/>
  <c r="D7"/>
  <c r="D8"/>
  <c r="D9"/>
  <c r="F10"/>
  <c r="AP10"/>
  <c r="D10"/>
  <c r="G19" i="73"/>
  <c r="R12" i="1"/>
  <c r="B13"/>
  <c r="E13"/>
  <c r="R10"/>
  <c r="K1" i="72"/>
  <c r="K13" i="1"/>
  <c r="M13"/>
  <c r="G79" i="36"/>
  <c r="G85" i="35"/>
  <c r="G97" i="37"/>
  <c r="G110" i="34"/>
  <c r="G109" i="33"/>
  <c r="L2" i="31"/>
  <c r="K2"/>
  <c r="J2"/>
  <c r="I2"/>
  <c r="H2"/>
  <c r="G2"/>
  <c r="F2"/>
  <c r="E2"/>
  <c r="D2"/>
  <c r="C2"/>
  <c r="D60" i="15"/>
  <c r="G19" i="20"/>
  <c r="B84" i="73"/>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c r="A2" i="9"/>
  <c r="T16" i="4"/>
  <c r="D14"/>
  <c r="M4" i="9"/>
  <c r="L4"/>
  <c r="G36" i="4"/>
  <c r="K2" i="54"/>
  <c r="B23" i="63"/>
  <c r="A3" i="51"/>
  <c r="R41" i="4"/>
  <c r="Q41"/>
  <c r="P41"/>
  <c r="O41"/>
  <c r="N41"/>
  <c r="M41"/>
  <c r="L41"/>
  <c r="K40"/>
  <c r="T40"/>
  <c r="F23"/>
  <c r="I19"/>
  <c r="G19"/>
  <c r="F9" i="1"/>
  <c r="F19" i="4"/>
  <c r="E19"/>
  <c r="F7" i="1"/>
  <c r="I20" i="73"/>
  <c r="B2" i="52"/>
  <c r="B15"/>
  <c r="N12" i="46"/>
  <c r="A7"/>
  <c r="F41" i="4"/>
  <c r="J52" i="40"/>
  <c r="H61" i="49"/>
  <c r="H39" i="46"/>
  <c r="H38"/>
  <c r="H37"/>
  <c r="H36"/>
  <c r="H35"/>
  <c r="H34"/>
  <c r="H33"/>
  <c r="C10"/>
  <c r="C11"/>
  <c r="C9"/>
  <c r="E32" i="6"/>
  <c r="C9" i="72"/>
  <c r="D38" i="4"/>
  <c r="C39"/>
  <c r="C3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c r="F11"/>
  <c r="AA11"/>
  <c r="C25"/>
  <c r="F36"/>
  <c r="AA36"/>
  <c r="F40"/>
  <c r="AA40"/>
  <c r="F42"/>
  <c r="AA42"/>
  <c r="H10"/>
  <c r="AB10"/>
  <c r="H11"/>
  <c r="AB11"/>
  <c r="H36"/>
  <c r="AB36"/>
  <c r="H40"/>
  <c r="AB40"/>
  <c r="H42"/>
  <c r="AB42"/>
  <c r="J10"/>
  <c r="AC10"/>
  <c r="J11"/>
  <c r="AC11"/>
  <c r="J36"/>
  <c r="AC36"/>
  <c r="J40"/>
  <c r="AC40"/>
  <c r="J42"/>
  <c r="AC42"/>
  <c r="F35" i="44"/>
  <c r="M21"/>
  <c r="F20"/>
  <c r="C6" i="43"/>
  <c r="K9"/>
  <c r="J9"/>
  <c r="I9"/>
  <c r="H9"/>
  <c r="G9"/>
  <c r="F9"/>
  <c r="E9"/>
  <c r="D9"/>
  <c r="C9"/>
  <c r="E77" i="9"/>
  <c r="O75"/>
  <c r="L75"/>
  <c r="F77"/>
  <c r="P75"/>
  <c r="O74"/>
  <c r="O73"/>
  <c r="E66"/>
  <c r="O72"/>
  <c r="F74"/>
  <c r="P74"/>
  <c r="N67"/>
  <c r="K44"/>
  <c r="K43"/>
  <c r="B31" i="1"/>
  <c r="E10" i="11"/>
  <c r="B23" i="1"/>
  <c r="BC11" i="3"/>
  <c r="BD11"/>
  <c r="C11" i="11"/>
  <c r="C10"/>
  <c r="C30" i="40"/>
  <c r="G12" i="1"/>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F61" i="15"/>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c r="G54"/>
  <c r="E54"/>
  <c r="F54"/>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S515" i="31"/>
  <c r="S517"/>
  <c r="S519"/>
  <c r="S521"/>
  <c r="S523"/>
  <c r="U41" i="21"/>
  <c r="D83" i="39"/>
  <c r="E83"/>
  <c r="F83"/>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c r="F126"/>
  <c r="G126"/>
  <c r="H126"/>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D103"/>
  <c r="D101"/>
  <c r="E101"/>
  <c r="F101"/>
  <c r="G101"/>
  <c r="Q41"/>
  <c r="Z41"/>
  <c r="Q42"/>
  <c r="Z42"/>
  <c r="Q43"/>
  <c r="Z43"/>
  <c r="Q44"/>
  <c r="Z44"/>
  <c r="Q45"/>
  <c r="Z45"/>
  <c r="Q46"/>
  <c r="Z46"/>
  <c r="Q47"/>
  <c r="Z47"/>
  <c r="Q40"/>
  <c r="Z40"/>
  <c r="Q38"/>
  <c r="Z38"/>
  <c r="Q39"/>
  <c r="Z39"/>
  <c r="M118"/>
  <c r="L118"/>
  <c r="K118"/>
  <c r="J118"/>
  <c r="I118"/>
  <c r="H118"/>
  <c r="G118"/>
  <c r="F118"/>
  <c r="E118"/>
  <c r="D118"/>
  <c r="C118"/>
  <c r="B133"/>
  <c r="B131"/>
  <c r="B129"/>
  <c r="D128"/>
  <c r="D124"/>
  <c r="E124"/>
  <c r="F124"/>
  <c r="G124"/>
  <c r="H124"/>
  <c r="I124"/>
  <c r="J124"/>
  <c r="K124"/>
  <c r="L124"/>
  <c r="M124"/>
  <c r="B106"/>
  <c r="D99"/>
  <c r="E99"/>
  <c r="F99"/>
  <c r="G99"/>
  <c r="D97"/>
  <c r="D95"/>
  <c r="E95"/>
  <c r="F95"/>
  <c r="G95"/>
  <c r="D93"/>
  <c r="E93"/>
  <c r="F93"/>
  <c r="G93"/>
  <c r="D91"/>
  <c r="E91"/>
  <c r="F91"/>
  <c r="G9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H26"/>
  <c r="AB26"/>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W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J34"/>
  <c r="AC34"/>
  <c r="B77"/>
  <c r="B75"/>
  <c r="J24"/>
  <c r="B73"/>
  <c r="B57"/>
  <c r="B61"/>
  <c r="B59"/>
  <c r="H12"/>
  <c r="B131" i="34"/>
  <c r="B129"/>
  <c r="B127"/>
  <c r="B99"/>
  <c r="B97"/>
  <c r="B95"/>
  <c r="B93"/>
  <c r="B75"/>
  <c r="B73"/>
  <c r="B71"/>
  <c r="U45" i="33"/>
  <c r="U12"/>
  <c r="D96" i="35"/>
  <c r="E96"/>
  <c r="F96"/>
  <c r="G96"/>
  <c r="D94"/>
  <c r="D84"/>
  <c r="E84"/>
  <c r="F84"/>
  <c r="G84"/>
  <c r="H84"/>
  <c r="I84"/>
  <c r="J84"/>
  <c r="K84"/>
  <c r="L84"/>
  <c r="M84"/>
  <c r="D80"/>
  <c r="D72"/>
  <c r="D70"/>
  <c r="E70"/>
  <c r="F70"/>
  <c r="G70"/>
  <c r="D66"/>
  <c r="E66"/>
  <c r="F66"/>
  <c r="G66"/>
  <c r="D64"/>
  <c r="E64"/>
  <c r="F64"/>
  <c r="G64"/>
  <c r="F56"/>
  <c r="G56"/>
  <c r="H56"/>
  <c r="I56"/>
  <c r="C53"/>
  <c r="H9"/>
  <c r="P39"/>
  <c r="P38"/>
  <c r="V37"/>
  <c r="T37"/>
  <c r="R37"/>
  <c r="P37"/>
  <c r="Q36"/>
  <c r="Z36"/>
  <c r="J36"/>
  <c r="AC36"/>
  <c r="Q35"/>
  <c r="Z35"/>
  <c r="Q34"/>
  <c r="Z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D121" i="33"/>
  <c r="F109"/>
  <c r="E109"/>
  <c r="D109"/>
  <c r="C109"/>
  <c r="C23"/>
  <c r="C19"/>
  <c r="C17"/>
  <c r="C15"/>
  <c r="C15" i="21"/>
  <c r="D123" i="3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87"/>
  <c r="E87"/>
  <c r="F87"/>
  <c r="G87"/>
  <c r="H87"/>
  <c r="I87"/>
  <c r="J87"/>
  <c r="K87"/>
  <c r="L87"/>
  <c r="M87"/>
  <c r="E85"/>
  <c r="E81"/>
  <c r="F81"/>
  <c r="G81"/>
  <c r="D69"/>
  <c r="E69"/>
  <c r="F69"/>
  <c r="G69"/>
  <c r="H69"/>
  <c r="I69"/>
  <c r="J69"/>
  <c r="K69"/>
  <c r="L69"/>
  <c r="M69"/>
  <c r="M67"/>
  <c r="L67"/>
  <c r="K67"/>
  <c r="J67"/>
  <c r="I67"/>
  <c r="H67"/>
  <c r="G67"/>
  <c r="F67"/>
  <c r="E67"/>
  <c r="D67"/>
  <c r="C67"/>
  <c r="H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W12"/>
  <c r="S12"/>
  <c r="Q11"/>
  <c r="Z11"/>
  <c r="Q10"/>
  <c r="Z10"/>
  <c r="Q9"/>
  <c r="Z9"/>
  <c r="W8"/>
  <c r="M102" i="21"/>
  <c r="D102"/>
  <c r="E102"/>
  <c r="F102"/>
  <c r="G102"/>
  <c r="H102"/>
  <c r="I102"/>
  <c r="J102"/>
  <c r="K102"/>
  <c r="L102"/>
  <c r="C102"/>
  <c r="S9"/>
  <c r="G18" i="20"/>
  <c r="B87" i="73"/>
  <c r="B87" i="46"/>
  <c r="C25" i="40"/>
  <c r="G16" i="20"/>
  <c r="B81" i="73"/>
  <c r="G15" i="20"/>
  <c r="B80" i="73"/>
  <c r="C24" i="20"/>
  <c r="B72" i="46"/>
  <c r="C21" i="20"/>
  <c r="B73" i="46"/>
  <c r="C20" i="20"/>
  <c r="C18"/>
  <c r="B70" i="46"/>
  <c r="C17" i="20"/>
  <c r="B58" i="73"/>
  <c r="C16" i="20"/>
  <c r="B47" i="73"/>
  <c r="C15" i="20"/>
  <c r="E54" i="21"/>
  <c r="F54"/>
  <c r="I54"/>
  <c r="J54"/>
  <c r="G54"/>
  <c r="H54"/>
  <c r="E125"/>
  <c r="E123"/>
  <c r="F123"/>
  <c r="G123"/>
  <c r="H123"/>
  <c r="I123"/>
  <c r="J123"/>
  <c r="K123"/>
  <c r="L123"/>
  <c r="M123"/>
  <c r="D119"/>
  <c r="D117"/>
  <c r="E117"/>
  <c r="F117"/>
  <c r="G117"/>
  <c r="D115"/>
  <c r="E115"/>
  <c r="F115"/>
  <c r="G115"/>
  <c r="H115"/>
  <c r="I115"/>
  <c r="J115"/>
  <c r="K115"/>
  <c r="L115"/>
  <c r="M115"/>
  <c r="D110"/>
  <c r="E110"/>
  <c r="F110"/>
  <c r="G110"/>
  <c r="H110"/>
  <c r="I110"/>
  <c r="J110"/>
  <c r="K110"/>
  <c r="L110"/>
  <c r="M110"/>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E66"/>
  <c r="F66"/>
  <c r="G66"/>
  <c r="H66"/>
  <c r="I66"/>
  <c r="D111"/>
  <c r="E111"/>
  <c r="F111"/>
  <c r="C111"/>
  <c r="E79"/>
  <c r="E85"/>
  <c r="E81"/>
  <c r="F81"/>
  <c r="G81"/>
  <c r="E77"/>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W35"/>
  <c r="Q35"/>
  <c r="Z35"/>
  <c r="Q36"/>
  <c r="Z36"/>
  <c r="Q37"/>
  <c r="Z37"/>
  <c r="W38"/>
  <c r="Q38"/>
  <c r="Z38"/>
  <c r="Q39"/>
  <c r="Z39"/>
  <c r="Q40"/>
  <c r="Z40"/>
  <c r="Q41"/>
  <c r="Z41"/>
  <c r="Q42"/>
  <c r="Z42"/>
  <c r="Q43"/>
  <c r="Z43"/>
  <c r="Q44"/>
  <c r="Z44"/>
  <c r="Q45"/>
  <c r="Z45"/>
  <c r="Q46"/>
  <c r="Z46"/>
  <c r="P47"/>
  <c r="P48"/>
  <c r="P49"/>
  <c r="E13" i="11"/>
  <c r="E12"/>
  <c r="C9" i="12"/>
  <c r="BB12" i="3"/>
  <c r="F9" i="12"/>
  <c r="D9"/>
  <c r="E9"/>
  <c r="G9"/>
  <c r="K5" i="3"/>
  <c r="J5"/>
  <c r="BM12"/>
  <c r="BN12"/>
  <c r="BO12"/>
  <c r="BP12"/>
  <c r="BQ12"/>
  <c r="BR12"/>
  <c r="BS12"/>
  <c r="BT12"/>
  <c r="BD12"/>
  <c r="BE12"/>
  <c r="BF12"/>
  <c r="BG12"/>
  <c r="BH12"/>
  <c r="BI12"/>
  <c r="BJ12"/>
  <c r="BK12"/>
  <c r="BC12"/>
  <c r="BT11"/>
  <c r="BT10"/>
  <c r="BS11"/>
  <c r="BS10"/>
  <c r="BR11"/>
  <c r="BR10"/>
  <c r="BQ11"/>
  <c r="BQ10"/>
  <c r="BP11"/>
  <c r="BP10"/>
  <c r="BO11"/>
  <c r="BO10"/>
  <c r="BN11"/>
  <c r="BN10"/>
  <c r="BM11"/>
  <c r="BM10"/>
  <c r="BK11"/>
  <c r="BJ11"/>
  <c r="BI11"/>
  <c r="BH11"/>
  <c r="BG11"/>
  <c r="BF11"/>
  <c r="BE11"/>
  <c r="BB11"/>
  <c r="AD5"/>
  <c r="AE5"/>
  <c r="AF5"/>
  <c r="AG5"/>
  <c r="AH5"/>
  <c r="AI5"/>
  <c r="AJ5"/>
  <c r="AK5"/>
  <c r="AM5"/>
  <c r="AN5"/>
  <c r="AO5"/>
  <c r="AP5"/>
  <c r="AQ5"/>
  <c r="AR5"/>
  <c r="AS5"/>
  <c r="AT5"/>
  <c r="I5"/>
  <c r="L5"/>
  <c r="M5"/>
  <c r="N5"/>
  <c r="O5"/>
  <c r="P5"/>
  <c r="Q5"/>
  <c r="R5"/>
  <c r="S5"/>
  <c r="T5"/>
  <c r="U5"/>
  <c r="V5"/>
  <c r="W5"/>
  <c r="X5"/>
  <c r="Y5"/>
  <c r="Z5"/>
  <c r="AA5"/>
  <c r="AB5"/>
  <c r="H5"/>
  <c r="F5"/>
  <c r="G27" i="6"/>
  <c r="U34" i="21"/>
  <c r="S43"/>
  <c r="S32"/>
  <c r="S38"/>
  <c r="S36"/>
  <c r="W40"/>
  <c r="U8"/>
  <c r="U10"/>
  <c r="W34"/>
  <c r="U36"/>
  <c r="W33"/>
  <c r="U33"/>
  <c r="W19"/>
  <c r="U12"/>
  <c r="W26"/>
  <c r="S41"/>
  <c r="W41"/>
  <c r="S10" i="39"/>
  <c r="U30" i="37"/>
  <c r="E103"/>
  <c r="F103"/>
  <c r="G103"/>
  <c r="H103"/>
  <c r="I103"/>
  <c r="J103"/>
  <c r="K103"/>
  <c r="L103"/>
  <c r="M103"/>
  <c r="F39"/>
  <c r="S39"/>
  <c r="W39"/>
  <c r="F29" i="36"/>
  <c r="AA29"/>
  <c r="F16"/>
  <c r="AA16"/>
  <c r="U22"/>
  <c r="W23"/>
  <c r="W22"/>
  <c r="U26"/>
  <c r="AC31"/>
  <c r="J33"/>
  <c r="W33"/>
  <c r="AC27" i="35"/>
  <c r="U31"/>
  <c r="W36"/>
  <c r="S31"/>
  <c r="W31"/>
  <c r="F36" i="34"/>
  <c r="S36"/>
  <c r="W9"/>
  <c r="S34"/>
  <c r="W39"/>
  <c r="U33" i="33"/>
  <c r="S40"/>
  <c r="S33"/>
  <c r="W33"/>
  <c r="S8" i="21"/>
  <c r="W8"/>
  <c r="H39" i="37"/>
  <c r="AB39"/>
  <c r="AB27" i="35"/>
  <c r="S10" i="40"/>
  <c r="W10"/>
  <c r="S11"/>
  <c r="U11"/>
  <c r="S36"/>
  <c r="U36"/>
  <c r="S40" i="39"/>
  <c r="S36"/>
  <c r="S11" i="21"/>
  <c r="C29" i="39"/>
  <c r="C23"/>
  <c r="U36"/>
  <c r="S42"/>
  <c r="U11" i="21"/>
  <c r="W11"/>
  <c r="F100" i="40"/>
  <c r="F86"/>
  <c r="G86"/>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S19"/>
  <c r="S10" i="21"/>
  <c r="W40" i="33"/>
  <c r="F125" i="21"/>
  <c r="G125"/>
  <c r="AB30" i="36"/>
  <c r="S22" i="35"/>
  <c r="H29"/>
  <c r="U34" i="37"/>
  <c r="S34"/>
  <c r="AA34"/>
  <c r="AC43" i="34"/>
  <c r="AB42"/>
  <c r="AB40"/>
  <c r="W36"/>
  <c r="J19"/>
  <c r="AC19"/>
  <c r="S37" i="33"/>
  <c r="W43" i="34"/>
  <c r="AC42"/>
  <c r="W42"/>
  <c r="AA42"/>
  <c r="S42"/>
  <c r="AC38"/>
  <c r="W38"/>
  <c r="AA38"/>
  <c r="S38"/>
  <c r="W37" i="33"/>
  <c r="J44" i="34"/>
  <c r="AC44"/>
  <c r="F44"/>
  <c r="S44"/>
  <c r="J10" i="35"/>
  <c r="W10"/>
  <c r="AL5" i="3"/>
  <c r="W14" i="21"/>
  <c r="U14"/>
  <c r="S28"/>
  <c r="U30"/>
  <c r="S30"/>
  <c r="U44"/>
  <c r="W46"/>
  <c r="U26" i="33"/>
  <c r="U28"/>
  <c r="W28"/>
  <c r="F33" i="35"/>
  <c r="S33"/>
  <c r="J33"/>
  <c r="W33"/>
  <c r="F30"/>
  <c r="AA30"/>
  <c r="E89"/>
  <c r="F89"/>
  <c r="G89"/>
  <c r="H89"/>
  <c r="I89"/>
  <c r="J89"/>
  <c r="K89"/>
  <c r="L89"/>
  <c r="M89"/>
  <c r="H10" i="36"/>
  <c r="AB10"/>
  <c r="F28"/>
  <c r="S28"/>
  <c r="F27"/>
  <c r="S27"/>
  <c r="U13" i="21"/>
  <c r="W27"/>
  <c r="U29"/>
  <c r="S29"/>
  <c r="U31"/>
  <c r="S31"/>
  <c r="W45"/>
  <c r="U45"/>
  <c r="S13" i="33"/>
  <c r="W29"/>
  <c r="U31"/>
  <c r="W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U14" i="33"/>
  <c r="S30"/>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c r="G105"/>
  <c r="AB28" i="36"/>
  <c r="S46" i="21"/>
  <c r="U46"/>
  <c r="W30"/>
  <c r="W31" i="34"/>
  <c r="S46" i="33"/>
  <c r="U36" i="37"/>
  <c r="AC13" i="36"/>
  <c r="S45" i="21"/>
  <c r="S505" i="31"/>
  <c r="S503"/>
  <c r="S501"/>
  <c r="S499"/>
  <c r="O27"/>
  <c r="O28"/>
  <c r="O26"/>
  <c r="M27"/>
  <c r="M28"/>
  <c r="M26"/>
  <c r="I26"/>
  <c r="I25"/>
  <c r="S25"/>
  <c r="Q26"/>
  <c r="K26"/>
  <c r="I27"/>
  <c r="Q27"/>
  <c r="K27"/>
  <c r="I28"/>
  <c r="Q28"/>
  <c r="K28"/>
  <c r="AC28" i="34"/>
  <c r="S12" i="21"/>
  <c r="U25"/>
  <c r="S25"/>
  <c r="E125" i="33"/>
  <c r="F125"/>
  <c r="G125"/>
  <c r="U43"/>
  <c r="H17" i="37"/>
  <c r="U17"/>
  <c r="F23"/>
  <c r="S23"/>
  <c r="F79"/>
  <c r="AB27"/>
  <c r="E123" i="33"/>
  <c r="H28" i="34"/>
  <c r="AB28"/>
  <c r="F22" i="36"/>
  <c r="S22"/>
  <c r="H35" i="34"/>
  <c r="U35"/>
  <c r="F41"/>
  <c r="S41"/>
  <c r="H41"/>
  <c r="U41"/>
  <c r="J41"/>
  <c r="W41"/>
  <c r="F10" i="35"/>
  <c r="AA10"/>
  <c r="F24"/>
  <c r="AA24"/>
  <c r="H24"/>
  <c r="AB24"/>
  <c r="H23" i="37"/>
  <c r="AB23"/>
  <c r="J32"/>
  <c r="AC32"/>
  <c r="F36"/>
  <c r="S36"/>
  <c r="F37"/>
  <c r="AA37"/>
  <c r="U23"/>
  <c r="F123" i="33"/>
  <c r="G123"/>
  <c r="H123"/>
  <c r="I123"/>
  <c r="J123"/>
  <c r="K123"/>
  <c r="L123"/>
  <c r="M123"/>
  <c r="U42"/>
  <c r="G79" i="37"/>
  <c r="J23"/>
  <c r="W23"/>
  <c r="F17"/>
  <c r="AA17"/>
  <c r="D3" i="21"/>
  <c r="AC33" i="36"/>
  <c r="AC12" i="35"/>
  <c r="W23"/>
  <c r="AC23" i="37"/>
  <c r="S27"/>
  <c r="U39"/>
  <c r="AC8"/>
  <c r="S25"/>
  <c r="AC36" i="34"/>
  <c r="AB8"/>
  <c r="AA23" i="37"/>
  <c r="S10" i="35"/>
  <c r="G107" i="37"/>
  <c r="H107"/>
  <c r="I107"/>
  <c r="J107"/>
  <c r="K107"/>
  <c r="L107"/>
  <c r="M107"/>
  <c r="H19" i="34"/>
  <c r="AB19"/>
  <c r="J10" i="37"/>
  <c r="W10"/>
  <c r="F36" i="35"/>
  <c r="S36"/>
  <c r="J9" i="37"/>
  <c r="W9"/>
  <c r="H9"/>
  <c r="U9"/>
  <c r="F9"/>
  <c r="S9"/>
  <c r="F11"/>
  <c r="S11"/>
  <c r="J12"/>
  <c r="AC12"/>
  <c r="H12"/>
  <c r="AB12"/>
  <c r="F12"/>
  <c r="AA12"/>
  <c r="H15"/>
  <c r="U15"/>
  <c r="E94"/>
  <c r="F94"/>
  <c r="G94"/>
  <c r="H94"/>
  <c r="I94"/>
  <c r="J94"/>
  <c r="K94"/>
  <c r="L94"/>
  <c r="M94"/>
  <c r="F31"/>
  <c r="S31"/>
  <c r="H31"/>
  <c r="AB31"/>
  <c r="J15"/>
  <c r="W15"/>
  <c r="AB10"/>
  <c r="J11"/>
  <c r="W11"/>
  <c r="U31"/>
  <c r="E90" i="40"/>
  <c r="F90"/>
  <c r="G90"/>
  <c r="F21"/>
  <c r="S21"/>
  <c r="W36"/>
  <c r="U40" i="39"/>
  <c r="J21" i="40"/>
  <c r="AC21"/>
  <c r="S27" i="31"/>
  <c r="J57" i="39"/>
  <c r="H13" i="40"/>
  <c r="U13"/>
  <c r="H12" i="48"/>
  <c r="I4" i="4"/>
  <c r="K141" i="21"/>
  <c r="K143"/>
  <c r="K144"/>
  <c r="I59" i="40"/>
  <c r="C59"/>
  <c r="I60"/>
  <c r="C60"/>
  <c r="W9" i="33"/>
  <c r="H7" i="48"/>
  <c r="H113" i="46"/>
  <c r="F33"/>
  <c r="F35"/>
  <c r="F37"/>
  <c r="H16" i="48"/>
  <c r="H9"/>
  <c r="H8"/>
  <c r="AB16" i="35"/>
  <c r="U43" i="21"/>
  <c r="AA13" i="40"/>
  <c r="E78"/>
  <c r="F78"/>
  <c r="G78"/>
  <c r="H78"/>
  <c r="I78"/>
  <c r="J78"/>
  <c r="K78"/>
  <c r="L78"/>
  <c r="M78"/>
  <c r="R16" i="4"/>
  <c r="P16"/>
  <c r="D3" i="35"/>
  <c r="G4" i="4"/>
  <c r="S37" i="34"/>
  <c r="J16" i="35"/>
  <c r="W16"/>
  <c r="AC26" i="36"/>
  <c r="W25" i="35"/>
  <c r="H13" i="39"/>
  <c r="AB13"/>
  <c r="F13"/>
  <c r="J13"/>
  <c r="AC13"/>
  <c r="H11" i="37"/>
  <c r="AB11"/>
  <c r="W37"/>
  <c r="AA36"/>
  <c r="AB17"/>
  <c r="AC11" i="36"/>
  <c r="AC10"/>
  <c r="AB45" i="34"/>
  <c r="AC14" i="37"/>
  <c r="AB35" i="35"/>
  <c r="S25"/>
  <c r="W30" i="33"/>
  <c r="AC29" i="37"/>
  <c r="W32" i="36"/>
  <c r="AC32"/>
  <c r="J33" i="34"/>
  <c r="AC33"/>
  <c r="AB36"/>
  <c r="J40"/>
  <c r="W40"/>
  <c r="F16" i="35"/>
  <c r="AA16"/>
  <c r="S24" i="36"/>
  <c r="W42" i="33"/>
  <c r="J35" i="34"/>
  <c r="W35"/>
  <c r="F107"/>
  <c r="G107"/>
  <c r="H107"/>
  <c r="I107"/>
  <c r="J107"/>
  <c r="K107"/>
  <c r="L107"/>
  <c r="M107"/>
  <c r="S30" i="36"/>
  <c r="H16"/>
  <c r="AB16"/>
  <c r="H35" i="37"/>
  <c r="AB35"/>
  <c r="U32" i="21"/>
  <c r="U26"/>
  <c r="S33"/>
  <c r="U39"/>
  <c r="AC5" i="3"/>
  <c r="S40" i="21"/>
  <c r="E119"/>
  <c r="F119"/>
  <c r="G119"/>
  <c r="H119"/>
  <c r="I119"/>
  <c r="J119"/>
  <c r="K119"/>
  <c r="L119"/>
  <c r="M119"/>
  <c r="S8" i="33"/>
  <c r="H66"/>
  <c r="S11"/>
  <c r="AB39" i="34"/>
  <c r="F11"/>
  <c r="S11"/>
  <c r="E80"/>
  <c r="F80"/>
  <c r="H17"/>
  <c r="AB17"/>
  <c r="S12" i="35"/>
  <c r="AB28"/>
  <c r="U28"/>
  <c r="W13" i="33"/>
  <c r="U13"/>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19" i="39"/>
  <c r="S19"/>
  <c r="H19"/>
  <c r="J19"/>
  <c r="W19"/>
  <c r="F43"/>
  <c r="H43"/>
  <c r="U43"/>
  <c r="J43"/>
  <c r="F99" i="37"/>
  <c r="AC27"/>
  <c r="U25" i="35"/>
  <c r="S45" i="34"/>
  <c r="U31"/>
  <c r="AC40" i="37"/>
  <c r="W40"/>
  <c r="S28" i="33"/>
  <c r="S14" i="21"/>
  <c r="AA44" i="34"/>
  <c r="AB29" i="35"/>
  <c r="U29"/>
  <c r="W19" i="33"/>
  <c r="U43" i="34"/>
  <c r="AB43"/>
  <c r="AC34" i="37"/>
  <c r="S35"/>
  <c r="AA35"/>
  <c r="AB10" i="35"/>
  <c r="U38" i="21"/>
  <c r="U40" i="33"/>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17" i="39"/>
  <c r="AA17"/>
  <c r="H17"/>
  <c r="U17"/>
  <c r="J17"/>
  <c r="W17"/>
  <c r="F21"/>
  <c r="S21"/>
  <c r="H21"/>
  <c r="AB21"/>
  <c r="J21"/>
  <c r="W21"/>
  <c r="F33"/>
  <c r="H33"/>
  <c r="U33"/>
  <c r="J33"/>
  <c r="W33"/>
  <c r="F44"/>
  <c r="S44"/>
  <c r="H44"/>
  <c r="U44"/>
  <c r="J44"/>
  <c r="W44"/>
  <c r="E128"/>
  <c r="F128"/>
  <c r="G128"/>
  <c r="H128"/>
  <c r="I128"/>
  <c r="J128"/>
  <c r="K128"/>
  <c r="L128"/>
  <c r="M128"/>
  <c r="F46"/>
  <c r="S46"/>
  <c r="H46"/>
  <c r="U46"/>
  <c r="J46"/>
  <c r="W46"/>
  <c r="F29"/>
  <c r="AA29"/>
  <c r="E103"/>
  <c r="F103"/>
  <c r="G103"/>
  <c r="H29"/>
  <c r="U29"/>
  <c r="F34"/>
  <c r="AA34"/>
  <c r="H34"/>
  <c r="AB34"/>
  <c r="J34"/>
  <c r="AC34"/>
  <c r="F39"/>
  <c r="H39"/>
  <c r="AB39"/>
  <c r="J39"/>
  <c r="W39"/>
  <c r="J29" i="35"/>
  <c r="AC29"/>
  <c r="F29"/>
  <c r="S29"/>
  <c r="W30" i="36"/>
  <c r="AC30"/>
  <c r="F37" i="39"/>
  <c r="S37"/>
  <c r="H37"/>
  <c r="U37"/>
  <c r="J37"/>
  <c r="W37"/>
  <c r="F36" i="44"/>
  <c r="F114" i="34"/>
  <c r="G114"/>
  <c r="H114"/>
  <c r="I114"/>
  <c r="J114"/>
  <c r="K114"/>
  <c r="L114"/>
  <c r="M114"/>
  <c r="H38"/>
  <c r="U38"/>
  <c r="H30" i="40"/>
  <c r="AB30"/>
  <c r="G100"/>
  <c r="H100"/>
  <c r="J30"/>
  <c r="AC30"/>
  <c r="F38"/>
  <c r="AA38"/>
  <c r="AA36" i="34"/>
  <c r="W12" i="21"/>
  <c r="S34"/>
  <c r="U8" i="33"/>
  <c r="E106"/>
  <c r="U34"/>
  <c r="S34"/>
  <c r="E121"/>
  <c r="S41"/>
  <c r="AC34" i="34"/>
  <c r="W34"/>
  <c r="AA39"/>
  <c r="S39"/>
  <c r="S43"/>
  <c r="E78"/>
  <c r="F15"/>
  <c r="S15"/>
  <c r="AC28" i="35"/>
  <c r="W28"/>
  <c r="J20"/>
  <c r="AC20"/>
  <c r="E72"/>
  <c r="F72"/>
  <c r="G72"/>
  <c r="H22"/>
  <c r="AB22"/>
  <c r="H23"/>
  <c r="U23"/>
  <c r="F23"/>
  <c r="AA23"/>
  <c r="AB36"/>
  <c r="U36"/>
  <c r="AC12" i="36"/>
  <c r="U31"/>
  <c r="S8" i="37"/>
  <c r="AA8"/>
  <c r="F14" i="39"/>
  <c r="AA14"/>
  <c r="H14"/>
  <c r="AB14"/>
  <c r="J14"/>
  <c r="AC14"/>
  <c r="F16"/>
  <c r="AA16"/>
  <c r="H16"/>
  <c r="J16"/>
  <c r="AC16"/>
  <c r="F23"/>
  <c r="AA23"/>
  <c r="E97"/>
  <c r="F27"/>
  <c r="AA27"/>
  <c r="H27"/>
  <c r="AB27"/>
  <c r="J27"/>
  <c r="AC27"/>
  <c r="F15" i="40"/>
  <c r="AA15"/>
  <c r="J15"/>
  <c r="H15"/>
  <c r="AB15"/>
  <c r="E92"/>
  <c r="F92"/>
  <c r="H23"/>
  <c r="U23"/>
  <c r="H41"/>
  <c r="F41"/>
  <c r="J41"/>
  <c r="AC41"/>
  <c r="H37" i="34"/>
  <c r="F15" i="39"/>
  <c r="AA15"/>
  <c r="H15"/>
  <c r="U15"/>
  <c r="J15"/>
  <c r="AC15"/>
  <c r="H25"/>
  <c r="U25"/>
  <c r="J25"/>
  <c r="AC25"/>
  <c r="F25"/>
  <c r="AA25"/>
  <c r="F45"/>
  <c r="AA45"/>
  <c r="H45"/>
  <c r="U45"/>
  <c r="J45"/>
  <c r="AC45"/>
  <c r="F47"/>
  <c r="H47"/>
  <c r="J47"/>
  <c r="W47"/>
  <c r="F41"/>
  <c r="AA41"/>
  <c r="H41"/>
  <c r="AB41"/>
  <c r="J41"/>
  <c r="AC41"/>
  <c r="E94" i="40"/>
  <c r="F94"/>
  <c r="J25"/>
  <c r="AC25"/>
  <c r="J32"/>
  <c r="AC32"/>
  <c r="H32"/>
  <c r="U32"/>
  <c r="H33"/>
  <c r="AB33"/>
  <c r="F33"/>
  <c r="AA33"/>
  <c r="J33"/>
  <c r="AC33"/>
  <c r="H35"/>
  <c r="AB35"/>
  <c r="F35"/>
  <c r="AA35"/>
  <c r="J35"/>
  <c r="AC35"/>
  <c r="J38" i="39"/>
  <c r="W38"/>
  <c r="H38"/>
  <c r="U38"/>
  <c r="J16" i="40"/>
  <c r="W16"/>
  <c r="J14"/>
  <c r="W14"/>
  <c r="H42"/>
  <c r="H40"/>
  <c r="U40"/>
  <c r="H34"/>
  <c r="U34"/>
  <c r="F29" i="72"/>
  <c r="J42" i="40"/>
  <c r="AC42"/>
  <c r="J40"/>
  <c r="AC40"/>
  <c r="J34"/>
  <c r="H16"/>
  <c r="AB16"/>
  <c r="H14"/>
  <c r="F32"/>
  <c r="AA32"/>
  <c r="M1" i="46"/>
  <c r="M10"/>
  <c r="N2"/>
  <c r="N5"/>
  <c r="F58"/>
  <c r="H61"/>
  <c r="F47"/>
  <c r="H49"/>
  <c r="N7"/>
  <c r="M7"/>
  <c r="M11"/>
  <c r="N3"/>
  <c r="N6"/>
  <c r="N10"/>
  <c r="J13" i="40"/>
  <c r="W13"/>
  <c r="W40"/>
  <c r="F34" i="44"/>
  <c r="F27" i="43"/>
  <c r="F66" i="9"/>
  <c r="P72"/>
  <c r="F71"/>
  <c r="F72"/>
  <c r="AC14" i="40"/>
  <c r="W35"/>
  <c r="S33"/>
  <c r="AB32"/>
  <c r="AC47" i="39"/>
  <c r="AB25"/>
  <c r="U37" i="34"/>
  <c r="AB37"/>
  <c r="W41" i="40"/>
  <c r="J23"/>
  <c r="AC23"/>
  <c r="G92"/>
  <c r="F23"/>
  <c r="S23"/>
  <c r="AC15"/>
  <c r="W15"/>
  <c r="W27" i="39"/>
  <c r="S23"/>
  <c r="W14"/>
  <c r="AB23" i="35"/>
  <c r="H20"/>
  <c r="F20"/>
  <c r="H15" i="34"/>
  <c r="AB15"/>
  <c r="F78"/>
  <c r="G78"/>
  <c r="J15"/>
  <c r="AC15"/>
  <c r="U41" i="33"/>
  <c r="F121"/>
  <c r="G121"/>
  <c r="H121"/>
  <c r="I121"/>
  <c r="J121"/>
  <c r="K121"/>
  <c r="L121"/>
  <c r="M121"/>
  <c r="F30" i="40"/>
  <c r="AA30"/>
  <c r="I100"/>
  <c r="J100"/>
  <c r="K100"/>
  <c r="L100"/>
  <c r="M100"/>
  <c r="AB37" i="39"/>
  <c r="AA29" i="35"/>
  <c r="U39" i="39"/>
  <c r="J29"/>
  <c r="AC29"/>
  <c r="U21"/>
  <c r="AB33" i="36"/>
  <c r="AA11"/>
  <c r="AA14" i="35"/>
  <c r="S14"/>
  <c r="G99" i="37"/>
  <c r="F33"/>
  <c r="AB19" i="39"/>
  <c r="U19"/>
  <c r="U46" i="34"/>
  <c r="AC30"/>
  <c r="AA14"/>
  <c r="W12"/>
  <c r="U29" i="33"/>
  <c r="U17" i="34"/>
  <c r="AA11"/>
  <c r="U15" i="33"/>
  <c r="S13" i="39"/>
  <c r="AA13"/>
  <c r="U16" i="40"/>
  <c r="AB34"/>
  <c r="AB42"/>
  <c r="U42"/>
  <c r="AC16"/>
  <c r="W32"/>
  <c r="H25"/>
  <c r="AB25"/>
  <c r="G94"/>
  <c r="W15" i="39"/>
  <c r="J37" i="34"/>
  <c r="AC37"/>
  <c r="AB23" i="40"/>
  <c r="U27" i="39"/>
  <c r="H23"/>
  <c r="AB23"/>
  <c r="J23"/>
  <c r="AC23"/>
  <c r="F97"/>
  <c r="G97"/>
  <c r="S16"/>
  <c r="AA15" i="34"/>
  <c r="F106" i="33"/>
  <c r="G106"/>
  <c r="H106"/>
  <c r="I106"/>
  <c r="J106"/>
  <c r="K106"/>
  <c r="L106"/>
  <c r="M106"/>
  <c r="AA37" i="39"/>
  <c r="W29" i="35"/>
  <c r="AC39" i="39"/>
  <c r="AA39"/>
  <c r="S39"/>
  <c r="U34"/>
  <c r="AB29"/>
  <c r="AB46"/>
  <c r="AB44"/>
  <c r="AC33"/>
  <c r="AA33"/>
  <c r="S33"/>
  <c r="S17"/>
  <c r="U11" i="36"/>
  <c r="F80" i="35"/>
  <c r="G80"/>
  <c r="H80"/>
  <c r="I80"/>
  <c r="J80"/>
  <c r="K80"/>
  <c r="L80"/>
  <c r="M80"/>
  <c r="W14"/>
  <c r="F90" i="34"/>
  <c r="G90"/>
  <c r="H90"/>
  <c r="I90"/>
  <c r="J90"/>
  <c r="K90"/>
  <c r="L90"/>
  <c r="M90"/>
  <c r="F27"/>
  <c r="S27"/>
  <c r="AC43" i="39"/>
  <c r="W43"/>
  <c r="AA43"/>
  <c r="S43"/>
  <c r="AA19"/>
  <c r="G96" i="37"/>
  <c r="H96"/>
  <c r="I96"/>
  <c r="J96"/>
  <c r="K96"/>
  <c r="L96"/>
  <c r="M96"/>
  <c r="F32"/>
  <c r="S32"/>
  <c r="U11" i="35"/>
  <c r="AB11"/>
  <c r="S46" i="34"/>
  <c r="U32"/>
  <c r="U14"/>
  <c r="AC14"/>
  <c r="U12"/>
  <c r="G80"/>
  <c r="F17"/>
  <c r="AA17"/>
  <c r="J17"/>
  <c r="AC17"/>
  <c r="H11"/>
  <c r="AB11"/>
  <c r="W35" i="33"/>
  <c r="U11"/>
  <c r="U10"/>
  <c r="I66"/>
  <c r="U40" i="21"/>
  <c r="U11" i="37"/>
  <c r="U13" i="39"/>
  <c r="AC16" i="35"/>
  <c r="AC13" i="40"/>
  <c r="J11" i="34"/>
  <c r="S17"/>
  <c r="F25" i="40"/>
  <c r="AA25"/>
  <c r="W11" i="33"/>
  <c r="H33" i="37"/>
  <c r="AB33"/>
  <c r="U20" i="35"/>
  <c r="AB20"/>
  <c r="W23" i="40"/>
  <c r="D73" i="9"/>
  <c r="N73"/>
  <c r="AP11" i="1"/>
  <c r="B11"/>
  <c r="E11"/>
  <c r="K11"/>
  <c r="M11"/>
  <c r="B9"/>
  <c r="E9"/>
  <c r="K9"/>
  <c r="M9"/>
  <c r="B7"/>
  <c r="E7"/>
  <c r="K7"/>
  <c r="M7"/>
  <c r="C20" i="43"/>
  <c r="AP6" i="1"/>
  <c r="G11"/>
  <c r="M22" i="44"/>
  <c r="F59" i="15"/>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U11"/>
  <c r="W10"/>
  <c r="U10"/>
  <c r="W37"/>
  <c r="AC40"/>
  <c r="W44"/>
  <c r="W19"/>
  <c r="W29"/>
  <c r="AC21"/>
  <c r="W21"/>
  <c r="U15"/>
  <c r="AB21"/>
  <c r="U21"/>
  <c r="U27"/>
  <c r="U19"/>
  <c r="AB41"/>
  <c r="S13"/>
  <c r="AA41"/>
  <c r="S9"/>
  <c r="S10"/>
  <c r="U39" i="33"/>
  <c r="S35"/>
  <c r="S29"/>
  <c r="W31"/>
  <c r="W43"/>
  <c r="U46"/>
  <c r="W39"/>
  <c r="U35"/>
  <c r="W25"/>
  <c r="S25"/>
  <c r="F85"/>
  <c r="G85"/>
  <c r="S14"/>
  <c r="W21"/>
  <c r="W14"/>
  <c r="U21"/>
  <c r="S21"/>
  <c r="S44" i="21"/>
  <c r="U35"/>
  <c r="W43"/>
  <c r="W28"/>
  <c r="F85"/>
  <c r="G85"/>
  <c r="W23"/>
  <c r="S23"/>
  <c r="S15"/>
  <c r="F77"/>
  <c r="G77"/>
  <c r="W13"/>
  <c r="W21"/>
  <c r="W10"/>
  <c r="U2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M18" i="15"/>
  <c r="A18" i="64"/>
  <c r="B74" i="63"/>
  <c r="C53" i="10"/>
  <c r="A25" i="64"/>
  <c r="A18" i="51"/>
  <c r="B14" i="63"/>
  <c r="F3" i="35"/>
  <c r="K1" i="43"/>
  <c r="I4" i="6"/>
  <c r="BO5" i="3"/>
  <c r="BP5"/>
  <c r="BN5"/>
  <c r="BM5"/>
  <c r="G28" i="12"/>
  <c r="G22" i="43"/>
  <c r="G26" i="12"/>
  <c r="D24" i="44"/>
  <c r="D26"/>
  <c r="G27" i="12"/>
  <c r="G23" i="43"/>
  <c r="G21"/>
  <c r="H50" i="46"/>
  <c r="E11"/>
  <c r="E10"/>
  <c r="N8"/>
  <c r="N4"/>
  <c r="N1"/>
  <c r="M9"/>
  <c r="M2"/>
  <c r="N11"/>
  <c r="N9"/>
  <c r="F69"/>
  <c r="H71"/>
  <c r="M4"/>
  <c r="M12"/>
  <c r="M8"/>
  <c r="M3"/>
  <c r="M5"/>
  <c r="H6" i="48"/>
  <c r="E9" i="46"/>
  <c r="H15" i="48"/>
  <c r="H5"/>
  <c r="H14"/>
  <c r="F36" i="46"/>
  <c r="F34"/>
  <c r="F39"/>
  <c r="H13" i="48"/>
  <c r="H11"/>
  <c r="E8" i="46"/>
  <c r="C7"/>
  <c r="E17"/>
  <c r="D84"/>
  <c r="E80"/>
  <c r="B78"/>
  <c r="E47"/>
  <c r="B45"/>
  <c r="E58"/>
  <c r="A4" i="64"/>
  <c r="A4" i="51"/>
  <c r="B6" i="63"/>
  <c r="C51" i="10"/>
  <c r="H58" i="46"/>
  <c r="H62"/>
  <c r="I100"/>
  <c r="B56"/>
  <c r="N100"/>
  <c r="H100"/>
  <c r="F108"/>
  <c r="H80"/>
  <c r="E100"/>
  <c r="G100"/>
  <c r="H84"/>
  <c r="H66"/>
  <c r="C100"/>
  <c r="J100"/>
  <c r="M100"/>
  <c r="AA12" i="36"/>
  <c r="U12" i="35"/>
  <c r="AB12"/>
  <c r="W11"/>
  <c r="AA11"/>
  <c r="S14" i="37"/>
  <c r="U13"/>
  <c r="S13" i="21"/>
  <c r="C24" i="9"/>
  <c r="C25"/>
  <c r="AP7" i="1"/>
  <c r="G7"/>
  <c r="AP9"/>
  <c r="G9"/>
  <c r="AP8"/>
  <c r="L5" i="54"/>
  <c r="B39" i="63"/>
  <c r="K5" i="54"/>
  <c r="B38" i="63"/>
  <c r="T41" i="4"/>
  <c r="A17" i="64"/>
  <c r="B46" i="50"/>
  <c r="B4" i="63"/>
  <c r="C46" i="36"/>
  <c r="D46"/>
  <c r="E46"/>
  <c r="C59" i="34"/>
  <c r="D59"/>
  <c r="E59"/>
  <c r="C48" i="35"/>
  <c r="D48"/>
  <c r="C52" i="37"/>
  <c r="D52"/>
  <c r="O19" i="46"/>
  <c r="H77"/>
  <c r="H86"/>
  <c r="H82"/>
  <c r="H63"/>
  <c r="H64"/>
  <c r="H10" i="48"/>
  <c r="H87" i="46"/>
  <c r="H85"/>
  <c r="H83"/>
  <c r="K10" i="1"/>
  <c r="M10"/>
  <c r="R11"/>
  <c r="R13"/>
  <c r="B6"/>
  <c r="E6"/>
  <c r="B10"/>
  <c r="E10"/>
  <c r="B8"/>
  <c r="E8"/>
  <c r="B12"/>
  <c r="E12"/>
  <c r="F66" i="36"/>
  <c r="H18"/>
  <c r="AB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S43" i="33"/>
  <c r="S26"/>
  <c r="S9"/>
  <c r="S39" i="21"/>
  <c r="W25"/>
  <c r="U27"/>
  <c r="W31"/>
  <c r="W29"/>
  <c r="G96" i="40"/>
  <c r="J27"/>
  <c r="W27"/>
  <c r="W37"/>
  <c r="S17"/>
  <c r="W30"/>
  <c r="S34"/>
  <c r="U17"/>
  <c r="U38"/>
  <c r="S40"/>
  <c r="S42"/>
  <c r="G105" i="39"/>
  <c r="J31"/>
  <c r="AC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30"/>
  <c r="S14" i="36"/>
  <c r="AB20"/>
  <c r="AA20"/>
  <c r="AC14"/>
  <c r="W14"/>
  <c r="U14"/>
  <c r="AB14"/>
  <c r="U18"/>
  <c r="AA26" i="35"/>
  <c r="S26"/>
  <c r="U26"/>
  <c r="AB26"/>
  <c r="W26"/>
  <c r="AC26"/>
  <c r="S19" i="37"/>
  <c r="W19"/>
  <c r="AB19"/>
  <c r="U19"/>
  <c r="AC17"/>
  <c r="W17"/>
  <c r="U25" i="34"/>
  <c r="AB25"/>
  <c r="AA25"/>
  <c r="S25"/>
  <c r="W25"/>
  <c r="AC25"/>
  <c r="U23"/>
  <c r="AB23"/>
  <c r="AA23"/>
  <c r="S23"/>
  <c r="AC23"/>
  <c r="W23"/>
  <c r="U23" i="33"/>
  <c r="W23"/>
  <c r="S23"/>
  <c r="U15" i="21"/>
  <c r="W15"/>
  <c r="AB39" i="40"/>
  <c r="U39"/>
  <c r="AC39"/>
  <c r="W39"/>
  <c r="AA39"/>
  <c r="S39"/>
  <c r="U37"/>
  <c r="AB37"/>
  <c r="AA37"/>
  <c r="S37"/>
  <c r="U29"/>
  <c r="AB29"/>
  <c r="AC29"/>
  <c r="W29"/>
  <c r="AA29"/>
  <c r="S29"/>
  <c r="W19"/>
  <c r="AC19"/>
  <c r="AA19"/>
  <c r="S19"/>
  <c r="AB19"/>
  <c r="U19"/>
  <c r="AC27"/>
  <c r="W31" i="39"/>
  <c r="B20" i="31"/>
  <c r="R22"/>
  <c r="B21"/>
  <c r="A17" i="51"/>
  <c r="B13" i="63"/>
  <c r="E5" i="6"/>
  <c r="D12" i="11"/>
  <c r="C12"/>
  <c r="G29" i="6"/>
  <c r="E29"/>
  <c r="H70" i="46"/>
  <c r="A9" i="64"/>
  <c r="A9" i="51"/>
  <c r="B9" i="63"/>
  <c r="A25" i="51"/>
  <c r="B18" i="63"/>
  <c r="A3" i="55"/>
  <c r="B56" i="63"/>
  <c r="G66" i="36"/>
  <c r="J18"/>
  <c r="W18"/>
  <c r="AC18"/>
  <c r="AG6" i="1"/>
  <c r="L20" i="6"/>
  <c r="C45" i="9"/>
  <c r="H14" i="66"/>
  <c r="B7"/>
  <c r="C44" i="9"/>
  <c r="G14" i="66"/>
  <c r="B6"/>
  <c r="N69" i="9"/>
  <c r="M86"/>
  <c r="N86"/>
  <c r="O39"/>
  <c r="R6" i="54"/>
  <c r="B50" i="63"/>
  <c r="K29" i="9"/>
  <c r="K30"/>
  <c r="M84"/>
  <c r="N84"/>
  <c r="M87"/>
  <c r="N87"/>
  <c r="M83"/>
  <c r="N83"/>
  <c r="N89"/>
  <c r="O89"/>
  <c r="N76"/>
  <c r="C46"/>
  <c r="K33"/>
  <c r="AE9" i="1"/>
  <c r="AE6"/>
  <c r="F8" i="67"/>
  <c r="B12"/>
  <c r="F39" i="44"/>
  <c r="F14" i="67"/>
  <c r="J36" i="15"/>
  <c r="M8"/>
  <c r="N6" i="65"/>
  <c r="M28" i="15"/>
  <c r="F38" i="44"/>
  <c r="M24" i="15"/>
  <c r="F10" i="67"/>
  <c r="E11"/>
  <c r="N7" i="65"/>
  <c r="F9" i="67"/>
  <c r="F18" i="44"/>
  <c r="M30"/>
  <c r="E9" i="67"/>
  <c r="E13"/>
  <c r="M26" i="44"/>
  <c r="F9"/>
  <c r="F11"/>
  <c r="M8"/>
  <c r="M6" i="15"/>
  <c r="M27"/>
  <c r="B8" i="67"/>
  <c r="F40" i="44"/>
  <c r="J17"/>
  <c r="M9" i="15"/>
  <c r="M29"/>
  <c r="F8" i="44"/>
  <c r="L48"/>
  <c r="E12" i="67"/>
  <c r="M23" i="44"/>
  <c r="M31"/>
  <c r="C15" i="43"/>
  <c r="B9" i="67"/>
  <c r="L47" i="15"/>
  <c r="B13" i="67"/>
  <c r="F45" i="44"/>
  <c r="M25"/>
  <c r="M11"/>
  <c r="M23" i="15"/>
  <c r="B14" i="67"/>
  <c r="F43" i="44"/>
  <c r="F15"/>
  <c r="B11" i="67"/>
  <c r="F37" i="44"/>
  <c r="M24"/>
  <c r="F13" i="67"/>
  <c r="E8"/>
  <c r="M22" i="15"/>
  <c r="F28" i="44"/>
  <c r="N5" i="65"/>
  <c r="B10" i="67"/>
  <c r="M29" i="44"/>
  <c r="F11" i="67"/>
  <c r="F46" i="44"/>
  <c r="J15" i="15"/>
  <c r="M26"/>
  <c r="E14" i="67"/>
  <c r="N3" i="65"/>
  <c r="C19" i="44"/>
  <c r="E10" i="67"/>
  <c r="M21" i="15"/>
  <c r="M10" i="44"/>
  <c r="F10"/>
  <c r="M28"/>
  <c r="F12" i="67"/>
  <c r="H48" i="46"/>
  <c r="M85" i="9"/>
  <c r="N85"/>
  <c r="M88"/>
  <c r="N88"/>
  <c r="O40"/>
  <c r="K31"/>
  <c r="K32"/>
  <c r="K15" i="1"/>
  <c r="L19" i="6"/>
  <c r="L27"/>
  <c r="O41" i="9"/>
  <c r="R8" i="54"/>
  <c r="B54" i="63"/>
  <c r="I14" i="66"/>
  <c r="B8"/>
  <c r="U14" i="40"/>
  <c r="AB14"/>
  <c r="AC34"/>
  <c r="W34"/>
  <c r="AA47" i="39"/>
  <c r="S47"/>
  <c r="AA41" i="40"/>
  <c r="S41"/>
  <c r="F77" i="33"/>
  <c r="G77"/>
  <c r="W15"/>
  <c r="W27" i="34"/>
  <c r="AC27"/>
  <c r="AC24" i="35"/>
  <c r="W24"/>
  <c r="W15" i="34"/>
  <c r="W11"/>
  <c r="AC11"/>
  <c r="S20" i="35"/>
  <c r="AA20"/>
  <c r="AB47" i="39"/>
  <c r="U47"/>
  <c r="AB41" i="40"/>
  <c r="U41"/>
  <c r="U16" i="39"/>
  <c r="AB16"/>
  <c r="W26" i="33"/>
  <c r="AB9" i="35"/>
  <c r="U9"/>
  <c r="S31" i="33"/>
  <c r="U30" i="40"/>
  <c r="AB17" i="39"/>
  <c r="AB38" i="34"/>
  <c r="AA36" i="35"/>
  <c r="AB15" i="37"/>
  <c r="U12"/>
  <c r="AC41" i="34"/>
  <c r="U28" i="21"/>
  <c r="AB40" i="37"/>
  <c r="F113" i="33"/>
  <c r="G113"/>
  <c r="H113"/>
  <c r="I113"/>
  <c r="J113"/>
  <c r="K113"/>
  <c r="L113"/>
  <c r="M113"/>
  <c r="AC34" i="36"/>
  <c r="B69" i="46"/>
  <c r="B69" i="73"/>
  <c r="B70"/>
  <c r="B59"/>
  <c r="B48"/>
  <c r="B80" i="46"/>
  <c r="B81"/>
  <c r="F34" i="35"/>
  <c r="H34"/>
  <c r="F26" i="37"/>
  <c r="B64" i="73"/>
  <c r="B73"/>
  <c r="B53"/>
  <c r="B72"/>
  <c r="B51"/>
  <c r="B62"/>
  <c r="C18" i="9"/>
  <c r="K12" i="1"/>
  <c r="M12"/>
  <c r="O12"/>
  <c r="P12"/>
  <c r="D1" i="57"/>
  <c r="E10"/>
  <c r="M19" i="46"/>
  <c r="U25" i="59"/>
  <c r="C36"/>
  <c r="D35"/>
  <c r="P24" i="73"/>
  <c r="P21"/>
  <c r="P25"/>
  <c r="O19"/>
  <c r="P23"/>
  <c r="P22"/>
  <c r="C32" i="59"/>
  <c r="D32"/>
  <c r="D31"/>
  <c r="C44"/>
  <c r="D43"/>
  <c r="Q51"/>
  <c r="Q50"/>
  <c r="C7"/>
  <c r="D7"/>
  <c r="D8"/>
  <c r="B65" i="73"/>
  <c r="B54"/>
  <c r="B74"/>
  <c r="B15" i="59"/>
  <c r="B16"/>
  <c r="B17"/>
  <c r="S17"/>
  <c r="C15"/>
  <c r="E19"/>
  <c r="E20"/>
  <c r="E21"/>
  <c r="U21"/>
  <c r="F19"/>
  <c r="F20"/>
  <c r="F21"/>
  <c r="V21"/>
  <c r="B23"/>
  <c r="B24"/>
  <c r="B25"/>
  <c r="S25"/>
  <c r="C23"/>
  <c r="S13"/>
  <c r="B12"/>
  <c r="B11"/>
  <c r="U13"/>
  <c r="E12"/>
  <c r="E11"/>
  <c r="A28" i="64"/>
  <c r="AA12" i="46"/>
  <c r="AE12"/>
  <c r="T9" i="59"/>
  <c r="V9"/>
  <c r="K76" i="9"/>
  <c r="K77"/>
  <c r="K79"/>
  <c r="K81"/>
  <c r="C13" i="59"/>
  <c r="F13"/>
  <c r="U23" i="21"/>
  <c r="M43" i="9"/>
  <c r="D18"/>
  <c r="M44"/>
  <c r="F79" i="21"/>
  <c r="G79"/>
  <c r="S17"/>
  <c r="W44"/>
  <c r="G28" i="72"/>
  <c r="G27"/>
  <c r="G26"/>
  <c r="W17" i="33"/>
  <c r="J73" i="46"/>
  <c r="U44" i="33"/>
  <c r="W46"/>
  <c r="S44"/>
  <c r="S42"/>
  <c r="U38"/>
  <c r="W38"/>
  <c r="G111"/>
  <c r="H111"/>
  <c r="I111"/>
  <c r="J111"/>
  <c r="K111"/>
  <c r="L111"/>
  <c r="M111"/>
  <c r="W36"/>
  <c r="W44"/>
  <c r="S39"/>
  <c r="W34"/>
  <c r="F101"/>
  <c r="G101"/>
  <c r="H101"/>
  <c r="I101"/>
  <c r="J101"/>
  <c r="K101"/>
  <c r="L101"/>
  <c r="M101"/>
  <c r="U32"/>
  <c r="W32"/>
  <c r="U27"/>
  <c r="S27"/>
  <c r="F91"/>
  <c r="G91"/>
  <c r="H91"/>
  <c r="I91"/>
  <c r="J91"/>
  <c r="K91"/>
  <c r="L91"/>
  <c r="M91"/>
  <c r="U25"/>
  <c r="B76" i="73"/>
  <c r="B66"/>
  <c r="B55"/>
  <c r="B76" i="46"/>
  <c r="U19" i="33"/>
  <c r="F79"/>
  <c r="G79"/>
  <c r="S10"/>
  <c r="W10"/>
  <c r="U9"/>
  <c r="B84" i="46"/>
  <c r="B58"/>
  <c r="B47"/>
  <c r="A30" i="64"/>
  <c r="A30" i="51"/>
  <c r="B22" i="63"/>
  <c r="U42" i="21"/>
  <c r="W42"/>
  <c r="H113"/>
  <c r="S37"/>
  <c r="S42"/>
  <c r="W39"/>
  <c r="S35"/>
  <c r="W32"/>
  <c r="S27"/>
  <c r="S26"/>
  <c r="S21"/>
  <c r="U19"/>
  <c r="S19"/>
  <c r="W17"/>
  <c r="W9"/>
  <c r="U9"/>
  <c r="L16" i="4"/>
  <c r="N16"/>
  <c r="E495" i="3"/>
  <c r="E571"/>
  <c r="E273"/>
  <c r="E175"/>
  <c r="E506"/>
  <c r="E522"/>
  <c r="E516"/>
  <c r="S6"/>
  <c r="E377"/>
  <c r="E484"/>
  <c r="E356"/>
  <c r="E53" i="40"/>
  <c r="E58" i="39"/>
  <c r="F31" i="6"/>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c r="G30" i="6"/>
  <c r="G31"/>
  <c r="O9" i="1"/>
  <c r="P9"/>
  <c r="E14" i="6"/>
  <c r="E15"/>
  <c r="E13"/>
  <c r="E12"/>
  <c r="E10"/>
  <c r="E11"/>
  <c r="O13" i="1"/>
  <c r="P13"/>
  <c r="O7"/>
  <c r="P7"/>
  <c r="O11"/>
  <c r="P11"/>
  <c r="BL5" i="3"/>
  <c r="H16" i="1"/>
  <c r="AB11" i="46"/>
  <c r="AB13"/>
  <c r="AI11"/>
  <c r="AI13"/>
  <c r="AA11"/>
  <c r="AA13"/>
  <c r="C23"/>
  <c r="AH11"/>
  <c r="AH13"/>
  <c r="AD11"/>
  <c r="AD13"/>
  <c r="Z11"/>
  <c r="Z13"/>
  <c r="F101"/>
  <c r="N101"/>
  <c r="K101"/>
  <c r="Z7"/>
  <c r="E101"/>
  <c r="L101"/>
  <c r="N104" i="45"/>
  <c r="B113" i="46"/>
  <c r="J101"/>
  <c r="G101"/>
  <c r="C101"/>
  <c r="AE11"/>
  <c r="AE13"/>
  <c r="AJ11"/>
  <c r="AJ13"/>
  <c r="AF11"/>
  <c r="AF13"/>
  <c r="Y11"/>
  <c r="Y13"/>
  <c r="AG11"/>
  <c r="AG13"/>
  <c r="AC11"/>
  <c r="AC13"/>
  <c r="H101"/>
  <c r="M101"/>
  <c r="D101"/>
  <c r="I101"/>
  <c r="J22"/>
  <c r="H51"/>
  <c r="H53"/>
  <c r="H60"/>
  <c r="H59"/>
  <c r="H69"/>
  <c r="H65"/>
  <c r="H75"/>
  <c r="H72"/>
  <c r="H74"/>
  <c r="H73"/>
  <c r="H76"/>
  <c r="H55"/>
  <c r="H54"/>
  <c r="H52"/>
  <c r="H47"/>
  <c r="G8" i="1"/>
  <c r="G10"/>
  <c r="G13"/>
  <c r="K17" i="4"/>
  <c r="A22" i="51"/>
  <c r="B16" i="63"/>
  <c r="AP16" i="1"/>
  <c r="F22" i="11"/>
  <c r="G6" i="1"/>
  <c r="N4" i="63"/>
  <c r="E14" i="52"/>
  <c r="E48" i="35"/>
  <c r="F48"/>
  <c r="G48"/>
  <c r="H48"/>
  <c r="I48"/>
  <c r="J48"/>
  <c r="K48"/>
  <c r="L48"/>
  <c r="M48"/>
  <c r="N48"/>
  <c r="O48"/>
  <c r="C72" i="39"/>
  <c r="D70"/>
  <c r="E52" i="37"/>
  <c r="F52"/>
  <c r="G52"/>
  <c r="H52"/>
  <c r="I52"/>
  <c r="J52"/>
  <c r="K52"/>
  <c r="L52"/>
  <c r="M52"/>
  <c r="N52"/>
  <c r="O52"/>
  <c r="F59" i="34"/>
  <c r="G59"/>
  <c r="H59"/>
  <c r="I59"/>
  <c r="J59"/>
  <c r="K59"/>
  <c r="L59"/>
  <c r="M59"/>
  <c r="N59"/>
  <c r="O59"/>
  <c r="F46" i="36"/>
  <c r="G46"/>
  <c r="H46"/>
  <c r="I46"/>
  <c r="J46"/>
  <c r="K46"/>
  <c r="L46"/>
  <c r="M46"/>
  <c r="N46"/>
  <c r="O46"/>
  <c r="D65" i="40"/>
  <c r="C67"/>
  <c r="H7" i="37"/>
  <c r="H7" i="36"/>
  <c r="H7" i="34"/>
  <c r="C6" i="59"/>
  <c r="C5"/>
  <c r="D5"/>
  <c r="B6" i="52"/>
  <c r="E7"/>
  <c r="E6"/>
  <c r="E4"/>
  <c r="B7"/>
  <c r="E5"/>
  <c r="P21" i="46"/>
  <c r="B6" i="59"/>
  <c r="B5"/>
  <c r="P22" i="46"/>
  <c r="P23"/>
  <c r="P25"/>
  <c r="B73" i="39"/>
  <c r="P24" i="46"/>
  <c r="B68" i="40"/>
  <c r="E22" i="52"/>
  <c r="B22"/>
  <c r="B10"/>
  <c r="B11"/>
  <c r="B4"/>
  <c r="E9"/>
  <c r="C36" i="44"/>
  <c r="C8"/>
  <c r="F63" i="15"/>
  <c r="F67"/>
  <c r="J60" i="44"/>
  <c r="I55"/>
  <c r="J58"/>
  <c r="J56"/>
  <c r="J59"/>
  <c r="Q52"/>
  <c r="L57"/>
  <c r="J61"/>
  <c r="Q50"/>
  <c r="J22"/>
  <c r="Q72" i="15"/>
  <c r="Q73" i="44"/>
  <c r="F64" i="15"/>
  <c r="L60" i="44"/>
  <c r="L59"/>
  <c r="F62" i="15"/>
  <c r="C61"/>
  <c r="J20"/>
  <c r="F68"/>
  <c r="F65"/>
  <c r="F50"/>
  <c r="L59"/>
  <c r="L58"/>
  <c r="F49"/>
  <c r="M7"/>
  <c r="J6"/>
  <c r="C29" i="44"/>
  <c r="F70" i="15"/>
  <c r="M9" i="44"/>
  <c r="J8"/>
  <c r="I54" i="15"/>
  <c r="J57"/>
  <c r="J55"/>
  <c r="J58"/>
  <c r="Q51"/>
  <c r="L56"/>
  <c r="E17" i="52"/>
  <c r="E11"/>
  <c r="E15"/>
  <c r="E4" i="4"/>
  <c r="B21" i="55"/>
  <c r="B72" i="63"/>
  <c r="E13" i="52"/>
  <c r="B14"/>
  <c r="E8"/>
  <c r="E16"/>
  <c r="B5"/>
  <c r="B9"/>
  <c r="B16"/>
  <c r="B8"/>
  <c r="B13"/>
  <c r="E10"/>
  <c r="C4" i="4"/>
  <c r="B20" i="55"/>
  <c r="B70" i="63"/>
  <c r="E21" i="52"/>
  <c r="M17" i="15"/>
  <c r="F58"/>
  <c r="F31"/>
  <c r="F33" i="44"/>
  <c r="M19"/>
  <c r="C18"/>
  <c r="E481" i="3"/>
  <c r="E326"/>
  <c r="E382"/>
  <c r="E511"/>
  <c r="E227"/>
  <c r="E572"/>
  <c r="E342"/>
  <c r="E503"/>
  <c r="E112"/>
  <c r="E566"/>
  <c r="E122"/>
  <c r="R7" i="54"/>
  <c r="B52" i="63"/>
  <c r="J7" i="34"/>
  <c r="H7" i="35"/>
  <c r="J7" i="36"/>
  <c r="F7" i="37"/>
  <c r="F7" i="36"/>
  <c r="F7" i="34"/>
  <c r="J7" i="37"/>
  <c r="C19" i="73"/>
  <c r="Q16" i="1"/>
  <c r="D6" i="59"/>
  <c r="J7" i="35"/>
  <c r="F7"/>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F12" i="59"/>
  <c r="F11"/>
  <c r="V13"/>
  <c r="D13"/>
  <c r="T13"/>
  <c r="C12"/>
  <c r="D23"/>
  <c r="C24"/>
  <c r="C45"/>
  <c r="D44"/>
  <c r="AA26" i="37"/>
  <c r="S26"/>
  <c r="AA34" i="35"/>
  <c r="S34"/>
  <c r="U37" i="33"/>
  <c r="D15" i="59"/>
  <c r="C16"/>
  <c r="D36"/>
  <c r="C37"/>
  <c r="C25" i="72"/>
  <c r="C31" i="43"/>
  <c r="AB34" i="35"/>
  <c r="U34"/>
  <c r="C27" i="43"/>
  <c r="C30" i="44"/>
  <c r="S15" i="33"/>
  <c r="K34" i="9"/>
  <c r="U17" i="21"/>
  <c r="F18" i="11"/>
  <c r="C18"/>
  <c r="U36" i="33"/>
  <c r="S36"/>
  <c r="S32"/>
  <c r="W27"/>
  <c r="S17"/>
  <c r="U17"/>
  <c r="U37" i="21"/>
  <c r="W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AC6"/>
  <c r="E60" i="40"/>
  <c r="E65" i="39"/>
  <c r="E66"/>
  <c r="E61" i="40"/>
  <c r="E16" i="6"/>
  <c r="E58" i="40"/>
  <c r="E63" i="39"/>
  <c r="E64"/>
  <c r="E59" i="40"/>
  <c r="E62"/>
  <c r="E67" i="39"/>
  <c r="E30" i="6"/>
  <c r="I102" i="46"/>
  <c r="I109"/>
  <c r="I107"/>
  <c r="I104"/>
  <c r="I106"/>
  <c r="I105"/>
  <c r="I103"/>
  <c r="M104"/>
  <c r="M103"/>
  <c r="M105"/>
  <c r="M107"/>
  <c r="M109"/>
  <c r="M102"/>
  <c r="M106"/>
  <c r="G103"/>
  <c r="G106"/>
  <c r="G104"/>
  <c r="G102"/>
  <c r="G107"/>
  <c r="G109"/>
  <c r="G105"/>
  <c r="I115"/>
  <c r="J115"/>
  <c r="K115"/>
  <c r="L115"/>
  <c r="M115"/>
  <c r="B117"/>
  <c r="C117"/>
  <c r="D115"/>
  <c r="E115"/>
  <c r="F115"/>
  <c r="G115"/>
  <c r="H115"/>
  <c r="I118"/>
  <c r="J118"/>
  <c r="K118"/>
  <c r="L118"/>
  <c r="M118"/>
  <c r="D116"/>
  <c r="E116"/>
  <c r="F116"/>
  <c r="G116"/>
  <c r="H116"/>
  <c r="B118"/>
  <c r="C118"/>
  <c r="D118"/>
  <c r="E118"/>
  <c r="F118"/>
  <c r="I116"/>
  <c r="J116"/>
  <c r="K116"/>
  <c r="L116"/>
  <c r="M116"/>
  <c r="I117"/>
  <c r="J117"/>
  <c r="K117"/>
  <c r="L117"/>
  <c r="M117"/>
  <c r="B115"/>
  <c r="B116"/>
  <c r="C116"/>
  <c r="G118"/>
  <c r="H118"/>
  <c r="D117"/>
  <c r="E117"/>
  <c r="F117"/>
  <c r="G117"/>
  <c r="H117"/>
  <c r="L106"/>
  <c r="L107"/>
  <c r="L109"/>
  <c r="L103"/>
  <c r="L102"/>
  <c r="L105"/>
  <c r="L104"/>
  <c r="E103"/>
  <c r="E107"/>
  <c r="E102"/>
  <c r="E104"/>
  <c r="E106"/>
  <c r="E105"/>
  <c r="E109"/>
  <c r="K107"/>
  <c r="K102"/>
  <c r="K106"/>
  <c r="K109"/>
  <c r="K104"/>
  <c r="K105"/>
  <c r="K103"/>
  <c r="F106"/>
  <c r="F103"/>
  <c r="F104"/>
  <c r="F109"/>
  <c r="F107"/>
  <c r="F105"/>
  <c r="F102"/>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c r="W7" i="34"/>
  <c r="AC7"/>
  <c r="V49"/>
  <c r="I49"/>
  <c r="W7" i="35"/>
  <c r="AC7"/>
  <c r="V38"/>
  <c r="I38"/>
  <c r="U7" i="36"/>
  <c r="AB7"/>
  <c r="T36"/>
  <c r="G36"/>
  <c r="AB7" i="37"/>
  <c r="T42"/>
  <c r="G42"/>
  <c r="U7"/>
  <c r="D67" i="40"/>
  <c r="E65"/>
  <c r="U7" i="34"/>
  <c r="AB7"/>
  <c r="T49"/>
  <c r="G49"/>
  <c r="AB7" i="35"/>
  <c r="T38"/>
  <c r="G38"/>
  <c r="U7"/>
  <c r="AC7" i="36"/>
  <c r="V36"/>
  <c r="I36"/>
  <c r="W7"/>
  <c r="AA7" i="37"/>
  <c r="R42"/>
  <c r="S7"/>
  <c r="S7" i="33"/>
  <c r="U7"/>
  <c r="AA7" i="36"/>
  <c r="R36"/>
  <c r="S7"/>
  <c r="S7" i="34"/>
  <c r="AA7"/>
  <c r="R49"/>
  <c r="W7" i="37"/>
  <c r="AC7"/>
  <c r="V42"/>
  <c r="I42"/>
  <c r="D72" i="39"/>
  <c r="E70"/>
  <c r="S7" i="21"/>
  <c r="U7"/>
  <c r="G48"/>
  <c r="AA7" i="35"/>
  <c r="R38"/>
  <c r="S7"/>
  <c r="C48" i="15"/>
  <c r="F13" i="44"/>
  <c r="C12"/>
  <c r="C7"/>
  <c r="C40"/>
  <c r="L52"/>
  <c r="L58"/>
  <c r="L61"/>
  <c r="L47"/>
  <c r="Q61" i="15"/>
  <c r="Q74"/>
  <c r="Q76" i="44"/>
  <c r="Q63"/>
  <c r="Q54"/>
  <c r="M11" i="15"/>
  <c r="J10"/>
  <c r="J5"/>
  <c r="M13" i="44"/>
  <c r="J12"/>
  <c r="J7"/>
  <c r="Q53" i="15"/>
  <c r="Q75"/>
  <c r="Q62"/>
  <c r="Q75" i="44"/>
  <c r="Q62"/>
  <c r="F24" i="43"/>
  <c r="J5" i="65"/>
  <c r="I3"/>
  <c r="I7"/>
  <c r="J6"/>
  <c r="J4"/>
  <c r="I6"/>
  <c r="J7"/>
  <c r="J3"/>
  <c r="K24" i="6"/>
  <c r="M24"/>
  <c r="I24"/>
  <c r="S24"/>
  <c r="H6" i="3"/>
  <c r="J1" i="65"/>
  <c r="D37" i="59"/>
  <c r="T37"/>
  <c r="D24"/>
  <c r="C25"/>
  <c r="D12"/>
  <c r="C11"/>
  <c r="D16"/>
  <c r="C17"/>
  <c r="D45"/>
  <c r="T45"/>
  <c r="G48" i="33"/>
  <c r="C26" i="43"/>
  <c r="D24"/>
  <c r="K23" i="6"/>
  <c r="M23"/>
  <c r="I23"/>
  <c r="S23"/>
  <c r="E31"/>
  <c r="K25"/>
  <c r="M25"/>
  <c r="I25"/>
  <c r="S25"/>
  <c r="K26"/>
  <c r="M26"/>
  <c r="I26"/>
  <c r="S26"/>
  <c r="S21"/>
  <c r="M20"/>
  <c r="I20"/>
  <c r="S20"/>
  <c r="E6" i="3"/>
  <c r="K16" i="1"/>
  <c r="K27" i="6"/>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486"/>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c r="C21" i="4"/>
  <c r="O5" i="54"/>
  <c r="B45" i="63"/>
  <c r="D10" i="11"/>
  <c r="E6" i="6"/>
  <c r="L38" i="9"/>
  <c r="B14" i="66"/>
  <c r="B1"/>
  <c r="D45" i="9"/>
  <c r="D44"/>
  <c r="D46"/>
  <c r="S5" i="46"/>
  <c r="S3"/>
  <c r="S4"/>
  <c r="S6"/>
  <c r="S2"/>
  <c r="S7"/>
  <c r="C115"/>
  <c r="D113"/>
  <c r="H12" i="40"/>
  <c r="AB12"/>
  <c r="J12" i="39"/>
  <c r="AC12"/>
  <c r="F12"/>
  <c r="H12"/>
  <c r="W12" i="40"/>
  <c r="AC12"/>
  <c r="AA12"/>
  <c r="R39" i="35"/>
  <c r="E38"/>
  <c r="I43"/>
  <c r="J43"/>
  <c r="E36" i="36"/>
  <c r="R37"/>
  <c r="G53" i="34"/>
  <c r="H53"/>
  <c r="G54"/>
  <c r="H54"/>
  <c r="I48" i="21"/>
  <c r="G53"/>
  <c r="H53"/>
  <c r="W7"/>
  <c r="G47" i="37"/>
  <c r="H47"/>
  <c r="G46"/>
  <c r="H46"/>
  <c r="G52" i="21"/>
  <c r="H52"/>
  <c r="E48"/>
  <c r="E72" i="39"/>
  <c r="F70"/>
  <c r="I46" i="37"/>
  <c r="J46"/>
  <c r="R50" i="34"/>
  <c r="E49"/>
  <c r="G52" i="33"/>
  <c r="H52"/>
  <c r="E48"/>
  <c r="E42" i="37"/>
  <c r="I47"/>
  <c r="J47"/>
  <c r="R43"/>
  <c r="I41" i="36"/>
  <c r="J41"/>
  <c r="I40"/>
  <c r="J40"/>
  <c r="G42" i="35"/>
  <c r="H42"/>
  <c r="G43"/>
  <c r="H43"/>
  <c r="W7" i="33"/>
  <c r="I48"/>
  <c r="E67" i="40"/>
  <c r="F65"/>
  <c r="G40" i="36"/>
  <c r="H40"/>
  <c r="G41"/>
  <c r="H41"/>
  <c r="I42" i="35"/>
  <c r="J42"/>
  <c r="I53" i="34"/>
  <c r="J53"/>
  <c r="I54"/>
  <c r="J54"/>
  <c r="J28" i="44"/>
  <c r="J31"/>
  <c r="J26"/>
  <c r="J20"/>
  <c r="C34"/>
  <c r="C52" i="15"/>
  <c r="C47"/>
  <c r="J26"/>
  <c r="J29"/>
  <c r="J24"/>
  <c r="J18"/>
  <c r="D16" i="43"/>
  <c r="E3" i="65"/>
  <c r="M19" i="6"/>
  <c r="M22"/>
  <c r="I22"/>
  <c r="S22"/>
  <c r="F21" i="43"/>
  <c r="C23"/>
  <c r="D21"/>
  <c r="F26" i="44"/>
  <c r="C26"/>
  <c r="F17" i="11"/>
  <c r="C17"/>
  <c r="C19"/>
  <c r="C20"/>
  <c r="C21"/>
  <c r="C22"/>
  <c r="C23"/>
  <c r="B2"/>
  <c r="B3"/>
  <c r="D17" i="59"/>
  <c r="T17"/>
  <c r="D11"/>
  <c r="D25"/>
  <c r="M20" i="46"/>
  <c r="M19" i="73"/>
  <c r="M20"/>
  <c r="T25" i="59"/>
  <c r="N17" i="73"/>
  <c r="E41"/>
  <c r="C41"/>
  <c r="C39"/>
  <c r="P17"/>
  <c r="O17"/>
  <c r="M17" i="46"/>
  <c r="P17"/>
  <c r="N17"/>
  <c r="C16" i="43"/>
  <c r="C48" i="33"/>
  <c r="T11" i="1"/>
  <c r="U12" i="40"/>
  <c r="W12" i="39"/>
  <c r="D13" i="11"/>
  <c r="C13"/>
  <c r="E68" i="39"/>
  <c r="K38" i="9"/>
  <c r="C14" i="66"/>
  <c r="B2"/>
  <c r="D26" i="6"/>
  <c r="D11"/>
  <c r="H20"/>
  <c r="D9"/>
  <c r="D29"/>
  <c r="D15"/>
  <c r="E44" i="9"/>
  <c r="E46"/>
  <c r="E63" i="40"/>
  <c r="D19" i="6"/>
  <c r="D25"/>
  <c r="D13"/>
  <c r="H24"/>
  <c r="D23"/>
  <c r="D28"/>
  <c r="D30"/>
  <c r="D8"/>
  <c r="E45" i="9"/>
  <c r="D24" i="6"/>
  <c r="D22"/>
  <c r="D12"/>
  <c r="H25"/>
  <c r="D5"/>
  <c r="H22"/>
  <c r="H26"/>
  <c r="F46" i="9"/>
  <c r="F45"/>
  <c r="C22" i="4"/>
  <c r="D10" i="6"/>
  <c r="D6"/>
  <c r="D14"/>
  <c r="D20"/>
  <c r="R20"/>
  <c r="R7" i="1"/>
  <c r="H23" i="6"/>
  <c r="F44" i="9"/>
  <c r="O14" i="1"/>
  <c r="O16"/>
  <c r="T7"/>
  <c r="M16"/>
  <c r="T9"/>
  <c r="C7" i="66"/>
  <c r="C6"/>
  <c r="C8"/>
  <c r="M27" i="6"/>
  <c r="I19"/>
  <c r="AB12" i="39"/>
  <c r="U12"/>
  <c r="AA12"/>
  <c r="S12"/>
  <c r="G65" i="40"/>
  <c r="F67"/>
  <c r="I52" i="33"/>
  <c r="J52"/>
  <c r="I53"/>
  <c r="J53"/>
  <c r="C42" i="37"/>
  <c r="C43"/>
  <c r="B3"/>
  <c r="B2"/>
  <c r="E54" i="34"/>
  <c r="F54"/>
  <c r="E53"/>
  <c r="F53"/>
  <c r="G70" i="39"/>
  <c r="F72"/>
  <c r="C36" i="36"/>
  <c r="C37"/>
  <c r="B3"/>
  <c r="B2"/>
  <c r="E43" i="35"/>
  <c r="F43"/>
  <c r="E42"/>
  <c r="F42"/>
  <c r="G53" i="33"/>
  <c r="H53"/>
  <c r="E46" i="37"/>
  <c r="F46"/>
  <c r="E47"/>
  <c r="F47"/>
  <c r="E52" i="33"/>
  <c r="E53"/>
  <c r="F53"/>
  <c r="C50" i="34"/>
  <c r="B3"/>
  <c r="B2"/>
  <c r="C49"/>
  <c r="E53" i="21"/>
  <c r="F53"/>
  <c r="E52"/>
  <c r="F52"/>
  <c r="I52"/>
  <c r="J52"/>
  <c r="I53"/>
  <c r="J53"/>
  <c r="E41" i="36"/>
  <c r="F41"/>
  <c r="E40"/>
  <c r="F40"/>
  <c r="C39" i="35"/>
  <c r="B3"/>
  <c r="B2"/>
  <c r="C38"/>
  <c r="Q69" i="44"/>
  <c r="C59" i="15"/>
  <c r="C65"/>
  <c r="Q49" i="44"/>
  <c r="Q55"/>
  <c r="Q67"/>
  <c r="Q58"/>
  <c r="AE7" i="1"/>
  <c r="P14"/>
  <c r="P16"/>
  <c r="T12"/>
  <c r="C48" i="21"/>
  <c r="B5" i="11"/>
  <c r="B4"/>
  <c r="C38" i="73"/>
  <c r="G38"/>
  <c r="I38"/>
  <c r="C34"/>
  <c r="G34"/>
  <c r="I34"/>
  <c r="T10" i="1"/>
  <c r="T13"/>
  <c r="T16"/>
  <c r="T2" i="46"/>
  <c r="V2"/>
  <c r="B3" i="33"/>
  <c r="B2"/>
  <c r="C6" i="72"/>
  <c r="B3" i="21"/>
  <c r="B2"/>
  <c r="F52" i="33"/>
  <c r="G39" i="73"/>
  <c r="I39"/>
  <c r="E39"/>
  <c r="R24" i="6"/>
  <c r="D16"/>
  <c r="R25"/>
  <c r="R26"/>
  <c r="I27"/>
  <c r="S19"/>
  <c r="S27"/>
  <c r="N16" i="1"/>
  <c r="L16"/>
  <c r="A20" i="51"/>
  <c r="B15" i="63"/>
  <c r="A6" i="51"/>
  <c r="B7" i="63"/>
  <c r="A20" i="64"/>
  <c r="N5" i="54"/>
  <c r="B43" i="63"/>
  <c r="A6" i="64"/>
  <c r="D27" i="6"/>
  <c r="D31"/>
  <c r="D6" i="66"/>
  <c r="D7"/>
  <c r="D8"/>
  <c r="R22" i="6"/>
  <c r="R9" i="1"/>
  <c r="H19" i="6"/>
  <c r="H27"/>
  <c r="R23"/>
  <c r="G72" i="39"/>
  <c r="H70"/>
  <c r="G67" i="40"/>
  <c r="H65"/>
  <c r="Q68" i="44"/>
  <c r="Q77"/>
  <c r="Q59"/>
  <c r="Q64"/>
  <c r="C29" i="43"/>
  <c r="C13"/>
  <c r="C16" i="44"/>
  <c r="F7" i="67"/>
  <c r="C35" i="73"/>
  <c r="G35"/>
  <c r="I35"/>
  <c r="E38"/>
  <c r="T12"/>
  <c r="V12"/>
  <c r="T13"/>
  <c r="V13"/>
  <c r="T8"/>
  <c r="V8"/>
  <c r="T5"/>
  <c r="V5"/>
  <c r="E34"/>
  <c r="T7"/>
  <c r="V7"/>
  <c r="T3"/>
  <c r="V3"/>
  <c r="T11"/>
  <c r="V11"/>
  <c r="T9"/>
  <c r="V9"/>
  <c r="T16"/>
  <c r="V16"/>
  <c r="T6"/>
  <c r="V6"/>
  <c r="T14"/>
  <c r="V14"/>
  <c r="T10"/>
  <c r="V10"/>
  <c r="T15"/>
  <c r="V15"/>
  <c r="C37"/>
  <c r="E37"/>
  <c r="T4"/>
  <c r="V4"/>
  <c r="C33"/>
  <c r="E33"/>
  <c r="T2"/>
  <c r="V2"/>
  <c r="C36"/>
  <c r="G36"/>
  <c r="I36"/>
  <c r="C17" i="44"/>
  <c r="C20"/>
  <c r="E38" i="46"/>
  <c r="G38"/>
  <c r="I38"/>
  <c r="T15"/>
  <c r="V15"/>
  <c r="T9"/>
  <c r="V9"/>
  <c r="C34"/>
  <c r="T12"/>
  <c r="V12"/>
  <c r="T6"/>
  <c r="V6"/>
  <c r="T14"/>
  <c r="V14"/>
  <c r="C33"/>
  <c r="T11"/>
  <c r="V11"/>
  <c r="C37"/>
  <c r="T3"/>
  <c r="V3"/>
  <c r="T5"/>
  <c r="V5"/>
  <c r="T16"/>
  <c r="V16"/>
  <c r="T10"/>
  <c r="V10"/>
  <c r="T8"/>
  <c r="V8"/>
  <c r="C39"/>
  <c r="T4"/>
  <c r="V4"/>
  <c r="C36"/>
  <c r="C35"/>
  <c r="T13"/>
  <c r="V13"/>
  <c r="T7"/>
  <c r="V7"/>
  <c r="C24" i="72"/>
  <c r="C29"/>
  <c r="E4" i="67"/>
  <c r="R19" i="6"/>
  <c r="I5"/>
  <c r="I6"/>
  <c r="C14" i="43"/>
  <c r="C17"/>
  <c r="H67" i="40"/>
  <c r="I65"/>
  <c r="H72" i="39"/>
  <c r="I70"/>
  <c r="E7" i="67"/>
  <c r="D3" i="75"/>
  <c r="I3"/>
  <c r="E35" i="73"/>
  <c r="E29"/>
  <c r="E36"/>
  <c r="G37"/>
  <c r="I37"/>
  <c r="G33"/>
  <c r="I33"/>
  <c r="C21" i="44"/>
  <c r="C22"/>
  <c r="C25"/>
  <c r="C30" i="73"/>
  <c r="E30"/>
  <c r="G39" i="46"/>
  <c r="I39"/>
  <c r="E39"/>
  <c r="C30"/>
  <c r="E30"/>
  <c r="E29"/>
  <c r="G35"/>
  <c r="I35"/>
  <c r="E35"/>
  <c r="G37"/>
  <c r="I37"/>
  <c r="E37"/>
  <c r="G33"/>
  <c r="I33"/>
  <c r="E33"/>
  <c r="E34"/>
  <c r="G34"/>
  <c r="I34"/>
  <c r="E36"/>
  <c r="G36"/>
  <c r="I36"/>
  <c r="E3" i="67"/>
  <c r="R27" i="6"/>
  <c r="R6" i="1"/>
  <c r="R16"/>
  <c r="C18" i="43"/>
  <c r="C19"/>
  <c r="I72" i="39"/>
  <c r="J70"/>
  <c r="I67" i="40"/>
  <c r="J65"/>
  <c r="B7" i="67"/>
  <c r="C26" i="73"/>
  <c r="B2"/>
  <c r="D4"/>
  <c r="C28" i="44"/>
  <c r="C31"/>
  <c r="C35"/>
  <c r="C33"/>
  <c r="C27" i="73"/>
  <c r="C26" i="46"/>
  <c r="B2"/>
  <c r="D4"/>
  <c r="C27"/>
  <c r="B2" i="67"/>
  <c r="C25" i="43"/>
  <c r="C24"/>
  <c r="C22"/>
  <c r="C21"/>
  <c r="J67" i="40"/>
  <c r="K65"/>
  <c r="J72" i="39"/>
  <c r="K70"/>
  <c r="D19" i="9"/>
  <c r="C19"/>
  <c r="B4" i="12"/>
  <c r="B4" i="72"/>
  <c r="Q50" i="15"/>
  <c r="J59"/>
  <c r="J60"/>
  <c r="L51"/>
  <c r="L57"/>
  <c r="L60"/>
  <c r="L46"/>
  <c r="J14"/>
  <c r="J22"/>
  <c r="C56"/>
  <c r="C63"/>
  <c r="J19"/>
  <c r="J17"/>
  <c r="C15" i="44"/>
  <c r="Q72"/>
  <c r="C38"/>
  <c r="J16"/>
  <c r="J15"/>
  <c r="J25"/>
  <c r="Q51"/>
  <c r="J21"/>
  <c r="J19"/>
  <c r="L44" i="9"/>
  <c r="B3" i="46"/>
  <c r="B4"/>
  <c r="B3" i="73"/>
  <c r="C60" i="15"/>
  <c r="C58"/>
  <c r="B4" i="73"/>
  <c r="L43" i="9"/>
  <c r="D22"/>
  <c r="G19"/>
  <c r="C32"/>
  <c r="B4" i="67"/>
  <c r="B3"/>
  <c r="C28" i="43"/>
  <c r="C30"/>
  <c r="C32"/>
  <c r="B2"/>
  <c r="J13" i="15"/>
  <c r="J23"/>
  <c r="J16"/>
  <c r="J25"/>
  <c r="K72" i="39"/>
  <c r="L70"/>
  <c r="K67" i="40"/>
  <c r="L65"/>
  <c r="C20" i="9"/>
  <c r="B5" i="72"/>
  <c r="D21" i="9"/>
  <c r="D20"/>
  <c r="B5" i="12"/>
  <c r="C21" i="9"/>
  <c r="B5" i="43"/>
  <c r="Q49" i="15"/>
  <c r="Q70"/>
  <c r="E20" i="68"/>
  <c r="I20"/>
  <c r="J35" i="15"/>
  <c r="Q71"/>
  <c r="C55"/>
  <c r="C64"/>
  <c r="C57"/>
  <c r="C66"/>
  <c r="C67"/>
  <c r="C70"/>
  <c r="J24" i="44"/>
  <c r="J18"/>
  <c r="J27"/>
  <c r="C39"/>
  <c r="C32"/>
  <c r="C42"/>
  <c r="Q71"/>
  <c r="Q70"/>
  <c r="C43"/>
  <c r="I12" i="68"/>
  <c r="N43" i="9"/>
  <c r="G21"/>
  <c r="G20"/>
  <c r="G22"/>
  <c r="C42"/>
  <c r="O38"/>
  <c r="C33"/>
  <c r="C35"/>
  <c r="F42"/>
  <c r="O43"/>
  <c r="C34"/>
  <c r="J39" i="15"/>
  <c r="J40"/>
  <c r="M65" i="40"/>
  <c r="L67"/>
  <c r="L72" i="39"/>
  <c r="M70"/>
  <c r="B4" i="43"/>
  <c r="B3"/>
  <c r="F20" i="68"/>
  <c r="G20"/>
  <c r="Q69" i="15"/>
  <c r="Q48"/>
  <c r="Q54"/>
  <c r="C44" i="44"/>
  <c r="C45"/>
  <c r="B2"/>
  <c r="B4"/>
  <c r="I14" i="68"/>
  <c r="E42" i="9"/>
  <c r="P5" i="54"/>
  <c r="B46" i="63"/>
  <c r="M38" i="9"/>
  <c r="K27"/>
  <c r="K26"/>
  <c r="K25"/>
  <c r="N38"/>
  <c r="K28"/>
  <c r="D42"/>
  <c r="Q5" i="54"/>
  <c r="B47" i="63"/>
  <c r="D14" i="66"/>
  <c r="D63" i="9"/>
  <c r="N68"/>
  <c r="R5" i="54"/>
  <c r="B48" i="63"/>
  <c r="N65" i="40"/>
  <c r="N67"/>
  <c r="M67"/>
  <c r="N70" i="39"/>
  <c r="N72"/>
  <c r="M72"/>
  <c r="Q66" i="15"/>
  <c r="B2"/>
  <c r="B3"/>
  <c r="C46"/>
  <c r="J42"/>
  <c r="J43"/>
  <c r="Q57"/>
  <c r="Q68"/>
  <c r="B3" i="44"/>
  <c r="B5"/>
  <c r="C111" i="9"/>
  <c r="C104"/>
  <c r="C82"/>
  <c r="C81"/>
  <c r="C85"/>
  <c r="C86"/>
  <c r="D72"/>
  <c r="C103"/>
  <c r="C96"/>
  <c r="C91"/>
  <c r="D71"/>
  <c r="D66"/>
  <c r="N72"/>
  <c r="D70"/>
  <c r="D77"/>
  <c r="N75"/>
  <c r="C90"/>
  <c r="F14" i="66"/>
  <c r="B5"/>
  <c r="E14"/>
  <c r="J9" i="39"/>
  <c r="H9"/>
  <c r="F9"/>
  <c r="H9" i="40"/>
  <c r="J9"/>
  <c r="F9"/>
  <c r="Q58" i="15"/>
  <c r="Q63"/>
  <c r="Q67"/>
  <c r="Q76"/>
  <c r="C97" i="9"/>
  <c r="C113"/>
  <c r="C5" i="66"/>
  <c r="D5"/>
  <c r="C98" i="9"/>
  <c r="E98"/>
  <c r="E99"/>
  <c r="W9" i="40"/>
  <c r="AC9"/>
  <c r="V44"/>
  <c r="I44"/>
  <c r="S9" i="39"/>
  <c r="AA9"/>
  <c r="R49"/>
  <c r="AC9"/>
  <c r="V49"/>
  <c r="I49"/>
  <c r="W9"/>
  <c r="S9" i="40"/>
  <c r="AA9"/>
  <c r="R44"/>
  <c r="U9"/>
  <c r="AB9"/>
  <c r="T44"/>
  <c r="G44"/>
  <c r="AB9" i="39"/>
  <c r="T49"/>
  <c r="G49"/>
  <c r="U9"/>
  <c r="C99" i="9"/>
  <c r="C114"/>
  <c r="E114"/>
  <c r="E115"/>
  <c r="G54" i="39"/>
  <c r="H54"/>
  <c r="G53"/>
  <c r="H53"/>
  <c r="I53"/>
  <c r="J53"/>
  <c r="G48" i="40"/>
  <c r="H48"/>
  <c r="G49"/>
  <c r="H49"/>
  <c r="R45"/>
  <c r="E44"/>
  <c r="I49"/>
  <c r="J49"/>
  <c r="R50" i="39"/>
  <c r="E49"/>
  <c r="I48" i="40"/>
  <c r="J48"/>
  <c r="C115" i="9"/>
  <c r="D76"/>
  <c r="D74"/>
  <c r="N74"/>
  <c r="O77"/>
  <c r="C50" i="39"/>
  <c r="C49"/>
  <c r="C44" i="40"/>
  <c r="C45"/>
  <c r="E53" i="39"/>
  <c r="F53"/>
  <c r="E54"/>
  <c r="F54"/>
  <c r="E48" i="40"/>
  <c r="F48"/>
  <c r="E49"/>
  <c r="F49"/>
  <c r="I54" i="39"/>
  <c r="J54"/>
  <c r="O78" i="9"/>
  <c r="Q77"/>
  <c r="O79"/>
  <c r="B61" i="39"/>
  <c r="F61"/>
  <c r="B62"/>
  <c r="F62"/>
  <c r="B59"/>
  <c r="F59"/>
  <c r="B64"/>
  <c r="F64"/>
  <c r="B67"/>
  <c r="F67"/>
  <c r="F68"/>
  <c r="B2"/>
  <c r="B65"/>
  <c r="F65"/>
  <c r="B66"/>
  <c r="F66"/>
  <c r="B60"/>
  <c r="F60"/>
  <c r="B58"/>
  <c r="F58"/>
  <c r="B63"/>
  <c r="F63"/>
  <c r="B61" i="40"/>
  <c r="F61"/>
  <c r="B53"/>
  <c r="F53"/>
  <c r="B58"/>
  <c r="F58"/>
  <c r="B57"/>
  <c r="F57"/>
  <c r="B59"/>
  <c r="F59"/>
  <c r="F63"/>
  <c r="B2"/>
  <c r="B54"/>
  <c r="F54"/>
  <c r="B56"/>
  <c r="F56"/>
  <c r="B55"/>
  <c r="F55"/>
  <c r="B60"/>
  <c r="F60"/>
  <c r="B62"/>
  <c r="F62"/>
  <c r="O80" i="9"/>
  <c r="O81"/>
  <c r="B5" i="40"/>
  <c r="B4"/>
  <c r="B3"/>
  <c r="B3" i="39"/>
  <c r="B5"/>
  <c r="B4"/>
  <c r="E18" i="68"/>
  <c r="F18"/>
  <c r="I18"/>
  <c r="G18"/>
  <c r="I16"/>
  <c r="G16"/>
  <c r="E2" i="75"/>
  <c r="A8"/>
  <c r="J2"/>
  <c r="F2"/>
  <c r="E3"/>
  <c r="A9"/>
  <c r="J3"/>
  <c r="F3"/>
  <c r="A10"/>
  <c r="T35" i="6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<sst xmlns="http://schemas.openxmlformats.org/spreadsheetml/2006/main" count="7812" uniqueCount="3221">
  <si>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</si>
  <si>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</si>
  <si>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</si>
  <si>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</si>
  <si>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</si>
  <si>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</si>
  <si>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</si>
  <si>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</si>
  <si>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</si>
  <si>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</si>
  <si>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</si>
  <si>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</si>
  <si>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</si>
  <si>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</si>
  <si>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</si>
  <si>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</si>
  <si>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</si>
  <si>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</si>
  <si>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</si>
  <si>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</si>
  <si>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</si>
  <si>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</si>
  <si>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</si>
  <si>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</si>
  <si>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</si>
  <si>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</si>
  <si>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</si>
  <si>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</si>
  <si>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</si>
  <si>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</si>
  <si>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</si>
  <si>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</si>
  <si>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</si>
  <si>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</si>
  <si>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</si>
  <si>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</si>
  <si>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</si>
  <si>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</si>
  <si>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</si>
  <si>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</si>
  <si>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</si>
  <si>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</si>
  <si>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</si>
  <si>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</si>
  <si>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</si>
  <si>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</si>
  <si>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</si>
  <si>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</si>
  <si>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</si>
  <si>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</si>
  <si>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</si>
  <si>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</si>
  <si>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</si>
  <si>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</si>
  <si>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</si>
  <si>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</si>
  <si>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</si>
  <si>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</si>
  <si>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</si>
  <si>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</si>
  <si>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</si>
  <si>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</si>
  <si>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</si>
  <si>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</si>
  <si>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</si>
  <si>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</si>
  <si>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</si>
  <si>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</si>
  <si>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</si>
  <si>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</si>
  <si>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</si>
  <si>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</si>
  <si>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</si>
  <si>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</si>
  <si>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</si>
  <si>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</si>
  <si>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</si>
  <si>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</si>
  <si>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</si>
  <si>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</si>
  <si>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</si>
  <si>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</si>
  <si>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</si>
  <si>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</si>
  <si>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</si>
  <si>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</si>
  <si>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</si>
  <si>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</si>
  <si>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</si>
  <si>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</si>
  <si>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</si>
  <si>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</si>
  <si>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</si>
  <si>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</si>
  <si>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</si>
  <si>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</si>
  <si>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</si>
  <si>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</si>
  <si>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</si>
  <si>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</si>
  <si>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</si>
  <si>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</si>
  <si>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</si>
  <si>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</si>
  <si>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</si>
  <si>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</si>
  <si>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</si>
  <si>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</si>
  <si>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</si>
  <si>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</si>
  <si>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</si>
  <si>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</si>
  <si>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</si>
  <si>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</si>
  <si>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</si>
  <si>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</si>
  <si>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</si>
  <si>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</si>
  <si>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</si>
  <si>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</si>
  <si>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</si>
  <si>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</si>
  <si>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</si>
  <si>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</si>
  <si>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</si>
  <si>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</si>
  <si>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</si>
  <si>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</si>
  <si>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</si>
  <si>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</si>
  <si>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</si>
  <si>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</si>
  <si>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</si>
  <si>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</si>
  <si>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</si>
  <si>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</si>
  <si>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</si>
  <si>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</si>
  <si>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</si>
  <si>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</si>
  <si>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</si>
  <si>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</si>
  <si>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</si>
  <si>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</si>
  <si>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</si>
  <si>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</si>
  <si>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</si>
  <si>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</si>
  <si>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</si>
  <si>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</si>
  <si>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</si>
  <si>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</si>
  <si>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</si>
  <si>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</si>
  <si>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</si>
  <si>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</si>
  <si>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</si>
  <si>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</si>
  <si>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</si>
  <si>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</si>
  <si>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</si>
  <si>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</si>
  <si>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</si>
  <si>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</si>
  <si>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</si>
  <si>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</si>
  <si>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</si>
  <si>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</si>
  <si>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</si>
  <si>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</si>
  <si>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</si>
  <si>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</si>
  <si>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</si>
  <si>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</si>
  <si>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</si>
  <si>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</si>
  <si>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</si>
  <si>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</si>
  <si>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</si>
  <si>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</si>
  <si>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</si>
  <si>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</si>
  <si>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</si>
  <si>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</si>
  <si>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</si>
  <si>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</si>
  <si>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</si>
  <si>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</si>
  <si>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</si>
  <si>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</si>
  <si>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</si>
  <si>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</si>
  <si>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</si>
  <si>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</si>
  <si>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</si>
  <si>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</si>
  <si>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</si>
  <si>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</si>
  <si>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</si>
  <si>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</si>
  <si>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</si>
  <si>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</si>
  <si>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</si>
  <si>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</si>
  <si>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</si>
  <si>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</si>
  <si>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</si>
  <si>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</si>
  <si>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</si>
  <si>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</si>
  <si>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</si>
  <si>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</si>
  <si>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</si>
  <si>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</si>
  <si>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</si>
  <si>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</si>
  <si>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</si>
  <si>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</si>
  <si>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</si>
  <si>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</si>
  <si>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</si>
  <si>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</si>
  <si>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</si>
  <si>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</si>
  <si>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</si>
  <si>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</si>
  <si>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</si>
  <si>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</si>
  <si>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</si>
  <si>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</si>
  <si>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</si>
  <si>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</si>
  <si>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</si>
  <si>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</si>
  <si>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</si>
  <si>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</si>
  <si>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</si>
  <si>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</si>
  <si>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</si>
  <si>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</si>
  <si>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</si>
  <si>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</si>
  <si>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</si>
  <si>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</si>
  <si>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</si>
  <si>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</si>
  <si>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</si>
  <si>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</si>
  <si>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</si>
  <si>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</si>
  <si>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</si>
  <si>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</si>
  <si>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</si>
  <si>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</si>
  <si>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</si>
  <si>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</si>
  <si>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</si>
  <si>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</si>
  <si>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</si>
  <si>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</si>
  <si>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</si>
  <si>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</si>
  <si>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</si>
  <si>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</si>
  <si>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</si>
  <si>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</si>
  <si>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</si>
  <si>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</si>
  <si>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</si>
  <si>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</si>
  <si>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</si>
  <si>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</si>
  <si>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</si>
  <si>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</si>
  <si>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</si>
  <si>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</si>
  <si>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</si>
  <si>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</si>
  <si>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</si>
  <si>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</si>
  <si>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</si>
  <si>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</si>
  <si>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</si>
  <si>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</si>
  <si>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</si>
  <si>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</si>
  <si>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</si>
  <si>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</si>
  <si>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</si>
  <si>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</si>
  <si>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</si>
  <si>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</si>
  <si>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</si>
  <si>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</si>
  <si>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</si>
  <si>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</si>
  <si>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</si>
  <si>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</si>
  <si>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</si>
  <si>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</si>
  <si>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</si>
  <si>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</si>
  <si>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</si>
  <si>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</si>
  <si>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</si>
  <si>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</si>
  <si>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</si>
  <si>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</si>
  <si>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</si>
  <si>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</si>
  <si>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</si>
  <si>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</si>
  <si>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</si>
  <si>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</si>
  <si>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</si>
  <si>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</si>
  <si>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</si>
  <si>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</si>
  <si>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</si>
  <si>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</si>
  <si>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</si>
  <si>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</si>
  <si>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</si>
  <si>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</si>
  <si>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</si>
  <si>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</si>
  <si>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</si>
  <si>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</si>
  <si>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</si>
  <si>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</si>
  <si>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</si>
  <si>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</si>
  <si>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</si>
  <si>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</si>
  <si>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</si>
  <si>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</si>
  <si>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</si>
  <si>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</si>
  <si>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</si>
  <si>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</si>
  <si>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</si>
  <si>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</si>
  <si>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</si>
  <si>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</si>
  <si>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</si>
  <si>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</si>
  <si>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</si>
  <si>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</si>
  <si>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</si>
  <si>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</si>
  <si>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</si>
  <si>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</si>
  <si>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</si>
  <si>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</si>
  <si>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</si>
  <si>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</si>
  <si>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</si>
  <si>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</si>
  <si>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</si>
  <si>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</si>
  <si>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</si>
  <si>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</si>
  <si>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</si>
  <si>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</si>
  <si>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</si>
  <si>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</si>
  <si>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</si>
  <si>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</si>
  <si>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</si>
  <si>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</si>
  <si>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</si>
  <si>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</si>
  <si>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</si>
  <si>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</si>
  <si>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</si>
  <si>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</si>
  <si>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</si>
  <si>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</si>
  <si>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</si>
  <si>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</si>
  <si>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</si>
  <si>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</si>
  <si>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</si>
  <si>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</si>
  <si>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</si>
  <si>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</si>
  <si>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</si>
  <si>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</si>
  <si>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</si>
  <si>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</si>
  <si>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</si>
  <si>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</si>
  <si>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</si>
  <si>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</si>
  <si>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</si>
  <si>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</si>
  <si>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</si>
  <si>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</si>
  <si>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</si>
  <si>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</si>
  <si>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</si>
  <si>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</si>
  <si>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</si>
  <si>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</si>
  <si>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</si>
  <si>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</si>
  <si>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</si>
  <si>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</si>
  <si>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</si>
  <si>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</si>
  <si>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</si>
  <si>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</si>
  <si>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</si>
  <si>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</si>
  <si>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</si>
  <si>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</si>
  <si>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</si>
  <si>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</si>
  <si>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</si>
  <si>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</si>
  <si>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</si>
  <si>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</si>
  <si>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</si>
  <si>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</si>
  <si>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</si>
  <si>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</si>
  <si>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</si>
  <si>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</si>
  <si>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</si>
  <si>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</si>
  <si>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</si>
  <si>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</si>
  <si>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</si>
  <si>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</si>
  <si>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</si>
  <si>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</si>
  <si>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</si>
  <si>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</si>
  <si>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</si>
  <si>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</si>
  <si>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</si>
  <si>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</si>
  <si>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</si>
  <si>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</si>
  <si>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</si>
  <si>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</si>
  <si>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</si>
  <si>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</si>
  <si>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</si>
  <si>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</si>
  <si>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</si>
  <si>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</si>
  <si>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</si>
  <si>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</si>
  <si>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</si>
  <si>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</si>
  <si>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</si>
  <si>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</si>
  <si>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</si>
  <si>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</si>
  <si>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</si>
  <si>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</si>
  <si>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</si>
  <si>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</si>
  <si>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</si>
  <si>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</si>
  <si>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</si>
  <si>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</si>
  <si>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</si>
  <si>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</si>
  <si>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</si>
  <si>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</si>
  <si>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</si>
  <si>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</si>
  <si>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</si>
  <si>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</si>
  <si>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</si>
  <si>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</si>
  <si>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</si>
  <si>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</si>
  <si>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</si>
  <si>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</si>
  <si>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</si>
  <si>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</si>
  <si>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</si>
  <si>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</si>
  <si>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</si>
  <si>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</si>
  <si>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</si>
  <si>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</si>
  <si>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</si>
  <si>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</si>
  <si>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</si>
  <si>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</si>
  <si>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</si>
  <si>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</si>
  <si>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</si>
  <si>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</si>
  <si>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</si>
  <si>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</si>
  <si>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</si>
  <si>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</si>
  <si>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</si>
  <si>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</si>
  <si>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</si>
  <si>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</si>
  <si>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</si>
  <si>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</si>
  <si>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</si>
  <si>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</si>
  <si>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</si>
  <si>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</si>
  <si>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</si>
  <si>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</si>
  <si>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</si>
  <si>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</si>
  <si>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</si>
  <si>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</si>
  <si>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</si>
  <si>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</si>
  <si>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</si>
  <si>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</si>
  <si>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</si>
  <si>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</si>
  <si>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</si>
  <si>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</si>
  <si>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</si>
  <si>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</si>
  <si>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</si>
  <si>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</si>
  <si>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</si>
  <si>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</si>
  <si>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</si>
  <si>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</si>
  <si>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</si>
  <si>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</si>
  <si>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</si>
  <si>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</si>
  <si>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</si>
  <si>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</si>
  <si>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</si>
  <si>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</si>
  <si>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</si>
  <si>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</si>
  <si>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</si>
  <si>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</si>
  <si>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</si>
  <si>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</si>
  <si>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</si>
  <si>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</si>
  <si>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</si>
  <si>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</si>
  <si>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</si>
  <si>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</si>
  <si>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</si>
  <si>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</si>
  <si>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</si>
  <si>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</si>
  <si>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</si>
  <si>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</si>
  <si>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</si>
  <si>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</si>
  <si>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</si>
  <si>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</si>
  <si>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</si>
  <si>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</si>
  <si>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</si>
  <si>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</si>
  <si>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</si>
  <si>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</si>
  <si>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</si>
  <si>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</si>
  <si>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</si>
  <si>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</si>
  <si>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</si>
  <si>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</si>
  <si>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</si>
  <si>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</si>
  <si>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</si>
  <si>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</si>
  <si>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</si>
  <si>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</si>
  <si>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</si>
  <si>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</si>
  <si>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</si>
  <si>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</si>
  <si>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</si>
  <si>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</si>
  <si>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</si>
  <si>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</si>
  <si>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</si>
  <si>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</si>
  <si>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</si>
  <si>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</si>
  <si>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</si>
  <si>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</si>
  <si>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</si>
  <si>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</si>
  <si>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</si>
  <si>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</si>
  <si>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</si>
  <si>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</si>
  <si>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</si>
  <si>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</si>
  <si>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</si>
  <si>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</si>
  <si>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</si>
  <si>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</si>
  <si>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</si>
  <si>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</si>
  <si>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</si>
  <si>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</si>
  <si>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</si>
  <si>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</si>
  <si>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</si>
  <si>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</si>
  <si>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</si>
  <si>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</si>
  <si>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</si>
  <si>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</si>
  <si>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</si>
  <si>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</si>
  <si>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</si>
  <si>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</si>
  <si>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</si>
  <si>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</si>
  <si>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</si>
  <si>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</si>
  <si>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</si>
  <si>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</si>
  <si>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</si>
  <si>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</si>
  <si>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</si>
  <si>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</si>
  <si>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</si>
  <si>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</si>
  <si>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</si>
  <si>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</si>
  <si>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</si>
  <si>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</si>
  <si>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</si>
  <si>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</si>
  <si>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</si>
  <si>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</si>
  <si>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</si>
  <si>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</si>
  <si>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</si>
  <si>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</si>
  <si>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</si>
  <si>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</si>
  <si>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</si>
  <si>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</si>
  <si>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</si>
  <si>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</si>
  <si>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</si>
  <si>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</si>
  <si>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</si>
  <si>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</si>
  <si>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</si>
  <si>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</si>
  <si>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</si>
  <si>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</si>
  <si>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</si>
  <si>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</si>
  <si>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</si>
  <si>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</si>
  <si>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</si>
  <si>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</si>
  <si>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</si>
  <si>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</si>
  <si>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</si>
  <si>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</si>
  <si>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</si>
  <si>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</si>
  <si>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</si>
  <si>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</si>
  <si>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</si>
  <si>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</si>
  <si>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</si>
  <si>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</si>
  <si>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</si>
  <si>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</si>
  <si>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</si>
  <si>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</si>
  <si>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</si>
  <si>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</si>
  <si>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</si>
  <si>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</si>
  <si>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</si>
  <si>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</si>
  <si>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</si>
  <si>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</si>
  <si>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</si>
  <si>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</si>
  <si>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</si>
  <si>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</si>
  <si>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</si>
  <si>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</si>
  <si>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</si>
  <si>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</si>
  <si>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</si>
  <si>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</si>
  <si>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</si>
  <si>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</si>
  <si>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</si>
  <si>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</si>
  <si>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</si>
  <si>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</si>
  <si>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</si>
  <si>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</si>
  <si>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</si>
  <si>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</si>
  <si>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</si>
  <si>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</si>
  <si>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</si>
  <si>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</si>
  <si>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</si>
  <si>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</si>
  <si>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</si>
  <si>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</si>
  <si>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</si>
  <si>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</si>
  <si>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</si>
  <si>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</si>
  <si>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</si>
  <si>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</si>
  <si>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</si>
  <si>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</si>
  <si>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</si>
  <si>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</si>
  <si>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</si>
  <si>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</si>
  <si>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</si>
  <si>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</si>
  <si>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</si>
  <si>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</si>
  <si>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</si>
  <si>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</si>
  <si>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</si>
  <si>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</si>
  <si>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</si>
  <si>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</si>
  <si>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</si>
  <si>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</si>
  <si>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</si>
  <si>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</si>
  <si>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</si>
  <si>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</si>
  <si>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</si>
  <si>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</si>
  <si>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</si>
  <si>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</si>
  <si>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</si>
  <si>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</si>
  <si>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</si>
  <si>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</si>
  <si>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</si>
  <si>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</si>
  <si>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</si>
  <si>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</si>
  <si>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</si>
  <si>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</si>
  <si>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</si>
  <si>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</si>
  <si>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</si>
  <si>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</si>
  <si>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</si>
  <si>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</si>
  <si>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</si>
  <si>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</si>
  <si>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</si>
  <si>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</si>
  <si>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</si>
  <si>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</si>
  <si>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</si>
  <si>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</si>
  <si>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</si>
  <si>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</si>
  <si>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</si>
  <si>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</si>
  <si>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</si>
  <si>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</si>
  <si>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</si>
  <si>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</si>
  <si>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</si>
  <si>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</si>
  <si>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</si>
  <si>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</si>
  <si>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</si>
  <si>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</si>
  <si>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</si>
  <si>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</si>
  <si>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</si>
  <si>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</si>
  <si>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</si>
  <si>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</si>
  <si>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</si>
  <si>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</si>
  <si>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</si>
  <si>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</si>
  <si>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</si>
  <si>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</si>
  <si>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</si>
  <si>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</si>
  <si>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</si>
  <si>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</si>
  <si>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</si>
  <si>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</si>
  <si>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</si>
  <si>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</si>
  <si>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</si>
  <si>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</si>
  <si>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</si>
  <si>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</si>
  <si>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</si>
  <si>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</si>
  <si>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</si>
  <si>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</si>
  <si>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</si>
  <si>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</si>
  <si>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</si>
  <si>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</si>
  <si>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</si>
  <si>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</si>
  <si>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</si>
  <si>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</si>
  <si>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</si>
  <si>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</si>
  <si>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</si>
  <si>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</si>
  <si>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</si>
  <si>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</si>
  <si>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</si>
  <si>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</si>
  <si>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</si>
  <si>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</si>
  <si>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</si>
  <si>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</si>
  <si>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</si>
  <si>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</si>
  <si>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</si>
  <si>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</si>
  <si>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</si>
  <si>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</si>
  <si>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</si>
  <si>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</si>
  <si>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</si>
  <si>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</si>
  <si>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</si>
  <si>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</si>
  <si>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</si>
  <si>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</si>
  <si>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</si>
  <si>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</si>
  <si>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</si>
  <si>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</si>
  <si>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</si>
  <si>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</si>
  <si>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</si>
  <si>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</si>
  <si>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</si>
  <si>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</si>
  <si>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</si>
  <si>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</si>
  <si>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</si>
  <si>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</si>
  <si>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</si>
  <si>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</si>
  <si>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</si>
  <si>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</si>
  <si>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</si>
  <si>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</si>
  <si>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</si>
  <si>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</si>
  <si>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</si>
  <si>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</si>
  <si>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</si>
  <si>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</si>
  <si>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</si>
  <si>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</si>
  <si>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</si>
  <si>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</si>
  <si>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</si>
  <si>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</si>
  <si>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</si>
  <si>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</si>
  <si>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</si>
  <si>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</si>
  <si>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</si>
  <si>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</si>
  <si>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</si>
  <si>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</si>
  <si>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</si>
  <si>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</si>
  <si>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</si>
  <si>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</si>
  <si>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</si>
  <si>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</si>
  <si>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</si>
  <si>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</si>
  <si>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</si>
  <si>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</si>
  <si>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</si>
  <si>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</si>
  <si>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</si>
  <si>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</si>
  <si>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</si>
  <si>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</si>
  <si>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</si>
  <si>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</si>
  <si>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</si>
  <si>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</si>
  <si>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</si>
  <si>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</si>
  <si>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</si>
  <si>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</si>
  <si>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</si>
  <si>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</si>
  <si>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</si>
  <si>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</si>
  <si>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</si>
  <si>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</si>
  <si>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</si>
  <si>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</si>
  <si>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</si>
  <si>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</si>
  <si>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</si>
  <si>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</si>
  <si>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</si>
  <si>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</si>
  <si>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</si>
  <si>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</si>
  <si>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</si>
  <si>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</si>
  <si>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</si>
  <si>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</si>
  <si>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</si>
  <si>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</si>
  <si>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</si>
  <si>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</si>
  <si>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</si>
  <si>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</si>
  <si>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</si>
  <si>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</si>
  <si>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</si>
  <si>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</si>
  <si>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</si>
  <si>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</si>
  <si>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</si>
  <si>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</si>
  <si>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</si>
  <si>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</si>
  <si>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</si>
  <si>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</si>
  <si>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</si>
  <si>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</si>
  <si>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</si>
  <si>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</si>
  <si>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</si>
  <si>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</si>
  <si>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</si>
  <si>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</si>
  <si>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</si>
  <si>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</si>
  <si>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</si>
  <si>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</si>
  <si>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</si>
  <si>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</si>
  <si>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</si>
  <si>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</si>
  <si>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</si>
  <si>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</si>
  <si>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</si>
  <si>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</si>
  <si>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</si>
  <si>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</si>
  <si>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</si>
  <si>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</si>
  <si>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</si>
  <si>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</si>
  <si>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</si>
  <si>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</si>
  <si>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</si>
  <si>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</si>
  <si>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</si>
  <si>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</si>
  <si>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</si>
  <si>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</si>
  <si>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</si>
  <si>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</si>
  <si>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</si>
  <si>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</si>
  <si>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</si>
  <si>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</si>
  <si>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</si>
  <si>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</si>
  <si>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</si>
  <si>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</si>
  <si>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</si>
  <si>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</si>
  <si>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</si>
  <si>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</si>
  <si>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</si>
  <si>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</si>
  <si>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</si>
  <si>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</si>
  <si>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</si>
  <si>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</si>
  <si>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</si>
  <si>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</si>
  <si>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</si>
  <si>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</si>
  <si>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</si>
  <si>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</si>
  <si>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</si>
  <si>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</si>
  <si>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</si>
  <si>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</si>
  <si>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</si>
  <si>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</si>
  <si>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</si>
  <si>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</si>
  <si>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</si>
  <si>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</si>
  <si>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</si>
  <si>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</si>
  <si>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</si>
  <si>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</si>
  <si>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</si>
  <si>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</si>
  <si>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</si>
  <si>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</si>
  <si>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</si>
  <si>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</si>
  <si>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</si>
  <si>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</si>
  <si>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</si>
  <si>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</si>
  <si>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</si>
  <si>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</si>
  <si>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</si>
  <si>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</si>
  <si>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</si>
  <si>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</si>
  <si>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</si>
  <si>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</si>
  <si>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</si>
  <si>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</si>
  <si>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</si>
  <si>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</si>
  <si>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</si>
  <si>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</si>
  <si>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</si>
  <si>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</si>
  <si>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</si>
  <si>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</si>
  <si>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</si>
  <si>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</si>
  <si>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</si>
  <si>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</si>
  <si>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</si>
  <si>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</si>
  <si>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</si>
  <si>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</si>
  <si>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</si>
  <si>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</si>
  <si>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</si>
  <si>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</si>
  <si>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</si>
  <si>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</si>
  <si>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</si>
  <si>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</si>
  <si>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</si>
  <si>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</si>
  <si>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</si>
  <si>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</si>
  <si>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</si>
  <si>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</si>
  <si>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</si>
  <si>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</si>
  <si>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</si>
  <si>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</si>
  <si>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</si>
  <si>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</si>
  <si>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</si>
  <si>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</si>
  <si>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</si>
  <si>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</si>
  <si>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</si>
  <si>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</si>
  <si>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</si>
  <si>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</si>
  <si>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</si>
  <si>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</si>
  <si>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</si>
  <si>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</si>
  <si>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</si>
  <si>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</si>
  <si>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</si>
  <si>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</si>
  <si>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</si>
  <si>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</si>
  <si>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</si>
  <si>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</si>
  <si>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</si>
  <si>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</si>
  <si>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</si>
  <si>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</si>
  <si>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</si>
  <si>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</si>
  <si>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</si>
  <si>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</si>
  <si>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</si>
  <si>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</si>
  <si>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</si>
  <si>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</si>
  <si>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</si>
  <si>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</si>
  <si>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</si>
  <si>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</si>
  <si>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</si>
  <si>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</si>
  <si>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</si>
  <si>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</si>
  <si>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</si>
  <si>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</si>
  <si>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</si>
  <si>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</si>
  <si>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</si>
  <si>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</si>
  <si>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</si>
  <si>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</si>
  <si>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</si>
  <si>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</si>
  <si>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</si>
  <si>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</si>
  <si>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</si>
  <si>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</si>
  <si>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</si>
  <si>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</si>
  <si>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</si>
  <si>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</si>
  <si>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</si>
  <si>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</si>
  <si>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</si>
  <si>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</si>
  <si>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</si>
  <si>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</si>
  <si>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</si>
  <si>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</si>
  <si>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</si>
  <si>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</si>
  <si>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</si>
  <si>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</si>
  <si>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</si>
  <si>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</si>
  <si>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</si>
  <si>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</si>
  <si>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</si>
  <si>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</si>
  <si>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</si>
  <si>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</si>
  <si>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</si>
  <si>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</si>
  <si>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</si>
  <si>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</si>
  <si>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</si>
  <si>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</si>
  <si>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</si>
  <si>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</si>
  <si>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</si>
  <si>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</si>
  <si>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</si>
  <si>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</si>
  <si>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</si>
  <si>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</si>
  <si>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</si>
  <si>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</si>
  <si>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</si>
  <si>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</si>
  <si>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</si>
  <si>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</si>
  <si>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</si>
  <si>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</si>
  <si>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</si>
  <si>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</si>
  <si>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</si>
  <si>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</si>
  <si>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</si>
  <si>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</si>
  <si>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</si>
  <si>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</si>
  <si>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</si>
  <si>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</si>
  <si>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</si>
  <si>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</si>
  <si>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</si>
  <si>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</si>
  <si>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</si>
  <si>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</si>
  <si>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</si>
  <si>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</si>
  <si>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</si>
  <si>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</si>
  <si>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</si>
  <si>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</si>
  <si>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</si>
  <si>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</si>
  <si>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</si>
  <si>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</si>
  <si>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</si>
  <si>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</si>
  <si>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</si>
  <si>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</si>
  <si>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</si>
  <si>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</si>
  <si>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</si>
  <si>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</si>
  <si>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</si>
  <si>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</si>
  <si>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</si>
  <si>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</si>
  <si>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</si>
  <si>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</si>
  <si>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</si>
  <si>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</si>
  <si>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</si>
  <si>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</si>
  <si>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</si>
  <si>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</si>
  <si>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</si>
  <si>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</si>
  <si>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</si>
  <si>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</si>
  <si>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</si>
  <si>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</si>
  <si>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</si>
  <si>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</si>
  <si>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</si>
  <si>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</si>
  <si>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</si>
  <si>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</si>
  <si>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</si>
  <si>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</si>
  <si>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</si>
  <si>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</si>
  <si>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</si>
  <si>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</si>
  <si>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</si>
  <si>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</si>
  <si>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</si>
  <si>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</si>
  <si>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</si>
  <si>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</si>
  <si>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</si>
  <si>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</si>
  <si>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</si>
  <si>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</si>
  <si>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</si>
  <si>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</si>
  <si>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</si>
  <si>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</si>
  <si>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</si>
  <si>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</si>
  <si>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</si>
  <si>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</si>
  <si>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</si>
  <si>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</si>
  <si>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</si>
  <si>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</si>
  <si>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</si>
  <si>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</si>
  <si>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</si>
  <si>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</si>
  <si>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</si>
  <si>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</si>
  <si>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</si>
  <si>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</si>
  <si>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</si>
  <si>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</si>
  <si>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</si>
  <si>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</si>
  <si>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</si>
  <si>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</si>
  <si>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</si>
  <si>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</si>
  <si>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</si>
  <si>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</si>
  <si>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</si>
  <si>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</si>
  <si>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</si>
  <si>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</si>
  <si>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</si>
  <si>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</si>
  <si>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</si>
  <si>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</si>
  <si>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</si>
  <si>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</si>
  <si>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</si>
  <si>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</si>
  <si>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</si>
  <si>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</si>
  <si>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</si>
  <si>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</si>
  <si>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</si>
  <si>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</si>
  <si>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</si>
  <si>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</si>
  <si>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</si>
  <si>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</si>
  <si>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</si>
  <si>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</si>
  <si>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</si>
  <si>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</si>
  <si>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</si>
  <si>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</si>
  <si>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</si>
  <si>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</si>
  <si>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</si>
  <si>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</si>
  <si>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</si>
  <si>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</si>
  <si>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</si>
  <si>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</si>
  <si>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</si>
  <si>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</si>
  <si>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</si>
  <si>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</si>
  <si>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</si>
  <si>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</si>
  <si>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</si>
  <si>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</si>
  <si>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</si>
  <si>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</si>
  <si>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</si>
  <si>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</si>
  <si>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</si>
  <si>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</si>
  <si>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</si>
  <si>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</si>
  <si>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</si>
  <si>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</si>
  <si>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</si>
  <si>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</si>
  <si>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</si>
  <si>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</si>
  <si>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</si>
  <si>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</si>
  <si>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</si>
  <si>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</si>
  <si>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</si>
  <si>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</si>
  <si>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</si>
  <si>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</si>
  <si>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</si>
  <si>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</si>
  <si>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</si>
  <si>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</si>
  <si>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</si>
  <si>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</si>
  <si>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</si>
  <si>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</si>
  <si>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</si>
  <si>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</si>
  <si>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</si>
  <si>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</si>
  <si>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</si>
  <si>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</si>
  <si>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</si>
  <si>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</si>
  <si>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</si>
  <si>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</si>
  <si>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</si>
  <si>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</si>
  <si>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</si>
  <si>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</si>
  <si>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</si>
  <si>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</si>
  <si>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</si>
  <si>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</si>
  <si>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</si>
  <si>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</si>
  <si>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</si>
  <si>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</si>
  <si>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</si>
  <si>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</si>
  <si>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</si>
  <si>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</si>
  <si>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</si>
  <si>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</si>
  <si>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</si>
  <si>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</si>
  <si>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</si>
  <si>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</si>
  <si>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</si>
  <si>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</si>
  <si>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</si>
  <si>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</si>
  <si>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</si>
  <si>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</si>
  <si>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</si>
  <si>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</si>
  <si>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</si>
  <si>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</si>
  <si>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</si>
  <si>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</si>
  <si>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</si>
  <si>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</si>
  <si>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</si>
  <si>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</si>
  <si>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</si>
  <si>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</si>
  <si>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</si>
  <si>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</si>
  <si>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</si>
  <si>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</si>
  <si>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</si>
  <si>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</si>
  <si>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</si>
  <si>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</si>
  <si>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</si>
  <si>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</si>
  <si>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</si>
  <si>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</si>
  <si>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</si>
  <si>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</si>
  <si>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</si>
  <si>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</si>
  <si>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</si>
  <si>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</si>
  <si>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</si>
  <si>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</si>
  <si>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</si>
  <si>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</si>
  <si>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</si>
  <si>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</si>
  <si>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</si>
  <si>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</si>
  <si>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</si>
  <si>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</si>
  <si>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</si>
  <si>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</si>
  <si>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</si>
  <si>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</si>
  <si>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</si>
  <si>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</si>
  <si>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</si>
  <si>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</si>
  <si>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</si>
  <si>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</si>
  <si>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</si>
  <si>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</si>
  <si>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</si>
  <si>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</si>
  <si>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</si>
  <si>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</si>
  <si>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</si>
  <si>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</si>
  <si>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</si>
  <si>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</si>
  <si>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</si>
  <si>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</si>
  <si>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</si>
  <si>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</si>
  <si>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</si>
  <si>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</si>
  <si>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</si>
  <si>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</si>
  <si>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</si>
  <si>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</si>
  <si>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</si>
  <si>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</si>
  <si>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</si>
  <si>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</si>
  <si>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</si>
  <si>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</si>
  <si>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</si>
  <si>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</si>
  <si>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</si>
  <si>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</si>
  <si>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</si>
  <si>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</si>
  <si>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</si>
  <si>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</si>
  <si>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</si>
  <si>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</si>
  <si>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</si>
  <si>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</si>
  <si>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</si>
  <si>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</si>
  <si>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</si>
  <si>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</si>
  <si>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</si>
  <si>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</si>
  <si>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</si>
  <si>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</si>
  <si>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</si>
  <si>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</si>
  <si>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</si>
  <si>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</si>
  <si>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</si>
  <si>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</si>
  <si>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</si>
  <si>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</si>
  <si>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</si>
  <si>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</si>
  <si>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</si>
  <si>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</si>
  <si>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</si>
  <si>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</si>
  <si>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</si>
  <si>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</si>
  <si>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</si>
  <si>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</si>
  <si>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</si>
  <si>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</si>
  <si>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</si>
  <si>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</si>
  <si>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</si>
  <si>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</si>
  <si>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</si>
  <si>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</si>
  <si>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</si>
  <si>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</si>
  <si>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</si>
  <si>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</si>
  <si>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</si>
  <si>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</si>
  <si>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</si>
  <si>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</si>
  <si>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</si>
  <si>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</si>
  <si>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</si>
  <si>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</si>
  <si>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</si>
  <si>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</si>
  <si>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</si>
  <si>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</si>
  <si>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</si>
  <si>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</si>
  <si>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</si>
  <si>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</si>
  <si>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</si>
  <si>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</si>
  <si>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</si>
  <si>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</si>
  <si>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</si>
  <si>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</si>
  <si>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</si>
  <si>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</si>
  <si>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</si>
  <si>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</si>
  <si>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</si>
  <si>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</si>
  <si>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</si>
  <si>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</si>
  <si>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</si>
  <si>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</si>
  <si>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</si>
  <si>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</si>
  <si>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</si>
  <si>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</si>
  <si>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</si>
  <si>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</si>
  <si>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</si>
  <si>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</si>
  <si>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</si>
  <si>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</si>
  <si>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</si>
  <si>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</si>
  <si>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</si>
  <si>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</si>
  <si>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</si>
  <si>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</si>
  <si>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</si>
  <si>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</si>
  <si>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</si>
  <si>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</si>
  <si>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</si>
  <si>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</si>
  <si>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</si>
  <si>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</si>
  <si>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</si>
  <si>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</si>
  <si>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</si>
  <si>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</si>
  <si>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</si>
  <si>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</si>
  <si>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</si>
  <si>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</si>
  <si>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</si>
  <si>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</si>
  <si>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</si>
  <si>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</si>
  <si>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</si>
  <si>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</si>
  <si>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</si>
  <si>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</si>
  <si>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</si>
  <si>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</si>
  <si>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</si>
  <si>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</si>
  <si>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</si>
  <si>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</si>
  <si>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</si>
  <si>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</si>
  <si>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</si>
  <si>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</si>
  <si>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</si>
  <si>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</si>
  <si>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</si>
  <si>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</si>
  <si>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</si>
  <si>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</si>
  <si>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</si>
  <si>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</si>
  <si>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</si>
  <si>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</si>
  <si>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</si>
  <si>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</si>
  <si>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</si>
  <si>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</si>
  <si>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</si>
  <si>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</si>
  <si>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</si>
  <si>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</si>
  <si>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</si>
  <si>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</si>
  <si>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</si>
  <si>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</si>
  <si>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</si>
  <si>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</si>
  <si>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</si>
  <si>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</si>
  <si>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</si>
  <si>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</si>
  <si>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</si>
  <si>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</si>
  <si>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</si>
  <si>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</si>
  <si>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</si>
  <si>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</si>
  <si>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</si>
  <si>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</si>
  <si>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</si>
  <si>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</si>
  <si>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</si>
  <si>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</si>
  <si>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</si>
  <si>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</si>
  <si>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</si>
  <si>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</si>
  <si>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</si>
  <si>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</si>
  <si>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</si>
  <si>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</si>
  <si>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</si>
  <si>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</si>
  <si>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</si>
  <si>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</si>
  <si>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</si>
  <si>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</si>
  <si>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</si>
  <si>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</si>
  <si>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</si>
  <si>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</si>
  <si>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</si>
  <si>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</si>
  <si>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</si>
  <si>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</si>
  <si>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</si>
  <si>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</si>
  <si>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</si>
  <si>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</si>
  <si>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</si>
  <si>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</si>
  <si>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</si>
  <si>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</si>
  <si>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</si>
  <si>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</si>
  <si>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</si>
  <si>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</si>
  <si>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</si>
  <si>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</si>
  <si>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</si>
  <si>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</si>
  <si>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</si>
  <si>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</si>
  <si>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</si>
  <si>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</si>
  <si>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</si>
  <si>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</si>
  <si>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</si>
  <si>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</si>
  <si>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</si>
  <si>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</si>
  <si>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</si>
  <si>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</si>
  <si>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</si>
  <si>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</si>
  <si>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</si>
  <si>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</si>
  <si>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</si>
  <si>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</si>
  <si>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</si>
  <si>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</si>
  <si>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</si>
  <si>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</si>
  <si>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</si>
  <si>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</si>
  <si>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</si>
  <si>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</si>
  <si>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</si>
  <si>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</si>
  <si>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</si>
  <si>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</si>
  <si>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</si>
  <si>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</si>
  <si>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</si>
  <si>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</si>
  <si>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</si>
  <si>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</si>
  <si>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</si>
  <si>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</si>
  <si>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</si>
  <si>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</si>
  <si>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</si>
  <si>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</si>
  <si>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</si>
  <si>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</si>
  <si>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</si>
  <si>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</si>
  <si>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</si>
  <si>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</si>
  <si>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</si>
  <si>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</si>
  <si>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</si>
  <si>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</si>
  <si>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</si>
  <si>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</si>
  <si>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</si>
  <si>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</si>
  <si>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</si>
  <si>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</si>
  <si>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</si>
  <si>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</si>
  <si>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</si>
  <si>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</si>
  <si>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</si>
  <si>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</si>
  <si>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</si>
  <si>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</si>
  <si>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</si>
  <si>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</si>
  <si>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</si>
  <si>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</si>
  <si>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</si>
  <si>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</si>
  <si>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</si>
  <si>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</si>
  <si>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</si>
  <si>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</si>
  <si>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</si>
  <si>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</si>
  <si>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</si>
  <si>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</si>
  <si>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</si>
  <si>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</si>
  <si>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</si>
  <si>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</si>
  <si>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</si>
  <si>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</si>
  <si>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</si>
  <si>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</si>
  <si>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</si>
  <si>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</si>
  <si>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</si>
  <si>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</si>
  <si>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</si>
  <si>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</si>
  <si>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</si>
  <si>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</si>
  <si>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</si>
  <si>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</si>
  <si>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</si>
  <si>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</si>
  <si>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</si>
  <si>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</si>
  <si>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</si>
  <si>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</si>
  <si>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</si>
  <si>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</si>
  <si>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</si>
  <si>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</si>
  <si>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</si>
  <si>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</si>
  <si>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</si>
  <si>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</si>
  <si>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</si>
  <si>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</si>
  <si>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</si>
  <si>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</si>
  <si>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</si>
  <si>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</si>
  <si>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</si>
  <si>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</si>
  <si>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</si>
  <si>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</si>
  <si>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</si>
  <si>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</si>
  <si>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</si>
  <si>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</si>
  <si>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</si>
  <si>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</si>
  <si>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</si>
  <si>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</si>
  <si>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</si>
  <si>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</si>
  <si>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</si>
  <si>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</si>
  <si>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</si>
  <si>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</si>
  <si>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</si>
  <si>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</si>
  <si>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</si>
  <si>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</si>
  <si>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</si>
  <si>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</si>
  <si>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</si>
  <si>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</si>
  <si>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</si>
  <si>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</si>
  <si>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</si>
  <si>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</si>
  <si>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</si>
  <si>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</si>
  <si>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</si>
  <si>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</si>
  <si>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</si>
  <si>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</si>
  <si>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</si>
  <si>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</si>
  <si>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</si>
  <si>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</si>
  <si>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</si>
  <si>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</si>
  <si>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</si>
  <si>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</si>
  <si>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</si>
  <si>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</si>
  <si>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</si>
  <si>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</si>
  <si>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</si>
  <si>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</si>
  <si>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</si>
  <si>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</si>
  <si>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</si>
  <si>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</si>
  <si>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</si>
  <si>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</si>
  <si>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</si>
  <si>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</si>
  <si>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</si>
  <si>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</si>
  <si>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</si>
  <si>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</si>
  <si>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</si>
  <si>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</si>
  <si>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</si>
  <si>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</si>
  <si>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</si>
  <si>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</si>
  <si>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</si>
  <si>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</si>
  <si>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</si>
  <si>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</si>
  <si>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</si>
  <si>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</si>
  <si>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</si>
  <si>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</si>
  <si>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</si>
  <si>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</si>
  <si>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</si>
  <si>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</si>
  <si>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</si>
  <si>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</si>
  <si>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</si>
  <si>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</si>
  <si>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</si>
  <si>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</si>
  <si>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</si>
  <si>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</si>
  <si>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</si>
  <si>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</si>
  <si>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</si>
  <si>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</si>
  <si>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</si>
  <si>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</si>
  <si>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</si>
  <si>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</si>
  <si>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</si>
  <si>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</si>
  <si>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</si>
  <si>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</si>
  <si>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</si>
  <si>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</si>
  <si>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</si>
  <si>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</si>
  <si>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</si>
  <si>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</si>
  <si>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</si>
  <si>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</si>
  <si>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</si>
  <si>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</si>
  <si>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</si>
  <si>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</si>
  <si>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</si>
  <si>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</si>
  <si>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</si>
  <si>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</si>
  <si>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</si>
  <si>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</si>
  <si>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</si>
  <si>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</si>
  <si>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</si>
  <si>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</si>
  <si>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</si>
  <si>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</si>
  <si>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</si>
  <si>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</si>
  <si>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</si>
  <si>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</si>
  <si>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</si>
  <si>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</si>
  <si>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</si>
  <si>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</si>
  <si>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</si>
  <si>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</si>
  <si>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</si>
  <si>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</si>
  <si>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</si>
  <si>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</si>
  <si>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</si>
  <si>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</si>
  <si>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</si>
  <si>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</si>
  <si>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</si>
  <si>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</si>
  <si>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</si>
  <si>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</si>
  <si>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</si>
  <si>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</si>
  <si>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</si>
  <si>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</si>
  <si>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</si>
  <si>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</si>
  <si>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</si>
  <si>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</si>
  <si>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</si>
  <si>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</si>
  <si>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</si>
  <si>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</si>
  <si>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</si>
  <si>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</si>
  <si>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</si>
  <si>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</si>
  <si>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</si>
  <si>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</si>
  <si>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</si>
  <si>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</si>
  <si>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</si>
  <si>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</si>
  <si>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</si>
  <si>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</si>
  <si>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</si>
  <si>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</si>
  <si>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</si>
  <si>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</si>
  <si>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</si>
  <si>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</si>
  <si>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</si>
  <si>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</si>
  <si>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</si>
  <si>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</si>
  <si>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</si>
  <si>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</si>
  <si>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</si>
  <si>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</si>
  <si>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</si>
  <si>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</si>
  <si>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</si>
  <si>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</si>
  <si>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</si>
  <si>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</si>
  <si>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</si>
  <si>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</si>
  <si>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</si>
  <si>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</si>
  <si>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</si>
  <si>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</si>
  <si>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</si>
  <si>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</si>
  <si>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</si>
  <si>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</si>
  <si>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</si>
  <si>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</si>
  <si>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</si>
  <si>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</si>
  <si>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</si>
  <si>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</si>
  <si>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</si>
  <si>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</si>
  <si>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</si>
  <si>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</si>
  <si>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</si>
  <si>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</si>
  <si>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</si>
  <si>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</si>
  <si>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</si>
  <si>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</si>
  <si>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</si>
  <si>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</si>
  <si>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</si>
  <si>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</si>
  <si>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</si>
  <si>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</si>
  <si>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</si>
  <si>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</si>
  <si>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</si>
  <si>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</si>
  <si>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</si>
  <si>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</si>
  <si>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</si>
  <si>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</si>
  <si>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</si>
  <si>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</si>
  <si>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</si>
  <si>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</si>
  <si>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</si>
  <si>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</si>
  <si>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</si>
  <si>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</si>
  <si>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</si>
  <si>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</si>
  <si>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</si>
  <si>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</si>
  <si>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</si>
  <si>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</si>
  <si>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</si>
  <si>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</si>
  <si>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</si>
  <si>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</si>
  <si>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</si>
  <si>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</si>
  <si>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</si>
  <si>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</si>
  <si>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</si>
  <si>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</si>
  <si>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</si>
  <si>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</si>
  <si>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</si>
  <si>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</si>
  <si>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</si>
  <si>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</si>
  <si>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</si>
  <si>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</si>
  <si>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</si>
  <si>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</si>
  <si>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</si>
  <si>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</si>
  <si>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</si>
  <si>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</si>
  <si>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</si>
  <si>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</si>
  <si>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</si>
  <si>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</si>
  <si>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</si>
  <si>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</si>
  <si>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</si>
  <si>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</si>
  <si>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</si>
  <si>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</si>
  <si>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</si>
  <si>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</si>
  <si>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</si>
  <si>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</si>
  <si>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</si>
  <si>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</si>
  <si>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</si>
  <si>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</si>
  <si>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</si>
  <si>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</si>
  <si>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</si>
  <si>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</si>
  <si>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</si>
  <si>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</si>
  <si>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</si>
  <si>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</si>
  <si>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</si>
  <si>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</si>
  <si>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</si>
  <si>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</si>
  <si>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</si>
  <si>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</si>
  <si>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</si>
  <si>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</si>
  <si>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</si>
  <si>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</si>
  <si>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</si>
  <si>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</si>
  <si>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</si>
  <si>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</si>
  <si>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</si>
  <si>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</si>
  <si>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</si>
  <si>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</si>
  <si>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</si>
  <si>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</si>
  <si>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</si>
  <si>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</si>
  <si>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</si>
  <si>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</si>
  <si>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</si>
  <si>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</si>
  <si>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</si>
  <si>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</si>
  <si>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</si>
  <si>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</si>
  <si>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</si>
  <si>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</si>
  <si>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</si>
  <si>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</si>
  <si>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</si>
  <si>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</si>
  <si>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</si>
  <si>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</si>
  <si>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</si>
  <si>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</si>
  <si>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</si>
  <si>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</si>
  <si>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</si>
  <si>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</si>
  <si>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</si>
  <si>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</si>
  <si>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</si>
  <si>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</si>
  <si>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</si>
  <si>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</si>
  <si>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</si>
  <si>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</si>
  <si>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</si>
  <si>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</si>
  <si>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</si>
  <si>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</si>
  <si>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</si>
  <si>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</si>
  <si>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</si>
  <si>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</si>
  <si>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</si>
  <si>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</si>
  <si>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</si>
  <si>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</si>
  <si>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</si>
  <si>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</si>
  <si>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</si>
  <si>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</si>
  <si>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</si>
  <si>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</si>
  <si>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</si>
  <si>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</si>
  <si>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</si>
  <si>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</si>
  <si>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</si>
  <si>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</si>
  <si>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</si>
  <si>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</si>
  <si>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</si>
  <si>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</si>
  <si>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</si>
  <si>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</si>
  <si>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</si>
  <si>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</si>
  <si>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</si>
  <si>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</si>
  <si>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</si>
  <si>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</si>
  <si>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</si>
  <si>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</si>
  <si>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</si>
  <si>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</si>
  <si>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</si>
  <si>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</si>
  <si>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</si>
  <si>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</si>
  <si>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</si>
  <si>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</si>
  <si>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</si>
  <si>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</si>
  <si>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</si>
  <si>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</si>
  <si>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</si>
  <si>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</si>
  <si>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</si>
  <si>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</si>
  <si>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</si>
  <si>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</si>
  <si>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</si>
  <si>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</si>
  <si>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</si>
  <si>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</si>
  <si>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</si>
  <si>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</si>
  <si>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</si>
  <si>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</si>
  <si>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</si>
  <si>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</si>
  <si>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</si>
  <si>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</si>
  <si>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</si>
  <si>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</si>
  <si>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</si>
  <si>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</si>
  <si>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</si>
  <si>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</si>
  <si>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</si>
  <si>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</si>
  <si>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</si>
  <si>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</si>
  <si>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</si>
  <si>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</si>
  <si>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</si>
  <si>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</si>
  <si>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</si>
  <si>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</si>
  <si>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</si>
  <si>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</si>
  <si>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</si>
  <si>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</si>
  <si>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</si>
  <si>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</si>
  <si>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</si>
  <si>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</si>
  <si>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</si>
  <si>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</si>
  <si>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</si>
  <si>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</si>
  <si>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</si>
  <si>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</si>
  <si>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</si>
  <si>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</si>
  <si>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</si>
  <si>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</si>
  <si>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</si>
  <si>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</si>
  <si>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</si>
  <si>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</si>
  <si>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</si>
  <si>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</si>
  <si>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</si>
  <si>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</si>
  <si>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</si>
  <si>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</si>
  <si>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</si>
  <si>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</si>
  <si>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</si>
  <si>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</si>
  <si>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</si>
  <si>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</si>
  <si>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</si>
  <si>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</si>
  <si>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</si>
  <si>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</si>
  <si>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</si>
  <si>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</si>
  <si>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</si>
  <si>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</si>
  <si>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</si>
  <si>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</si>
  <si>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</si>
  <si>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</si>
  <si>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</si>
  <si>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</si>
  <si>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</si>
  <si>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</si>
  <si>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</si>
  <si>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</si>
  <si>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</si>
  <si>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</si>
  <si>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</si>
  <si>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</si>
  <si>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</si>
  <si>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</si>
  <si>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</si>
  <si>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</si>
  <si>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</si>
  <si>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</si>
  <si>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</si>
  <si>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</si>
  <si>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</si>
  <si>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</si>
  <si>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</si>
  <si>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</si>
  <si>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</si>
  <si>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</si>
  <si>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</si>
  <si>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</si>
  <si>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</si>
  <si>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</si>
  <si>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</si>
  <si>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</si>
  <si>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</si>
  <si>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</si>
  <si>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</si>
  <si>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</si>
  <si>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</si>
  <si>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</si>
  <si>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</si>
  <si>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</si>
  <si>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</si>
  <si>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</si>
  <si>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</si>
  <si>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</si>
  <si>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</si>
  <si>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</si>
  <si>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</si>
  <si>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</si>
  <si>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</si>
  <si>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</si>
  <si>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</si>
  <si>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</si>
  <si>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</si>
  <si>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</si>
  <si>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</si>
  <si>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</si>
  <si>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</si>
  <si>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</si>
  <si>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</si>
  <si>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</si>
  <si>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</si>
  <si>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</si>
  <si>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</si>
  <si>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</si>
  <si>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</si>
  <si>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</si>
  <si>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</si>
  <si>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</si>
  <si>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</si>
  <si>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</si>
  <si>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</si>
  <si>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</si>
  <si>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</si>
  <si>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</si>
  <si>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</si>
  <si>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</si>
  <si>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</si>
  <si>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</si>
  <si>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</si>
  <si>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</si>
  <si>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</si>
  <si>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</si>
  <si>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</si>
  <si>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</si>
  <si>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</si>
  <si>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</si>
  <si>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</si>
  <si>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</si>
  <si>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</si>
  <si>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</si>
  <si>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</si>
  <si>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</si>
  <si>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</si>
  <si>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</si>
  <si>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</si>
  <si>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</si>
  <si>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</si>
  <si>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</si>
  <si>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</si>
  <si>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</si>
  <si>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</si>
  <si>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</si>
  <si>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</si>
  <si>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</si>
  <si>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</si>
  <si>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</si>
  <si>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</si>
  <si>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</si>
  <si>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</si>
  <si>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</si>
  <si>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</si>
  <si>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</si>
  <si>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</si>
  <si>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</si>
  <si>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</si>
  <si>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</si>
  <si>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</si>
  <si>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</si>
  <si>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</si>
  <si>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</si>
  <si>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</si>
  <si>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</si>
  <si>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</si>
  <si>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</si>
  <si>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</si>
  <si>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</si>
  <si>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</si>
  <si>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</si>
  <si>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</si>
  <si>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</si>
  <si>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</si>
  <si>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</si>
  <si>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</si>
  <si>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</si>
  <si>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</si>
  <si>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</si>
  <si>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</si>
  <si>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</si>
  <si>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</si>
  <si>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</si>
  <si>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</si>
  <si>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</si>
  <si>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</si>
  <si>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</si>
  <si>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</si>
  <si>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</si>
  <si>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</si>
  <si>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</si>
  <si>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</si>
  <si>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</si>
  <si>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</si>
  <si>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</si>
  <si>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</si>
  <si>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</si>
  <si>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</si>
  <si>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</si>
  <si>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</si>
  <si>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</si>
  <si>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</si>
  <si>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</si>
  <si>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</si>
  <si>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</si>
  <si>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</si>
  <si>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</si>
  <si>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</si>
  <si>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</si>
  <si>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</si>
  <si>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</si>
  <si>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</si>
  <si>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</si>
  <si>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</si>
  <si>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</si>
  <si>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</si>
  <si>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</si>
  <si>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</si>
  <si>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</si>
  <si>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</si>
  <si>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</si>
  <si>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</si>
  <si>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</si>
  <si>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</si>
  <si>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</si>
  <si>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</si>
  <si>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</si>
  <si>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</si>
  <si>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</si>
  <si>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</si>
  <si>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</si>
  <si>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</si>
  <si>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</si>
  <si>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</si>
  <si>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</si>
  <si>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</si>
  <si>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</si>
  <si>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</si>
  <si>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</si>
  <si>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</si>
  <si>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</si>
  <si>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</si>
  <si>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</si>
  <si>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</si>
  <si>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</si>
  <si>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</si>
  <si>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</si>
  <si>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</si>
  <si>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</si>
  <si>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</si>
  <si>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</si>
  <si>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</si>
  <si>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</si>
  <si>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</si>
  <si>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</si>
  <si>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</si>
  <si>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</si>
  <si>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</si>
  <si>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</si>
  <si>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</si>
  <si>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</si>
  <si>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</si>
  <si>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</si>
  <si>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</si>
  <si>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</si>
  <si>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</si>
  <si>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</si>
  <si>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</si>
  <si>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</si>
  <si>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</si>
  <si>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</si>
  <si>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</si>
  <si>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</si>
  <si>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</si>
  <si>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</si>
  <si>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</si>
  <si>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</si>
  <si>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</si>
  <si>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</si>
  <si>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</si>
  <si>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</si>
  <si>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</si>
  <si>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</si>
  <si>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</si>
  <si>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</si>
  <si>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</si>
  <si>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</si>
  <si>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</si>
  <si>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</si>
  <si>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</si>
  <si>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</si>
  <si>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</si>
  <si>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</si>
  <si>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</si>
  <si>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</si>
  <si>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</si>
  <si>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</si>
  <si>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</si>
  <si>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</si>
  <si>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</si>
  <si>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</si>
  <si>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</si>
  <si>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</si>
  <si>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</si>
  <si>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</si>
  <si>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</si>
  <si>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</si>
  <si>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</si>
  <si>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</si>
  <si>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</si>
  <si>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</si>
  <si>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</si>
  <si>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</si>
  <si>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</si>
  <si>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</si>
  <si>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</si>
  <si>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</si>
  <si>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</si>
  <si>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</si>
  <si>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</si>
  <si>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</si>
  <si>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</si>
  <si>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</si>
  <si>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</si>
  <si>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</si>
  <si>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</si>
  <si>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</si>
  <si>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</si>
  <si>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</si>
  <si>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</si>
  <si>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</si>
  <si>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</si>
  <si>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</si>
  <si>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</si>
  <si>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</si>
  <si>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</si>
  <si>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</si>
  <si>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</si>
  <si>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</si>
  <si>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</si>
  <si>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</si>
  <si>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</si>
  <si>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</si>
  <si>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</si>
  <si>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</si>
  <si>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</si>
  <si>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</si>
  <si>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</si>
  <si>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</si>
  <si>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</si>
  <si>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</si>
  <si>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</si>
  <si>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</si>
  <si>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</si>
  <si>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</si>
  <si>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</si>
  <si>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</si>
  <si>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</si>
  <si>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</si>
  <si>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</si>
  <si>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</si>
  <si>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</si>
  <si>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</si>
  <si>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</si>
  <si>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</si>
  <si>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</si>
  <si>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</si>
  <si>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</si>
  <si>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</si>
  <si>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</si>
  <si>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</si>
  <si>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</si>
  <si>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</si>
  <si>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</si>
  <si>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</si>
  <si>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</si>
  <si>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</si>
  <si>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</si>
  <si>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</si>
  <si>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</si>
  <si>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</si>
  <si>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</si>
  <si>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</si>
  <si>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</si>
  <si>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</si>
  <si>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</si>
  <si>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</si>
  <si>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</si>
  <si>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</si>
  <si>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</si>
  <si>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</si>
  <si>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</si>
  <si>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</si>
  <si>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</si>
  <si>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</si>
  <si>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</si>
  <si>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</si>
  <si>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</si>
  <si>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</si>
  <si>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</si>
  <si>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</si>
  <si>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</si>
  <si>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</si>
  <si>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</si>
  <si>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</si>
  <si>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</si>
  <si>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</si>
  <si>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</si>
  <si>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</si>
  <si>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</si>
  <si>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</si>
  <si>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</si>
  <si>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</si>
  <si>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</si>
  <si>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</si>
  <si>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</si>
  <si>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</si>
  <si>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</si>
  <si>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</si>
  <si>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</si>
  <si>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</si>
  <si>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</si>
  <si>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</si>
  <si>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</si>
  <si>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</si>
  <si>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</si>
  <si>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</si>
  <si>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</si>
  <si>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</si>
  <si>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</si>
  <si>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</si>
  <si>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</si>
  <si>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</si>
  <si>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</si>
  <si>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</si>
  <si>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</si>
  <si>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</si>
  <si>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</si>
  <si>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</si>
  <si>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</si>
  <si>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</si>
  <si>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</si>
  <si>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</si>
  <si>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</si>
  <si>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</si>
  <si>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</si>
  <si>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</si>
  <si>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</si>
  <si>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</si>
  <si>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</si>
  <si>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</si>
  <si>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</si>
  <si>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</si>
  <si>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</si>
  <si>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</si>
  <si>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</si>
  <si>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</si>
  <si>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</si>
  <si>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</si>
  <si>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</si>
  <si>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</si>
  <si>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</si>
  <si>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</si>
  <si>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</si>
  <si>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</si>
  <si>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</si>
  <si>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</si>
  <si>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</si>
  <si>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</si>
  <si>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</si>
  <si>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</si>
  <si>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</si>
  <si>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</si>
  <si>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</si>
  <si>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</si>
  <si>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</si>
  <si>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</si>
  <si>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</si>
  <si>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</si>
  <si>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</si>
  <si>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</si>
  <si>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</si>
  <si>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</si>
  <si>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</si>
  <si>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</si>
  <si>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</si>
  <si>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</si>
  <si>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</si>
  <si>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</si>
  <si>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</si>
  <si>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</si>
  <si>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</si>
  <si>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</si>
  <si>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</si>
  <si>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</si>
  <si>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</si>
  <si>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</si>
  <si>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</si>
  <si>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</si>
  <si>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</si>
  <si>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</si>
  <si>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</si>
  <si>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</si>
  <si>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</si>
  <si>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</si>
  <si>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</si>
  <si>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</si>
  <si>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</si>
  <si>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</si>
  <si>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</si>
  <si>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</si>
  <si>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</si>
  <si>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</si>
  <si>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</si>
  <si>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</si>
  <si>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</si>
  <si>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</si>
  <si>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</si>
  <si>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</si>
  <si>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</si>
  <si>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</si>
  <si>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</si>
  <si>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</si>
  <si>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</si>
  <si>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</si>
  <si>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</si>
  <si>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</si>
  <si>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</si>
  <si>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</si>
  <si>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</si>
  <si>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</si>
  <si>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</si>
  <si>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</si>
  <si>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</si>
  <si>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</si>
  <si>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</si>
  <si>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</si>
  <si>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</si>
  <si>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</si>
  <si>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</si>
  <si>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</si>
  <si>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</si>
  <si>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</si>
  <si>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</si>
  <si>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</si>
  <si>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</si>
  <si>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</si>
  <si>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</si>
  <si>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</si>
  <si>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</si>
  <si>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</si>
  <si>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</si>
  <si>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</si>
  <si>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</si>
  <si>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</si>
  <si>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</si>
  <si>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</si>
  <si>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</si>
  <si>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</si>
  <si>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</si>
  <si>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</si>
  <si>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</si>
  <si>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</si>
  <si>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</si>
  <si>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</si>
  <si>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</si>
  <si>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</si>
  <si>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</si>
  <si>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</si>
  <si>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</si>
  <si>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</si>
  <si>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</si>
  <si>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</si>
  <si>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</si>
  <si>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</si>
  <si>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</si>
  <si>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</si>
  <si>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</si>
  <si>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</si>
  <si>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</si>
  <si>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</si>
  <si>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</si>
  <si>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</si>
  <si>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</si>
  <si>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</si>
  <si>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</si>
  <si>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</si>
  <si>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</si>
  <si>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</si>
  <si>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</si>
  <si>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</si>
  <si>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</si>
  <si>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</si>
  <si>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</si>
  <si>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</si>
  <si>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</si>
  <si>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</si>
  <si>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</si>
  <si>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</si>
  <si>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</si>
  <si>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</si>
  <si>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</si>
  <si>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</si>
  <si>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</si>
  <si>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</si>
  <si>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</si>
  <si>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</si>
  <si>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</si>
  <si>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</si>
  <si>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</si>
  <si>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</si>
  <si>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</si>
  <si>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</si>
  <si>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</si>
  <si>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</si>
  <si>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</si>
  <si>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</si>
  <si>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</si>
  <si>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</si>
  <si>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</si>
  <si>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</si>
  <si>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</si>
  <si>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</si>
  <si>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</si>
  <si>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</si>
  <si>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</si>
  <si>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</si>
  <si>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</si>
  <si>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</si>
  <si>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</si>
  <si>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</si>
  <si>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</si>
  <si>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</si>
  <si>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</si>
  <si>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</si>
  <si>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</si>
  <si>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</si>
  <si>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</si>
  <si>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</si>
  <si>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</si>
  <si>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</si>
  <si>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</si>
  <si>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</si>
  <si>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</si>
  <si>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</si>
  <si>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</si>
  <si>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</si>
  <si>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</si>
  <si>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</si>
  <si>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</si>
  <si>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</si>
  <si>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</si>
  <si>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</si>
  <si>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</si>
  <si>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</si>
  <si>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</si>
  <si>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</si>
  <si>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</si>
  <si>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</si>
  <si>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</si>
  <si>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</si>
  <si>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</si>
  <si>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</si>
  <si>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</si>
  <si>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</si>
  <si>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</si>
  <si>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</si>
  <si>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</si>
  <si>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</si>
  <si>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</si>
  <si>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</si>
  <si>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</si>
  <si>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</si>
  <si>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</si>
  <si>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</si>
  <si>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</si>
  <si>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</si>
  <si>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</si>
  <si>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</si>
  <si>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</si>
  <si>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</si>
  <si>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</si>
  <si>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</si>
  <si>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</si>
  <si>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</si>
  <si>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</si>
  <si>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</si>
  <si>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</si>
  <si>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</si>
  <si>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</si>
  <si>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</si>
  <si>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</si>
  <si>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</si>
  <si>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</si>
  <si>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</si>
  <si>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</si>
  <si>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</si>
  <si>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</si>
  <si>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</si>
  <si>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</si>
  <si>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</si>
  <si>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</si>
  <si>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</si>
  <si>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</si>
  <si>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</si>
  <si>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</si>
  <si>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</si>
  <si>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</si>
  <si>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</si>
  <si>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</si>
  <si>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</si>
  <si>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</si>
  <si>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</si>
  <si>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</si>
  <si>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</si>
  <si>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</si>
  <si>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</si>
  <si>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</si>
  <si>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</si>
  <si>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</si>
  <si>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</si>
  <si>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</si>
  <si>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</si>
  <si>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</si>
  <si>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</si>
  <si>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</si>
  <si>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</si>
  <si>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</si>
  <si>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</si>
  <si>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</si>
  <si>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</si>
  <si>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</si>
  <si>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</si>
  <si>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</si>
  <si>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</si>
  <si>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</si>
  <si>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</si>
  <si>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</si>
  <si>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</si>
  <si>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</si>
  <si>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</si>
  <si>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</si>
  <si>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</si>
  <si>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</si>
  <si>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</si>
  <si>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</si>
  <si>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</si>
  <si>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</si>
  <si>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</si>
  <si>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</si>
  <si>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</si>
  <si>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</si>
  <si>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</si>
  <si>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</si>
  <si>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</si>
  <si>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</si>
  <si>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</si>
  <si>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</si>
  <si>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</si>
  <si>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</si>
  <si>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</si>
  <si>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</si>
  <si>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</si>
  <si>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</si>
  <si>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</si>
  <si>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</si>
  <si>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</si>
  <si>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</si>
  <si>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</si>
  <si>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</si>
  <si>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</si>
  <si>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</si>
  <si>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</si>
  <si>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</si>
  <si>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</si>
  <si>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</si>
  <si>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</si>
  <si>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</si>
  <si>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</si>
  <si>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</si>
  <si>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</si>
  <si>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</si>
  <si>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</si>
  <si>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</si>
  <si>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</si>
  <si>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</si>
  <si>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</si>
  <si>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</si>
  <si>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</si>
  <si>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</si>
  <si>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</si>
  <si>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</si>
  <si>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</si>
  <si>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</si>
  <si>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</si>
  <si>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</si>
  <si>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</si>
  <si>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</si>
  <si>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</si>
  <si>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</si>
  <si>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</si>
  <si>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</si>
  <si>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</si>
  <si>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</si>
  <si>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</si>
  <si>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</si>
  <si>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</si>
  <si>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</si>
  <si>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</si>
  <si>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</si>
  <si>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</si>
  <si>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</si>
  <si>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</si>
  <si>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</si>
  <si>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</si>
  <si>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</si>
  <si>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</si>
  <si>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</si>
  <si>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</si>
  <si>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</si>
  <si>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</si>
  <si>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</si>
  <si>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</si>
  <si>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</si>
  <si>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</si>
  <si>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</si>
  <si>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</si>
  <si>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</si>
  <si>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</si>
  <si>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</si>
  <si>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</si>
  <si>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</si>
  <si>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</si>
  <si>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</si>
  <si>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</si>
  <si>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</si>
  <si>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</si>
  <si>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</si>
  <si>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</si>
  <si>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</si>
  <si>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</si>
  <si>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</si>
  <si>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</si>
  <si>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</si>
  <si>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</si>
  <si>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</si>
  <si>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</si>
  <si>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</si>
  <si>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</si>
  <si>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</si>
  <si>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</si>
  <si>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</si>
  <si>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</si>
  <si>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</si>
  <si>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</si>
  <si>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</si>
  <si>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</si>
  <si>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</si>
  <si>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</si>
  <si>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</si>
  <si>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</si>
  <si>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</si>
  <si>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</si>
  <si>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</si>
  <si>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</si>
  <si>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</si>
  <si>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</si>
  <si>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</si>
  <si>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</si>
  <si>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</si>
  <si>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</si>
  <si>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</si>
  <si>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</si>
  <si>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</si>
  <si>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</si>
  <si>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</si>
  <si>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</si>
  <si>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</si>
  <si>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</si>
  <si>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</si>
  <si>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</si>
  <si>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t>
    <phoneticPr fontId="229"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</si>
  <si>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</si>
  <si>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</si>
  <si>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</si>
  <si>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</si>
  <si>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</si>
  <si>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</si>
  <si>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</si>
  <si>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</si>
  <si>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</si>
  <si>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</si>
  <si>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</si>
  <si>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</si>
  <si>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</si>
  <si>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</si>
  <si>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</si>
  <si>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</si>
  <si>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</si>
  <si>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</si>
  <si>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</si>
  <si>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</si>
  <si>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</si>
  <si>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</si>
  <si>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</si>
  <si>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</si>
  <si>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</si>
  <si>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</si>
  <si>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</si>
  <si>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</si>
  <si>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</si>
  <si>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地下仓储</t>
    <phoneticPr fontId="229" type="noConversion"/>
  </si>
  <si>
    <t>合计</t>
    <phoneticPr fontId="229" type="noConversion"/>
  </si>
  <si>
    <t>需补缴地价款（变更出让合同时，建议应补缴的地价款）</t>
    <phoneticPr fontId="229" type="noConversion"/>
  </si>
  <si>
    <t>城市高速路—京哈高速</t>
    <phoneticPr fontId="22" type="noConversion"/>
  </si>
  <si>
    <t>城市支路-黄厂路</t>
    <phoneticPr fontId="27" type="noConversion"/>
  </si>
  <si>
    <t>住宅年期修正</t>
    <phoneticPr fontId="229" type="noConversion"/>
  </si>
  <si>
    <t>新（1.44）元/㎡</t>
    <phoneticPr fontId="277" type="noConversion"/>
  </si>
  <si>
    <t>旧（1.45）元/㎡</t>
    <phoneticPr fontId="277" type="noConversion"/>
  </si>
  <si>
    <t>商业</t>
    <phoneticPr fontId="277" type="noConversion"/>
  </si>
  <si>
    <t>新价格×（新面积-旧面积）+（新价格-旧价格）×旧面积</t>
    <phoneticPr fontId="277" type="noConversion"/>
  </si>
  <si>
    <t>住宅</t>
    <phoneticPr fontId="277" type="noConversion"/>
  </si>
  <si>
    <t>合计</t>
    <phoneticPr fontId="277" type="noConversion"/>
  </si>
  <si>
    <t>新面积（㎡）</t>
    <phoneticPr fontId="277" type="noConversion"/>
  </si>
  <si>
    <t>旧（㎡）</t>
    <phoneticPr fontId="277" type="noConversion"/>
  </si>
  <si>
    <t>差额（元）</t>
    <phoneticPr fontId="277" type="noConversion"/>
  </si>
  <si>
    <t>——</t>
    <phoneticPr fontId="229" type="noConversion"/>
  </si>
  <si>
    <r>
      <t>住宅（5</t>
    </r>
    <r>
      <rPr>
        <sz val="11"/>
        <color theme="1"/>
        <rFont val="宋体"/>
        <family val="3"/>
        <charset val="134"/>
        <scheme val="minor"/>
      </rPr>
      <t>5</t>
    </r>
    <r>
      <rPr>
        <sz val="11"/>
        <color theme="1"/>
        <rFont val="宋体"/>
        <family val="3"/>
        <charset val="134"/>
        <scheme val="minor"/>
      </rPr>
      <t>年</t>
    </r>
    <phoneticPr fontId="277" type="noConversion"/>
  </si>
  <si>
    <t>新总价</t>
    <phoneticPr fontId="229" type="noConversion"/>
  </si>
  <si>
    <t>旧总价</t>
    <phoneticPr fontId="229" type="noConversion"/>
  </si>
  <si>
    <t>市场价格</t>
  </si>
  <si>
    <t>小计</t>
    <phoneticPr fontId="229" type="noConversion"/>
  </si>
  <si>
    <t>政府土地出让收益</t>
    <phoneticPr fontId="229" type="noConversion"/>
  </si>
  <si>
    <t>政府土地出让收益总价</t>
    <phoneticPr fontId="229" type="noConversion"/>
  </si>
  <si>
    <t>合计</t>
    <phoneticPr fontId="229" type="noConversion"/>
  </si>
  <si>
    <t>——</t>
    <phoneticPr fontId="229" type="noConversion"/>
  </si>
  <si>
    <t>地上住宅（55年）</t>
    <phoneticPr fontId="229" type="noConversion"/>
  </si>
  <si>
    <t>地下仓储（35年）</t>
    <phoneticPr fontId="229" type="noConversion"/>
  </si>
  <si>
    <t>基准地价-55住宅</t>
    <phoneticPr fontId="15" type="noConversion"/>
  </si>
  <si>
    <t>不动产收益法</t>
  </si>
  <si>
    <t>钢混</t>
  </si>
  <si>
    <r>
      <t>剩余法</t>
    </r>
    <r>
      <rPr>
        <sz val="11"/>
        <color theme="1"/>
        <rFont val="Arial"/>
        <family val="2"/>
      </rPr>
      <t>-</t>
    </r>
    <r>
      <rPr>
        <sz val="11"/>
        <color theme="1"/>
        <rFont val="宋体"/>
        <family val="3"/>
        <charset val="134"/>
      </rPr>
      <t>待开发仓储</t>
    </r>
    <phoneticPr fontId="15" type="noConversion"/>
  </si>
  <si>
    <t>仓储年期修正系数</t>
    <phoneticPr fontId="229" type="noConversion"/>
  </si>
  <si>
    <t>住宅</t>
    <phoneticPr fontId="229" type="noConversion"/>
  </si>
  <si>
    <t>新增用途</t>
    <phoneticPr fontId="229" type="noConversion"/>
  </si>
  <si>
    <t>（增加）</t>
  </si>
  <si>
    <t>住宅</t>
    <phoneticPr fontId="229" type="noConversion"/>
  </si>
  <si>
    <t>地下仓储</t>
    <phoneticPr fontId="229" type="noConversion"/>
  </si>
  <si>
    <t>楼面政府土地出让收益单价</t>
  </si>
  <si>
    <r>
      <t>（元/</t>
    </r>
    <r>
      <rPr>
        <b/>
        <sz val="12"/>
        <color theme="1"/>
        <rFont val="华文仿宋"/>
        <family val="3"/>
        <charset val="134"/>
      </rPr>
      <t>㎡</t>
    </r>
    <r>
      <rPr>
        <b/>
        <sz val="12"/>
        <color theme="1"/>
        <rFont val="仿宋_GB2312"/>
        <family val="3"/>
        <charset val="134"/>
      </rPr>
      <t>）</t>
    </r>
  </si>
  <si>
    <t>政府土地出让收益总价(万元）</t>
  </si>
  <si>
    <r>
      <t>2364.58</t>
    </r>
    <r>
      <rPr>
        <sz val="12"/>
        <color theme="1"/>
        <rFont val="仿宋_GB2312"/>
        <family val="3"/>
        <charset val="134"/>
      </rPr>
      <t>（增加）</t>
    </r>
  </si>
  <si>
    <r>
      <t>出让建筑面积（</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</si>
  <si>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r>
      <t>政府土地出让收益单价（元/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</si>
  <si>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需补缴地价款(万元）</t>
  </si>
  <si>
    <t>新增</t>
  </si>
  <si>
    <t>楼面熟地</t>
    <phoneticPr fontId="229" type="noConversion"/>
  </si>
  <si>
    <t>单价</t>
    <phoneticPr fontId="229" type="noConversion"/>
  </si>
  <si>
    <r>
      <t>（元/</t>
    </r>
    <r>
      <rPr>
        <b/>
        <sz val="12"/>
        <color rgb="FF000000"/>
        <rFont val="华文仿宋"/>
        <family val="3"/>
        <charset val="134"/>
      </rPr>
      <t>㎡</t>
    </r>
    <r>
      <rPr>
        <b/>
        <sz val="12"/>
        <color theme="1"/>
        <rFont val="仿宋_GB2312"/>
        <family val="3"/>
        <charset val="134"/>
      </rPr>
      <t>）</t>
    </r>
    <phoneticPr fontId="229" type="noConversion"/>
  </si>
  <si>
    <t>楼面熟地单价（元/㎡）</t>
    <phoneticPr fontId="229" type="noConversion"/>
  </si>
  <si>
    <t>按租金收入计税</t>
  </si>
  <si>
    <t>押三</t>
  </si>
  <si>
    <t>基准地价-55住宅</t>
  </si>
  <si>
    <t>朝阳区十里堡</t>
    <phoneticPr fontId="4" type="noConversion"/>
  </si>
  <si>
    <t>丰台区丰益桥丰管路</t>
    <phoneticPr fontId="4" type="noConversion"/>
  </si>
  <si>
    <t>地下仓储</t>
    <phoneticPr fontId="28" type="noConversion"/>
  </si>
  <si>
    <t>40-50（含）</t>
  </si>
  <si>
    <t>地下一层</t>
  </si>
  <si>
    <t>地下一层</t>
    <phoneticPr fontId="28" type="noConversion"/>
  </si>
  <si>
    <t>普通</t>
  </si>
  <si>
    <t>普通</t>
    <phoneticPr fontId="28" type="noConversion"/>
  </si>
  <si>
    <t>简装</t>
    <phoneticPr fontId="28" type="noConversion"/>
  </si>
  <si>
    <t>普通物业公司</t>
  </si>
  <si>
    <t>普通物业公司</t>
    <phoneticPr fontId="28" type="noConversion"/>
  </si>
  <si>
    <t>有</t>
    <phoneticPr fontId="28" type="noConversion"/>
  </si>
  <si>
    <t>建筑面积</t>
    <phoneticPr fontId="28" type="noConversion"/>
  </si>
  <si>
    <t>10--20</t>
    <phoneticPr fontId="28" type="noConversion"/>
  </si>
  <si>
    <t>10--20</t>
    <phoneticPr fontId="28" type="noConversion"/>
  </si>
  <si>
    <t>是</t>
    <phoneticPr fontId="28" type="noConversion"/>
  </si>
  <si>
    <t>丰台成寿寺</t>
    <phoneticPr fontId="4" type="noConversion"/>
  </si>
  <si>
    <t>道路</t>
    <phoneticPr fontId="28" type="noConversion"/>
  </si>
  <si>
    <t>城市主干道</t>
    <phoneticPr fontId="28" type="noConversion"/>
  </si>
  <si>
    <t>城市支路</t>
    <phoneticPr fontId="28" type="noConversion"/>
  </si>
  <si>
    <t>城市次干道</t>
    <phoneticPr fontId="28" type="noConversion"/>
  </si>
  <si>
    <t>无</t>
    <phoneticPr fontId="28" type="noConversion"/>
  </si>
  <si>
    <t>剩余法-待开发仓储</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</si>
</sst>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
      <sz val="12"/>
      <color rgb="FFFF0000"/>
      <name val="Arial"/>
      <family val="2"/>
    </font>
    <font>
      <sz val="12"/>
      <color theme="1"/>
      <name val="宋体"/>
      <family val="3"/>
      <charset val="134"/>
    </font>
    <font>
      <sz val="10.5"/>
      <color theme="1"/>
      <name val="Calibr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B05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indexed="64"/>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710">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279" fillId="0" borderId="0" xfId="0" applyFont="1" applyAlignment="1">
      <alignment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146" fillId="17" borderId="0" xfId="0" applyFont="1" applyFill="1" applyAlignment="1">
      <alignment vertical="center" wrapText="1"/>
    </xf>
    <xf numFmtId="0" fontId="292" fillId="0" borderId="82" xfId="0" applyFont="1" applyBorder="1" applyAlignment="1">
      <alignment vertical="center" wrapText="1"/>
    </xf>
    <xf numFmtId="0" fontId="148" fillId="22" borderId="2" xfId="0" applyFont="1" applyFill="1" applyBorder="1" applyAlignment="1">
      <alignment vertical="center" wrapText="1"/>
    </xf>
    <xf numFmtId="0" fontId="146" fillId="18" borderId="2" xfId="0" applyFont="1" applyFill="1" applyBorder="1" applyAlignment="1">
      <alignment vertical="center" wrapText="1"/>
    </xf>
    <xf numFmtId="0" fontId="0" fillId="18" borderId="2" xfId="0" applyFill="1" applyBorder="1" applyAlignment="1">
      <alignment vertical="center" wrapText="1"/>
    </xf>
    <xf numFmtId="0" fontId="166" fillId="23" borderId="9" xfId="3" applyFont="1" applyFill="1" applyBorder="1" applyAlignment="1" applyProtection="1">
      <alignment horizontal="center" vertical="center" wrapText="1"/>
      <protection locked="0"/>
    </xf>
    <xf numFmtId="0" fontId="168" fillId="0" borderId="2" xfId="0" applyFont="1" applyBorder="1" applyAlignment="1">
      <alignment vertical="center" wrapText="1"/>
    </xf>
    <xf numFmtId="0" fontId="0" fillId="0" borderId="2" xfId="0" applyBorder="1" applyAlignment="1">
      <alignment vertical="center" wrapText="1"/>
    </xf>
    <xf numFmtId="0" fontId="146" fillId="0" borderId="2" xfId="0" applyFont="1" applyFill="1" applyBorder="1">
      <alignment vertical="center"/>
    </xf>
    <xf numFmtId="0" fontId="146" fillId="0" borderId="3" xfId="0" applyFont="1" applyFill="1" applyBorder="1">
      <alignment vertical="center"/>
    </xf>
    <xf numFmtId="0" fontId="288" fillId="0" borderId="79" xfId="0" applyFont="1" applyBorder="1" applyAlignment="1">
      <alignment horizontal="center" vertical="center" wrapText="1"/>
    </xf>
    <xf numFmtId="0" fontId="76" fillId="5" borderId="2" xfId="0" applyFont="1" applyFill="1" applyBorder="1" applyAlignment="1" applyProtection="1">
      <alignment horizontal="center" vertical="center"/>
    </xf>
    <xf numFmtId="0" fontId="195" fillId="0" borderId="80" xfId="0" applyFont="1" applyBorder="1" applyAlignment="1">
      <alignment horizontal="center" vertical="center" wrapText="1"/>
    </xf>
    <xf numFmtId="0" fontId="181" fillId="0" borderId="65" xfId="0" applyFont="1" applyBorder="1" applyAlignment="1">
      <alignment vertical="center" wrapText="1"/>
    </xf>
    <xf numFmtId="0" fontId="195" fillId="0" borderId="2" xfId="0" applyFont="1" applyBorder="1" applyAlignment="1">
      <alignment vertical="center" wrapText="1"/>
    </xf>
    <xf numFmtId="0" fontId="177" fillId="0" borderId="2" xfId="0" applyFont="1" applyBorder="1" applyAlignment="1">
      <alignment vertical="center" wrapText="1"/>
    </xf>
    <xf numFmtId="0" fontId="195" fillId="0" borderId="31" xfId="0" applyFont="1" applyBorder="1" applyAlignment="1">
      <alignment vertical="center" wrapText="1"/>
    </xf>
    <xf numFmtId="0" fontId="177" fillId="0" borderId="54" xfId="0" applyFont="1" applyBorder="1" applyAlignment="1">
      <alignment horizontal="center" vertical="center" wrapText="1"/>
    </xf>
    <xf numFmtId="0" fontId="285" fillId="0" borderId="54" xfId="0" applyFont="1" applyBorder="1" applyAlignment="1">
      <alignment vertical="center" wrapText="1"/>
    </xf>
    <xf numFmtId="0" fontId="289" fillId="0" borderId="39" xfId="0" applyFont="1" applyBorder="1" applyAlignment="1">
      <alignment horizontal="center" vertical="center" wrapText="1"/>
    </xf>
    <xf numFmtId="0" fontId="292" fillId="0" borderId="35" xfId="0" applyFont="1" applyBorder="1" applyAlignment="1">
      <alignment vertical="center" wrapText="1"/>
    </xf>
    <xf numFmtId="0" fontId="150" fillId="0" borderId="65" xfId="0" applyFont="1" applyBorder="1" applyAlignment="1">
      <alignment horizontal="center" vertical="center" wrapText="1"/>
    </xf>
    <xf numFmtId="0" fontId="282" fillId="0" borderId="2" xfId="0" applyFont="1" applyFill="1" applyBorder="1" applyAlignment="1">
      <alignment horizontal="center" vertical="center" wrapText="1"/>
    </xf>
    <xf numFmtId="0" fontId="293" fillId="0" borderId="2" xfId="0" applyFont="1" applyFill="1" applyBorder="1" applyAlignment="1">
      <alignment horizontal="center" vertical="center" wrapText="1"/>
    </xf>
    <xf numFmtId="0" fontId="282" fillId="6" borderId="39" xfId="0" applyFont="1" applyFill="1" applyBorder="1" applyAlignment="1">
      <alignment horizontal="center" vertical="center" wrapText="1"/>
    </xf>
    <xf numFmtId="0" fontId="282" fillId="6" borderId="65" xfId="0" applyFont="1" applyFill="1" applyBorder="1" applyAlignment="1">
      <alignment horizontal="center" vertical="center" wrapText="1"/>
    </xf>
    <xf numFmtId="0" fontId="181" fillId="6" borderId="65" xfId="0" applyFont="1" applyFill="1" applyBorder="1" applyAlignment="1">
      <alignment vertical="center" wrapText="1"/>
    </xf>
    <xf numFmtId="0" fontId="177" fillId="6" borderId="2" xfId="0" applyFont="1" applyFill="1" applyBorder="1" applyAlignment="1">
      <alignment vertical="center" wrapText="1"/>
    </xf>
    <xf numFmtId="0" fontId="150" fillId="6" borderId="65" xfId="0" applyFont="1" applyFill="1" applyBorder="1" applyAlignment="1">
      <alignment horizontal="center" vertical="center" wrapText="1"/>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177" fontId="77" fillId="23" borderId="2" xfId="2" applyNumberFormat="1" applyFont="1" applyFill="1" applyBorder="1" applyAlignment="1" applyProtection="1">
      <alignment horizontal="center" vertical="center"/>
      <protection locked="0"/>
    </xf>
    <xf numFmtId="179" fontId="72" fillId="0" borderId="2" xfId="0" applyNumberFormat="1" applyFont="1" applyBorder="1" applyAlignment="1" applyProtection="1">
      <alignment horizontal="center" vertical="center"/>
      <protection locked="0"/>
    </xf>
    <xf numFmtId="9" fontId="77" fillId="23" borderId="5" xfId="0" applyNumberFormat="1" applyFont="1" applyFill="1" applyBorder="1" applyAlignment="1" applyProtection="1">
      <alignment horizontal="center" vertical="center"/>
      <protection locked="0"/>
    </xf>
    <xf numFmtId="0" fontId="164" fillId="23" borderId="2" xfId="0" applyFont="1" applyFill="1" applyBorder="1" applyAlignment="1" applyProtection="1">
      <alignment horizontal="center" vertical="center" wrapText="1"/>
      <protection locked="0"/>
    </xf>
    <xf numFmtId="0" fontId="146" fillId="0" borderId="0" xfId="0" applyFont="1" applyAlignment="1">
      <alignment vertical="center" wrapText="1"/>
    </xf>
    <xf numFmtId="181" fontId="153" fillId="23" borderId="2" xfId="0" applyNumberFormat="1" applyFont="1" applyFill="1" applyBorder="1" applyAlignment="1" applyProtection="1">
      <alignment horizontal="center" vertical="center"/>
      <protection locked="0"/>
    </xf>
    <xf numFmtId="181" fontId="72" fillId="23" borderId="2" xfId="0" applyNumberFormat="1" applyFont="1" applyFill="1" applyBorder="1" applyAlignment="1" applyProtection="1">
      <alignment horizontal="center" vertical="center"/>
      <protection locked="0"/>
    </xf>
    <xf numFmtId="0" fontId="293" fillId="0" borderId="155" xfId="0" applyFont="1" applyBorder="1" applyAlignment="1">
      <alignment vertical="center" wrapText="1"/>
    </xf>
    <xf numFmtId="0" fontId="177"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35" xfId="0" applyFont="1" applyBorder="1" applyAlignment="1">
      <alignment vertical="center" wrapText="1"/>
    </xf>
    <xf numFmtId="0" fontId="195" fillId="0" borderId="79" xfId="0" applyFont="1" applyBorder="1" applyAlignment="1">
      <alignment vertical="center" wrapText="1"/>
    </xf>
    <xf numFmtId="0" fontId="195" fillId="0" borderId="80" xfId="0" applyFont="1" applyBorder="1" applyAlignment="1">
      <alignment vertical="center" wrapText="1"/>
    </xf>
    <xf numFmtId="0" fontId="294" fillId="0" borderId="0" xfId="0" applyFont="1" applyAlignment="1">
      <alignment vertical="center" wrapText="1"/>
    </xf>
    <xf numFmtId="0" fontId="293" fillId="0" borderId="66" xfId="0" applyFont="1" applyBorder="1" applyAlignment="1">
      <alignment horizontal="center" vertical="center" wrapText="1"/>
    </xf>
    <xf numFmtId="0" fontId="177" fillId="0" borderId="156" xfId="0" applyFont="1" applyBorder="1" applyAlignment="1">
      <alignment horizontal="center" vertical="center" wrapText="1"/>
    </xf>
    <xf numFmtId="0" fontId="293" fillId="0" borderId="156" xfId="0" applyFont="1" applyBorder="1" applyAlignment="1">
      <alignment horizontal="center" vertical="center" wrapText="1"/>
    </xf>
    <xf numFmtId="0" fontId="286" fillId="0" borderId="157" xfId="0" applyFont="1" applyBorder="1" applyAlignment="1">
      <alignment horizontal="center" vertical="center"/>
    </xf>
    <xf numFmtId="0" fontId="286" fillId="0" borderId="38" xfId="0" applyFont="1" applyBorder="1" applyAlignment="1">
      <alignment horizontal="center" vertical="center" wrapText="1"/>
    </xf>
    <xf numFmtId="0" fontId="286" fillId="0" borderId="38" xfId="0" applyFont="1" applyBorder="1" applyAlignment="1">
      <alignment vertical="center" wrapText="1"/>
    </xf>
    <xf numFmtId="0" fontId="288" fillId="0" borderId="65" xfId="0" applyFont="1" applyBorder="1" applyAlignment="1">
      <alignment horizontal="center" vertical="center" wrapText="1"/>
    </xf>
    <xf numFmtId="0" fontId="288" fillId="0" borderId="66" xfId="0" applyFont="1" applyBorder="1" applyAlignment="1">
      <alignment horizontal="center" vertical="center" wrapText="1"/>
    </xf>
    <xf numFmtId="179" fontId="86" fillId="5" borderId="21" xfId="0" applyNumberFormat="1" applyFont="1" applyFill="1" applyBorder="1" applyAlignment="1" applyProtection="1">
      <alignment horizontal="center" vertical="center"/>
    </xf>
    <xf numFmtId="179" fontId="77" fillId="5" borderId="10" xfId="0" applyNumberFormat="1" applyFont="1" applyFill="1" applyBorder="1" applyAlignment="1" applyProtection="1">
      <alignment horizontal="center" vertical="center"/>
    </xf>
    <xf numFmtId="179" fontId="77" fillId="5" borderId="21" xfId="0" applyNumberFormat="1" applyFont="1" applyFill="1" applyBorder="1" applyAlignment="1" applyProtection="1">
      <alignment horizontal="center" vertical="center"/>
    </xf>
    <xf numFmtId="179" fontId="77" fillId="5" borderId="71" xfId="0" applyNumberFormat="1" applyFont="1" applyFill="1" applyBorder="1" applyAlignment="1" applyProtection="1">
      <alignment horizontal="center" vertical="center"/>
    </xf>
    <xf numFmtId="176" fontId="153" fillId="0" borderId="10" xfId="0" applyNumberFormat="1" applyFont="1" applyFill="1" applyBorder="1" applyAlignment="1" applyProtection="1">
      <alignment horizontal="center" vertical="center"/>
      <protection locked="0"/>
    </xf>
    <xf numFmtId="176" fontId="77" fillId="5" borderId="2" xfId="0" applyNumberFormat="1" applyFont="1" applyFill="1" applyBorder="1" applyAlignment="1" applyProtection="1">
      <alignment horizontal="center" vertical="center"/>
    </xf>
    <xf numFmtId="176" fontId="77" fillId="5" borderId="2" xfId="2" applyNumberFormat="1" applyFont="1" applyFill="1" applyBorder="1" applyAlignment="1" applyProtection="1">
      <alignment horizontal="center" vertical="center"/>
    </xf>
    <xf numFmtId="176" fontId="76" fillId="5" borderId="2" xfId="2" applyNumberFormat="1" applyFont="1" applyFill="1" applyBorder="1" applyAlignment="1" applyProtection="1">
      <alignment horizontal="center" vertical="center"/>
    </xf>
    <xf numFmtId="176" fontId="76" fillId="5" borderId="2"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wrapText="1"/>
    </xf>
    <xf numFmtId="179" fontId="77" fillId="5" borderId="44" xfId="0" applyNumberFormat="1" applyFont="1" applyFill="1" applyBorder="1" applyAlignment="1" applyProtection="1">
      <alignment horizontal="center" vertical="center" wrapText="1"/>
    </xf>
    <xf numFmtId="176" fontId="71" fillId="5" borderId="55" xfId="0" applyNumberFormat="1" applyFont="1" applyFill="1" applyBorder="1" applyAlignment="1" applyProtection="1">
      <alignment horizontal="center" vertical="center"/>
    </xf>
    <xf numFmtId="0" fontId="82" fillId="0" borderId="4" xfId="0" applyFont="1" applyFill="1" applyBorder="1" applyAlignment="1" applyProtection="1">
      <alignment horizontal="center" vertical="center" wrapText="1"/>
      <protection locked="0"/>
    </xf>
    <xf numFmtId="176" fontId="72" fillId="0" borderId="5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79" xfId="0" applyFont="1" applyBorder="1" applyAlignment="1">
      <alignment horizontal="center" vertical="center" wrapText="1"/>
    </xf>
    <xf numFmtId="0" fontId="294" fillId="0" borderId="31" xfId="0" applyFont="1" applyBorder="1" applyAlignment="1">
      <alignment vertical="center" wrapText="1"/>
    </xf>
    <xf numFmtId="0" fontId="178" fillId="0" borderId="35" xfId="0" applyFont="1" applyBorder="1" applyAlignment="1">
      <alignment horizontal="center" vertical="center" wrapText="1"/>
    </xf>
    <xf numFmtId="0" fontId="178" fillId="0" borderId="80" xfId="0" applyFont="1" applyBorder="1" applyAlignment="1">
      <alignment horizontal="center" vertical="center" wrapText="1"/>
    </xf>
    <xf numFmtId="0" fontId="286" fillId="0" borderId="159" xfId="0" applyFont="1" applyBorder="1" applyAlignment="1">
      <alignment horizontal="center" vertical="center" wrapText="1"/>
    </xf>
    <xf numFmtId="0" fontId="286" fillId="0" borderId="158" xfId="0" applyFont="1" applyBorder="1" applyAlignment="1">
      <alignment horizontal="center" vertical="center" wrapText="1"/>
    </xf>
    <xf numFmtId="0" fontId="288" fillId="0" borderId="155" xfId="0" applyFont="1" applyBorder="1" applyAlignment="1">
      <alignment horizontal="center" vertical="center" wrapText="1"/>
    </xf>
    <xf numFmtId="0" fontId="288" fillId="0" borderId="80" xfId="0" applyFont="1" applyBorder="1" applyAlignment="1">
      <alignment horizontal="center" vertical="center" wrapText="1"/>
    </xf>
    <xf numFmtId="0" fontId="291" fillId="0" borderId="0" xfId="0" applyFont="1" applyBorder="1" applyAlignment="1">
      <alignment horizontal="left" vertical="center"/>
    </xf>
    <xf numFmtId="0" fontId="278" fillId="0" borderId="0" xfId="0" applyFont="1" applyBorder="1" applyAlignment="1">
      <alignment horizontal="left"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161" fillId="0" borderId="26" xfId="0" applyFont="1" applyBorder="1" applyAlignment="1">
      <alignment horizontal="center" vertical="center" wrapText="1"/>
    </xf>
    <xf numFmtId="0" fontId="161" fillId="0" borderId="39"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195" fillId="0" borderId="2"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78" fillId="0" borderId="61"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0" fillId="6" borderId="9"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18" borderId="10" xfId="0" applyFill="1" applyBorder="1" applyAlignment="1">
      <alignment horizontal="center" vertical="center"/>
    </xf>
    <xf numFmtId="0" fontId="0" fillId="18" borderId="21"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146" fillId="18" borderId="10" xfId="0" applyFont="1" applyFill="1" applyBorder="1" applyAlignment="1">
      <alignment horizontal="center" vertical="center" wrapText="1"/>
    </xf>
    <xf numFmtId="0" fontId="146" fillId="18" borderId="21" xfId="0" applyFont="1" applyFill="1" applyBorder="1" applyAlignment="1">
      <alignment horizontal="center" vertical="center" wrapText="1"/>
    </xf>
    <xf numFmtId="0" fontId="0" fillId="18" borderId="10" xfId="0" applyFill="1" applyBorder="1" applyAlignment="1">
      <alignment horizontal="center" vertical="center" wrapText="1"/>
    </xf>
    <xf numFmtId="0" fontId="0" fillId="18" borderId="21" xfId="0"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6" borderId="9" xfId="0" applyFont="1"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0" fillId="18" borderId="3" xfId="0" applyFill="1" applyBorder="1" applyAlignment="1">
      <alignment horizontal="center" vertical="center"/>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282" fillId="0" borderId="80" xfId="0" applyFont="1" applyBorder="1" applyAlignment="1">
      <alignment horizontal="center" vertical="center" wrapText="1"/>
    </xf>
    <xf numFmtId="0" fontId="195" fillId="0" borderId="154" xfId="0" applyFont="1" applyBorder="1" applyAlignment="1">
      <alignment horizontal="center" vertical="center" wrapText="1"/>
    </xf>
    <xf numFmtId="0" fontId="178" fillId="0" borderId="79" xfId="0" applyFont="1" applyBorder="1" applyAlignment="1">
      <alignment horizontal="center" vertical="center" wrapText="1"/>
    </xf>
    <xf numFmtId="0" fontId="178" fillId="0" borderId="154" xfId="0" applyFont="1" applyBorder="1" applyAlignment="1">
      <alignment horizontal="center" vertical="center" wrapText="1"/>
    </xf>
    <xf numFmtId="0" fontId="178" fillId="0" borderId="155" xfId="0" applyFont="1" applyBorder="1" applyAlignment="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180975</xdr:colOff>
      <xdr:row>23</xdr:row>
      <xdr:rowOff>70329</xdr:rowOff>
    </xdr:to>
    <xdr:pic>
      <xdr:nvPicPr>
        <xdr:cNvPr id="829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24775" cy="4013679"/>
        </a:xfrm>
        <a:prstGeom prst="rect">
          <a:avLst/>
        </a:prstGeom>
        <a:noFill/>
        <a:ln w="1">
          <a:noFill/>
          <a:miter lim="800000"/>
          <a:headEnd/>
          <a:tailEnd type="none" w="med" len="med"/>
        </a:ln>
        <a:effectLst/>
      </xdr:spPr>
    </xdr:pic>
    <xdr:clientData/>
  </xdr:twoCellAnchor>
  <xdr:twoCellAnchor editAs="oneCell">
    <xdr:from>
      <xdr:col>8</xdr:col>
      <xdr:colOff>171450</xdr:colOff>
      <xdr:row>0</xdr:row>
      <xdr:rowOff>66675</xdr:rowOff>
    </xdr:from>
    <xdr:to>
      <xdr:col>18</xdr:col>
      <xdr:colOff>581025</xdr:colOff>
      <xdr:row>5</xdr:row>
      <xdr:rowOff>66675</xdr:rowOff>
    </xdr:to>
    <xdr:pic>
      <xdr:nvPicPr>
        <xdr:cNvPr id="829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57850" y="66675"/>
          <a:ext cx="7267575" cy="8572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104775</xdr:rowOff>
    </xdr:from>
    <xdr:to>
      <xdr:col>11</xdr:col>
      <xdr:colOff>52279</xdr:colOff>
      <xdr:row>46</xdr:row>
      <xdr:rowOff>47624</xdr:rowOff>
    </xdr:to>
    <xdr:pic>
      <xdr:nvPicPr>
        <xdr:cNvPr id="8294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19575"/>
          <a:ext cx="7596079" cy="3714749"/>
        </a:xfrm>
        <a:prstGeom prst="rect">
          <a:avLst/>
        </a:prstGeom>
        <a:noFill/>
        <a:ln w="1">
          <a:noFill/>
          <a:miter lim="800000"/>
          <a:headEnd/>
          <a:tailEnd type="none" w="med" len="med"/>
        </a:ln>
        <a:effectLst/>
      </xdr:spPr>
    </xdr:pic>
    <xdr:clientData/>
  </xdr:twoCellAnchor>
  <xdr:twoCellAnchor editAs="oneCell">
    <xdr:from>
      <xdr:col>6</xdr:col>
      <xdr:colOff>219075</xdr:colOff>
      <xdr:row>23</xdr:row>
      <xdr:rowOff>161925</xdr:rowOff>
    </xdr:from>
    <xdr:to>
      <xdr:col>14</xdr:col>
      <xdr:colOff>666750</xdr:colOff>
      <xdr:row>27</xdr:row>
      <xdr:rowOff>142875</xdr:rowOff>
    </xdr:to>
    <xdr:pic>
      <xdr:nvPicPr>
        <xdr:cNvPr id="8294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4333875" y="4105275"/>
          <a:ext cx="5934075" cy="6667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66675</xdr:rowOff>
    </xdr:from>
    <xdr:to>
      <xdr:col>10</xdr:col>
      <xdr:colOff>334952</xdr:colOff>
      <xdr:row>68</xdr:row>
      <xdr:rowOff>66675</xdr:rowOff>
    </xdr:to>
    <xdr:pic>
      <xdr:nvPicPr>
        <xdr:cNvPr id="8294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124825"/>
          <a:ext cx="7192952" cy="36004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6575;&#38451;&#26223;&#22253;&#27979;&#31639;&#65288;&#20303;&#23429;&#21097;&#20313;&#24180;&#38480;&#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575;&#38451;&#26223;&#22253;&#27979;&#31639;&#65288;&#20303;&#23429;&#21097;&#20313;&#24180;&#3848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21097;&#20313;&#24180;&#384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26575;&#38451;&#26223;&#22253;&#27979;&#31639;&#65288;&#21407;&#23481;&#31215;&#29575;&#20303;&#23429;70&#65289;&#20027;&#34920;&#24635;&#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9">
          <cell r="C39">
            <v>3187</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19656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9">
          <cell r="C29">
            <v>21588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结果表一"/>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原70住宅 "/>
      <sheetName val="基准地价-70住宅"/>
      <sheetName val="基准地价-原商业 "/>
      <sheetName val="基准地价-商业"/>
      <sheetName val="不动产比较法-办公"/>
      <sheetName val="不动产比较法-工业"/>
      <sheetName val="不动产比较法-车位"/>
      <sheetName val="不动产比较法-仓储"/>
      <sheetName val="典型户型修正"/>
      <sheetName val="存贷款利率"/>
      <sheetName val="估价对象房地状况"/>
      <sheetName val="住宅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83247.820000000007</v>
          </cell>
          <cell r="G2">
            <v>83884.960000000006</v>
          </cell>
        </row>
        <row r="3">
          <cell r="C3">
            <v>15426.7</v>
          </cell>
          <cell r="G3">
            <v>15502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9">
          <cell r="C29">
            <v>14731</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北京市出让国有建设用地使用权市场价格预评估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受贵公司委托，我公司对北京市出让国有建设用地使用权市场价格进行了预评估。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根据《国有土地使用证》[]，估价对象（分摊）出让国有建设用地使用权面积为68743.19平方米。根据《建设工程规划许可证》[]、《出让合同》[]，估价对象规划建筑面积为109920平方米。</v>
      </c>
    </row>
    <row r="16" spans="1:55" s="2853" customFormat="1">
      <c r="A16" s="2854" t="s">
        <v>2669</v>
      </c>
      <c r="B16" s="2855" t="str">
        <f>'预评函-1'!A22</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v>
      </c>
    </row>
    <row r="20" spans="1:48" s="2853" customFormat="1">
      <c r="A20" s="2854" t="s">
        <v>2673</v>
      </c>
      <c r="B20" s="2855" t="str">
        <f>'预评函-1'!A27</f>
        <v>——</v>
      </c>
    </row>
    <row r="21" spans="1:48" s="2869" customFormat="1" ht="15" thickBot="1">
      <c r="A21" s="2876" t="s">
        <v>2674</v>
      </c>
      <c r="B21" s="2877" t="str">
        <f>'预评函-1'!A28</f>
        <v>——</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109920</v>
      </c>
    </row>
    <row r="46" spans="1:2">
      <c r="A46" s="2854" t="s">
        <v>2723</v>
      </c>
      <c r="B46" s="2855">
        <f ca="1">'预评函-2'!P5</f>
        <v>11564</v>
      </c>
    </row>
    <row r="47" spans="1:2">
      <c r="A47" s="2854" t="s">
        <v>2724</v>
      </c>
      <c r="B47" s="2855">
        <f ca="1">'预评函-2'!Q5</f>
        <v>7232</v>
      </c>
    </row>
    <row r="48" spans="1:2">
      <c r="A48" s="2854" t="s">
        <v>2725</v>
      </c>
      <c r="B48" s="2855">
        <f ca="1">'预评函-2'!R5</f>
        <v>79492</v>
      </c>
    </row>
    <row r="49" spans="1:2">
      <c r="A49" s="2854" t="s">
        <v>2741</v>
      </c>
      <c r="B49" s="2855" t="str">
        <f>'预评函-2'!A6</f>
        <v>——</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A26" sqref="A26"/>
    </sheetView>
  </sheetViews>
  <sheetFormatPr defaultColWidth="10" defaultRowHeight="14.25"/>
  <cols>
    <col min="1" max="1" width="15.375" style="1688" customWidth="1"/>
    <col min="2" max="2" width="13.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373" t="str">
        <f>IF(B10="北京市","北京市",C10)&amp;F10&amp;B16&amp;"国有建设用地使用权"&amp;B9&amp;"预评估"</f>
        <v>北京市出让国有建设用地使用权市场价格预评估</v>
      </c>
      <c r="C1" s="3374"/>
      <c r="D1" s="3374"/>
      <c r="E1" s="3374"/>
      <c r="F1" s="3374"/>
      <c r="G1" s="3374"/>
      <c r="H1" s="3374"/>
      <c r="I1" s="3375"/>
      <c r="J1" s="1691"/>
      <c r="K1" s="2432" t="str">
        <f>IF(B10="北京市","北京市",C10)&amp;F10&amp;B16&amp;"国有建设用地使用权"&amp;B9</f>
        <v>北京市出让国有建设用地使用权市场价格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379"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3165</v>
      </c>
      <c r="C9" s="1672"/>
      <c r="D9" s="3380"/>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376"/>
      <c r="C12" s="3377"/>
      <c r="D12" s="3378"/>
      <c r="E12" s="1696" t="s">
        <v>2061</v>
      </c>
      <c r="F12" s="3394" t="s">
        <v>2888</v>
      </c>
      <c r="G12" s="3395"/>
      <c r="H12" s="3395"/>
      <c r="I12" s="3396"/>
      <c r="J12" s="1691"/>
      <c r="K12" s="1771"/>
      <c r="L12" s="1720"/>
      <c r="M12" s="1720"/>
      <c r="N12" s="1691"/>
      <c r="O12" s="1692"/>
      <c r="P12" s="1691"/>
      <c r="Q12" s="1691"/>
      <c r="R12" s="1691"/>
      <c r="S12" s="1691"/>
      <c r="T12" s="1691"/>
      <c r="U12" s="1691"/>
    </row>
    <row r="13" spans="1:21">
      <c r="A13" s="1684" t="s">
        <v>2059</v>
      </c>
      <c r="B13" s="3376"/>
      <c r="C13" s="3377"/>
      <c r="D13" s="3378"/>
      <c r="E13" s="1696" t="s">
        <v>2061</v>
      </c>
      <c r="F13" s="3394" t="s">
        <v>2889</v>
      </c>
      <c r="G13" s="3395"/>
      <c r="H13" s="3395"/>
      <c r="I13" s="3396"/>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住宅2074年3月6日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地下仓储2054年3月6日</v>
      </c>
      <c r="T16" s="1696" t="str">
        <f>IF(OR(S16="",U16=""),"","、")</f>
        <v/>
      </c>
      <c r="U16" s="2433" t="str">
        <f>IF(I17="","",I16&amp;TEXT(I17,"yyyy年m月d日;;"))</f>
        <v/>
      </c>
    </row>
    <row r="17" spans="1:21">
      <c r="A17" s="1760"/>
      <c r="B17" s="1679"/>
      <c r="C17" s="1680" t="s">
        <v>1955</v>
      </c>
      <c r="D17" s="1697">
        <v>63619</v>
      </c>
      <c r="E17" s="1697">
        <v>52662</v>
      </c>
      <c r="F17" s="1697"/>
      <c r="G17" s="1697">
        <v>56314</v>
      </c>
      <c r="H17" s="1697">
        <v>56314</v>
      </c>
      <c r="I17" s="1697"/>
      <c r="J17" s="1691"/>
      <c r="K17" s="2432" t="str">
        <f>CONCATENATE(K16,L16,M16,N16,O16,P16,Q16,R16,S16,T16,,U16)</f>
        <v>住宅2074年3月6日、商业2044年3月6日地下车库2054年3月6日、地下仓储2054年3月6日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55.04</v>
      </c>
      <c r="E19" s="1682">
        <f>IF(B16="出让",IF(E17="","",ROUNDDOWN(MIN((E17-$D$3)/365,E18),2)),E18)</f>
        <v>25.02</v>
      </c>
      <c r="F19" s="1682" t="str">
        <f>IF(B16="出让",IF(F17="","",ROUNDDOWN(MIN((F17-$D$3)/365,F18),2)),F18)</f>
        <v/>
      </c>
      <c r="G19" s="1682">
        <f>IF(B16="出让",IF(G17="","",ROUNDDOWN(MIN((G17-$D$3)/365,G18),2)),G18)</f>
        <v>35.03</v>
      </c>
      <c r="H19" s="1682">
        <f>IF(B16="出让",IF(H17="","",ROUNDDOWN(MIN((H17-$D$3)/365,H18),2)),H18)</f>
        <v>35.03</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91"/>
      <c r="E20" s="3392"/>
      <c r="F20" s="3392"/>
      <c r="G20" s="3392"/>
      <c r="H20" s="3392"/>
      <c r="I20" s="3393"/>
      <c r="J20" s="1691"/>
      <c r="K20" s="1771"/>
      <c r="L20" s="1720"/>
      <c r="M20" s="1720"/>
      <c r="N20" s="1691"/>
      <c r="O20" s="1692"/>
      <c r="P20" s="1691"/>
      <c r="Q20" s="1691"/>
      <c r="R20" s="1691"/>
      <c r="S20" s="1691"/>
      <c r="T20" s="1691"/>
      <c r="U20" s="1691"/>
    </row>
    <row r="21" spans="1:21">
      <c r="A21" s="1760" t="s">
        <v>1958</v>
      </c>
      <c r="B21" s="1761" t="s">
        <v>1959</v>
      </c>
      <c r="C21" s="1756">
        <f>'数据-汇总表'!E3</f>
        <v>109920</v>
      </c>
      <c r="D21" s="1757" t="s">
        <v>1960</v>
      </c>
      <c r="E21" s="3381" t="s">
        <v>1998</v>
      </c>
      <c r="F21" s="3382"/>
      <c r="G21" s="3382"/>
      <c r="H21" s="3382"/>
      <c r="I21" s="3383"/>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381" t="s">
        <v>2890</v>
      </c>
      <c r="F22" s="3382"/>
      <c r="G22" s="3382"/>
      <c r="H22" s="3382"/>
      <c r="I22" s="3383"/>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384" t="s">
        <v>1966</v>
      </c>
      <c r="C24" s="3385"/>
      <c r="D24" s="3386" t="s">
        <v>1967</v>
      </c>
      <c r="E24" s="3387"/>
      <c r="F24" s="1705" t="s">
        <v>1968</v>
      </c>
      <c r="G24" s="1691"/>
      <c r="H24" s="1691"/>
      <c r="I24" s="1704"/>
      <c r="J24" s="1691"/>
      <c r="K24" s="3372"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372"/>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372"/>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58" t="s">
        <v>2001</v>
      </c>
      <c r="B31" s="1761" t="s">
        <v>2002</v>
      </c>
      <c r="C31" s="3397"/>
      <c r="D31" s="3398"/>
      <c r="E31" s="1691"/>
      <c r="F31" s="1691"/>
      <c r="G31" s="1691"/>
      <c r="H31" s="1691"/>
      <c r="I31" s="1704"/>
      <c r="J31" s="1691"/>
      <c r="K31" s="2435"/>
      <c r="L31" s="1691"/>
      <c r="M31" s="1691"/>
      <c r="N31" s="1691"/>
      <c r="O31" s="1691"/>
      <c r="P31" s="1691"/>
      <c r="Q31" s="1691"/>
      <c r="R31" s="1691"/>
      <c r="S31" s="1691"/>
      <c r="T31" s="1691"/>
      <c r="U31" s="1691"/>
    </row>
    <row r="32" spans="1:21">
      <c r="A32" s="3358"/>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58"/>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59"/>
      <c r="B34" s="1658" t="s">
        <v>2005</v>
      </c>
      <c r="C34" s="3360"/>
      <c r="D34" s="3361"/>
      <c r="E34" s="1691"/>
      <c r="F34" s="1691"/>
      <c r="G34" s="1691"/>
      <c r="H34" s="1691"/>
      <c r="I34" s="1704"/>
      <c r="J34" s="1691"/>
      <c r="K34" s="2435"/>
      <c r="L34" s="1691"/>
      <c r="M34" s="1691"/>
      <c r="N34" s="1691"/>
      <c r="O34" s="1691"/>
      <c r="P34" s="1691"/>
      <c r="Q34" s="1691"/>
      <c r="R34" s="1691"/>
      <c r="S34" s="1691"/>
      <c r="T34" s="1691"/>
      <c r="U34" s="1691"/>
    </row>
    <row r="35" spans="1:21">
      <c r="A35" s="3362" t="s">
        <v>846</v>
      </c>
      <c r="B35" s="1719"/>
      <c r="C35" s="1773" t="str">
        <f>IF(B35="场地平整","——","具体情况：")</f>
        <v>具体情况：</v>
      </c>
      <c r="D35" s="3364"/>
      <c r="E35" s="3365"/>
      <c r="F35" s="3365"/>
      <c r="G35" s="3365"/>
      <c r="H35" s="3365"/>
      <c r="I35" s="3366"/>
      <c r="J35" s="1691"/>
      <c r="K35" s="1772"/>
      <c r="L35" s="1720"/>
      <c r="M35" s="1720"/>
      <c r="N35" s="1691"/>
      <c r="O35" s="1692"/>
      <c r="P35" s="1691"/>
      <c r="Q35" s="1691"/>
      <c r="R35" s="1691"/>
      <c r="S35" s="1691"/>
      <c r="T35" s="1691"/>
      <c r="U35" s="1691"/>
    </row>
    <row r="36" spans="1:21">
      <c r="A36" s="3358"/>
      <c r="B36" s="3367" t="s">
        <v>2054</v>
      </c>
      <c r="C36" s="3368"/>
      <c r="D36" s="1789"/>
      <c r="E36" s="3369"/>
      <c r="F36" s="3369"/>
      <c r="G36" s="1684" t="str">
        <f>IF(B35="场地未平整","估价结果处理","")</f>
        <v/>
      </c>
      <c r="H36" s="3370"/>
      <c r="I36" s="3370"/>
      <c r="J36" s="1691"/>
      <c r="K36" s="1772"/>
      <c r="L36" s="1720"/>
      <c r="M36" s="1720"/>
      <c r="N36" s="1691"/>
      <c r="O36" s="1692"/>
      <c r="P36" s="1691"/>
      <c r="Q36" s="1691"/>
      <c r="R36" s="1691"/>
      <c r="S36" s="1691"/>
      <c r="T36" s="1691"/>
      <c r="U36" s="1691"/>
    </row>
    <row r="37" spans="1:21" ht="28.5">
      <c r="A37" s="3358"/>
      <c r="B37" s="3388"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58"/>
      <c r="B38" s="3389"/>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59"/>
      <c r="B39" s="339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371" t="s">
        <v>1985</v>
      </c>
      <c r="T40" s="1728" t="str">
        <f>NUMBERSTRING(7-K40,1)&amp;"通"</f>
        <v>七通</v>
      </c>
      <c r="U40" s="1691"/>
    </row>
    <row r="41" spans="1:21">
      <c r="A41" s="1660"/>
      <c r="B41" s="3363" t="s">
        <v>1721</v>
      </c>
      <c r="C41" s="3363"/>
      <c r="D41" s="3363"/>
      <c r="E41" s="3363"/>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71"/>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109920</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109920</v>
      </c>
      <c r="H5" s="27">
        <f t="shared" ref="H5:AT5" si="0">SUM(H13:H641)</f>
        <v>109920</v>
      </c>
      <c r="I5" s="27">
        <f t="shared" si="0"/>
        <v>83247.820000000007</v>
      </c>
      <c r="J5" s="27">
        <f t="shared" si="0"/>
        <v>0</v>
      </c>
      <c r="K5" s="27">
        <f t="shared" si="0"/>
        <v>15426.7</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109920</v>
      </c>
      <c r="BA5" s="29">
        <f t="shared" si="1"/>
        <v>109920</v>
      </c>
      <c r="BB5" s="29">
        <f t="shared" si="1"/>
        <v>83247.820000000007</v>
      </c>
      <c r="BC5" s="29">
        <f t="shared" si="1"/>
        <v>15426.7</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68743.19</v>
      </c>
      <c r="F6" s="27" t="s">
        <v>1</v>
      </c>
      <c r="G6" s="27" t="s">
        <v>2</v>
      </c>
      <c r="H6" s="33">
        <f>SUMIF(I$12:AB$12,"总值",I6:AB6)</f>
        <v>68743.19</v>
      </c>
      <c r="I6" s="27">
        <f t="shared" ref="I6:AB6" si="2">ROUND($A$3*I5/$B$3,2)</f>
        <v>52062.6</v>
      </c>
      <c r="J6" s="27">
        <f t="shared" si="2"/>
        <v>0</v>
      </c>
      <c r="K6" s="27">
        <f t="shared" si="2"/>
        <v>9647.75</v>
      </c>
      <c r="L6" s="27">
        <f t="shared" si="2"/>
        <v>0</v>
      </c>
      <c r="M6" s="27">
        <f t="shared" si="2"/>
        <v>1478.79</v>
      </c>
      <c r="N6" s="27">
        <f t="shared" si="2"/>
        <v>0</v>
      </c>
      <c r="O6" s="27">
        <f t="shared" si="2"/>
        <v>5554.05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52062.6</v>
      </c>
      <c r="BC6" s="27">
        <f t="shared" ref="BC6:BH6" si="4">ROUND($AY$6*BC5/$AZ$5,2)</f>
        <v>9647.75</v>
      </c>
      <c r="BD6" s="27">
        <f t="shared" si="4"/>
        <v>1478.79</v>
      </c>
      <c r="BE6" s="27">
        <f t="shared" si="4"/>
        <v>5554.05</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52062.6</v>
      </c>
      <c r="F13" s="81"/>
      <c r="G13" s="82">
        <f t="shared" ref="G13:G20" si="7">H13+AC13+AT13</f>
        <v>83247.820000000007</v>
      </c>
      <c r="H13" s="33">
        <f t="shared" ref="H13:H20" si="8">SUMIF(I$12:AB$12,"总值",I13:AB13)</f>
        <v>83247.820000000007</v>
      </c>
      <c r="I13" s="2991">
        <f>结果表一!C2</f>
        <v>83247.820000000007</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52062.6</v>
      </c>
      <c r="AZ13" s="27">
        <f t="shared" ref="AZ13:AZ20" si="12">BA13+BL13</f>
        <v>83247.820000000007</v>
      </c>
      <c r="BA13" s="27">
        <f t="shared" ref="BA13:BA20" si="13">SUM(BB13:BK13)</f>
        <v>83247.820000000007</v>
      </c>
      <c r="BB13" s="27">
        <f t="shared" ref="BB13:BB20" si="14">IF($D13="是",I13-J13,0)</f>
        <v>83247.820000000007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9647.75</v>
      </c>
      <c r="F14" s="81"/>
      <c r="G14" s="82">
        <f t="shared" si="7"/>
        <v>15426.7</v>
      </c>
      <c r="H14" s="33">
        <f t="shared" si="8"/>
        <v>15426.7</v>
      </c>
      <c r="I14" s="2991"/>
      <c r="J14" s="2991"/>
      <c r="K14" s="2991">
        <f>结果表一!C3</f>
        <v>15426.7</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9647.75</v>
      </c>
      <c r="AZ14" s="27">
        <f t="shared" si="12"/>
        <v>15426.7</v>
      </c>
      <c r="BA14" s="27">
        <f t="shared" si="13"/>
        <v>15426.7</v>
      </c>
      <c r="BB14" s="27">
        <f t="shared" si="14"/>
        <v>0</v>
      </c>
      <c r="BC14" s="27">
        <f t="shared" si="15"/>
        <v>15426.7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1478.79</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1478.79</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5554.05</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5554.05</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9" t="s">
        <v>0</v>
      </c>
      <c r="B1" s="3399" t="s">
        <v>4</v>
      </c>
      <c r="C1" s="3399" t="s">
        <v>5</v>
      </c>
      <c r="D1" s="3400" t="s">
        <v>40</v>
      </c>
      <c r="E1" s="3400" t="s">
        <v>41</v>
      </c>
      <c r="F1" s="3400"/>
      <c r="G1" s="3400"/>
      <c r="H1" s="3400"/>
      <c r="I1" s="3400"/>
      <c r="J1" s="3400"/>
      <c r="K1" s="3400"/>
      <c r="L1" s="3400"/>
      <c r="M1" s="3400"/>
    </row>
    <row r="2" spans="1:13" ht="27" customHeight="1">
      <c r="A2" s="3399"/>
      <c r="B2" s="3399"/>
      <c r="C2" s="3399"/>
      <c r="D2" s="3400"/>
      <c r="E2" s="3400" t="s">
        <v>24</v>
      </c>
      <c r="F2" s="3400" t="s">
        <v>25</v>
      </c>
      <c r="G2" s="3400"/>
      <c r="H2" s="3400"/>
      <c r="I2" s="3400"/>
      <c r="J2" s="3400" t="s">
        <v>26</v>
      </c>
      <c r="K2" s="3400"/>
      <c r="L2" s="3400"/>
      <c r="M2" s="3400"/>
    </row>
    <row r="3" spans="1:13" ht="28.5">
      <c r="A3" s="3399"/>
      <c r="B3" s="3399"/>
      <c r="C3" s="3399"/>
      <c r="D3" s="3400"/>
      <c r="E3" s="34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0" t="s">
        <v>42</v>
      </c>
      <c r="B9" s="3400"/>
      <c r="C9" s="34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N10" sqref="N1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410" t="s">
        <v>202</v>
      </c>
      <c r="B2" s="3410"/>
      <c r="C2" s="3410"/>
      <c r="D2" s="1973" t="s">
        <v>203</v>
      </c>
      <c r="E2" s="106" t="s">
        <v>204</v>
      </c>
      <c r="F2" s="1982"/>
      <c r="G2" s="1197"/>
      <c r="H2" s="1198"/>
      <c r="I2" s="1199" t="s">
        <v>856</v>
      </c>
      <c r="J2" s="1982"/>
      <c r="K2" s="1982"/>
      <c r="L2" s="1982"/>
    </row>
    <row r="3" spans="1:16" ht="15.75" thickBot="1">
      <c r="A3" s="3411" t="s">
        <v>205</v>
      </c>
      <c r="B3" s="3411"/>
      <c r="C3" s="3411"/>
      <c r="D3" s="107">
        <f>'数据-基础表'!AY6</f>
        <v>68743.19</v>
      </c>
      <c r="E3" s="107">
        <f>'数据-基础表'!AZ5</f>
        <v>109920</v>
      </c>
      <c r="F3" s="1982"/>
      <c r="G3" s="280" t="s">
        <v>857</v>
      </c>
      <c r="H3" s="275" t="s">
        <v>858</v>
      </c>
      <c r="I3" s="1974">
        <f>ROUND('数据-基础表'!B3/'数据-基础表'!A3,2)</f>
        <v>1.6</v>
      </c>
      <c r="J3" s="1982"/>
      <c r="K3" s="1982"/>
      <c r="L3" s="1982"/>
    </row>
    <row r="4" spans="1:16" ht="15">
      <c r="A4" s="3412"/>
      <c r="B4" s="3413"/>
      <c r="C4" s="3414"/>
      <c r="D4" s="108" t="s">
        <v>203</v>
      </c>
      <c r="E4" s="109" t="s">
        <v>204</v>
      </c>
      <c r="F4" s="1982"/>
      <c r="G4" s="1200"/>
      <c r="H4" s="275" t="s">
        <v>859</v>
      </c>
      <c r="I4" s="1974">
        <f>ROUND(SUMIF('数据-基础表'!I9:AS9,"地上",'数据-基础表'!I5:AS5)/'数据-基础表'!A3,2)</f>
        <v>1.44</v>
      </c>
      <c r="J4" s="1982"/>
      <c r="K4" s="1982"/>
      <c r="L4" s="1982"/>
    </row>
    <row r="5" spans="1:16">
      <c r="A5" s="110" t="s">
        <v>206</v>
      </c>
      <c r="B5" s="3415" t="s">
        <v>229</v>
      </c>
      <c r="C5" s="3415"/>
      <c r="D5" s="111">
        <f>ROUND($D$3*E5/$E$3,2)</f>
        <v>52062.6</v>
      </c>
      <c r="E5" s="112">
        <f>SUMIF('数据-基础表'!$11:$11,"住宅",'数据-基础表'!$5:$5)</f>
        <v>83247.820000000007</v>
      </c>
      <c r="F5" s="1982"/>
      <c r="G5" s="280" t="s">
        <v>860</v>
      </c>
      <c r="H5" s="275" t="s">
        <v>858</v>
      </c>
      <c r="I5" s="1974">
        <f>ROUND(E31/D31,2)</f>
        <v>1.6</v>
      </c>
      <c r="J5" s="1982"/>
      <c r="K5" s="1982"/>
      <c r="L5" s="1982"/>
    </row>
    <row r="6" spans="1:16" ht="15" thickBot="1">
      <c r="A6" s="113"/>
      <c r="B6" s="3415" t="s">
        <v>207</v>
      </c>
      <c r="C6" s="3415"/>
      <c r="D6" s="111">
        <f>ROUND($D$3*E6/$E$3,2)</f>
        <v>16680.59</v>
      </c>
      <c r="E6" s="112">
        <f>E3-E5</f>
        <v>26672.179999999993</v>
      </c>
      <c r="F6" s="1982"/>
      <c r="G6" s="1200"/>
      <c r="H6" s="275" t="s">
        <v>859</v>
      </c>
      <c r="I6" s="1974">
        <f>ROUND(F31/D31,2)</f>
        <v>1.44</v>
      </c>
      <c r="J6" s="1982"/>
      <c r="K6" s="1982"/>
      <c r="L6" s="1982"/>
    </row>
    <row r="7" spans="1:16" ht="15">
      <c r="A7" s="3407"/>
      <c r="B7" s="3408"/>
      <c r="C7" s="3409"/>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61710.35</v>
      </c>
      <c r="E8" s="116">
        <f>SUMIF('数据-基础表'!BB10:BK10,"地上",'数据-基础表'!BB5:BK5)</f>
        <v>98674.52</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1478.79</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5554.05</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109920</v>
      </c>
      <c r="F16" s="1982"/>
      <c r="G16" s="1984"/>
      <c r="H16" s="967" t="s">
        <v>218</v>
      </c>
      <c r="I16" s="968"/>
      <c r="J16" s="1982"/>
      <c r="K16" s="3401" t="s">
        <v>2566</v>
      </c>
      <c r="L16" s="3402"/>
      <c r="M16" s="3402"/>
      <c r="N16" s="3402"/>
      <c r="O16" s="3402"/>
      <c r="P16" s="3403"/>
    </row>
    <row r="17" spans="1:19" ht="15">
      <c r="A17" s="121" t="s">
        <v>215</v>
      </c>
      <c r="B17" s="122" t="s">
        <v>216</v>
      </c>
      <c r="C17" s="2296" t="s">
        <v>2313</v>
      </c>
      <c r="D17" s="108" t="s">
        <v>203</v>
      </c>
      <c r="E17" s="124" t="s">
        <v>204</v>
      </c>
      <c r="F17" s="125"/>
      <c r="G17" s="1364"/>
      <c r="H17" s="969" t="s">
        <v>217</v>
      </c>
      <c r="I17" s="970" t="s">
        <v>2312</v>
      </c>
      <c r="J17" s="1982"/>
      <c r="K17" s="3404" t="s">
        <v>2567</v>
      </c>
      <c r="L17" s="3405"/>
      <c r="M17" s="3406"/>
      <c r="N17" s="3404" t="s">
        <v>2568</v>
      </c>
      <c r="O17" s="3405"/>
      <c r="P17" s="3406"/>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52062.6</v>
      </c>
      <c r="E19" s="134">
        <f t="shared" ref="E19:E26" si="2">SUM(F19:G19)</f>
        <v>83247.820000000007</v>
      </c>
      <c r="F19" s="135">
        <f>'数据-基础表'!I13</f>
        <v>83247.820000000007</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52062.6</v>
      </c>
      <c r="S19" s="2299">
        <f t="shared" si="5"/>
        <v>83247.820000000007</v>
      </c>
    </row>
    <row r="20" spans="1:19">
      <c r="A20" s="138"/>
      <c r="B20" s="115" t="s">
        <v>225</v>
      </c>
      <c r="C20" s="2998" t="s">
        <v>3020</v>
      </c>
      <c r="D20" s="111">
        <f t="shared" si="1"/>
        <v>9647.75</v>
      </c>
      <c r="E20" s="134">
        <f t="shared" si="2"/>
        <v>15426.7</v>
      </c>
      <c r="F20" s="135">
        <f>'数据-基础表'!K14</f>
        <v>15426.7</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9647.75</v>
      </c>
      <c r="S20" s="2299">
        <f t="shared" si="5"/>
        <v>15426.7</v>
      </c>
    </row>
    <row r="21" spans="1:19">
      <c r="A21" s="138"/>
      <c r="B21" s="115" t="s">
        <v>225</v>
      </c>
      <c r="C21" s="2998" t="s">
        <v>3021</v>
      </c>
      <c r="D21" s="111">
        <f t="shared" si="1"/>
        <v>1478.79</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1478.79</v>
      </c>
      <c r="S21" s="2299">
        <f t="shared" si="5"/>
        <v>2364.58</v>
      </c>
    </row>
    <row r="22" spans="1:19">
      <c r="A22" s="138"/>
      <c r="B22" s="115" t="s">
        <v>225</v>
      </c>
      <c r="C22" s="3193" t="s">
        <v>3022</v>
      </c>
      <c r="D22" s="111">
        <f t="shared" si="1"/>
        <v>5554.05</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5554.05</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214</v>
      </c>
      <c r="D27" s="134">
        <f>SUM(D19:D26)</f>
        <v>68743.19</v>
      </c>
      <c r="E27" s="143">
        <f>IF(SUM(E19:E26)='数据-基础表'!BA5,SUM(E19:E26),IF(F27="地上面积有误","面积有误","地下面积有误"))</f>
        <v>109920</v>
      </c>
      <c r="F27" s="134">
        <f>IF(SUM(F19:F26)=E8,SUM(F19:F26),"地上面积有误")</f>
        <v>98674.52</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68743.19</v>
      </c>
      <c r="S27" s="275">
        <f>IF(SUM(S19:S26)=$E$3,SUM(S19:S26),SUM(S19:S26)&amp;"误差"&amp;ROUND(SUM(S19:S26)-E3,2))</f>
        <v>109920</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68743.19</v>
      </c>
      <c r="E31" s="1370">
        <f>E27+E30</f>
        <v>109920</v>
      </c>
      <c r="F31" s="1371">
        <f>F27+F30</f>
        <v>98674.52</v>
      </c>
      <c r="G31" s="1372">
        <f>G27+G30</f>
        <v>11245.48</v>
      </c>
      <c r="H31" s="1982"/>
      <c r="I31" s="1982"/>
      <c r="J31" s="1982"/>
      <c r="K31" s="1982"/>
      <c r="L31" s="1982"/>
    </row>
    <row r="32" spans="1:19">
      <c r="A32" s="1982"/>
      <c r="B32" s="2340" t="s">
        <v>2321</v>
      </c>
      <c r="C32" s="2624"/>
      <c r="D32" s="1200"/>
      <c r="E32" s="1200">
        <f>SUMIF(C19:C26,"*住宅*",E19:E26)</f>
        <v>83247.820000000007</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Z22" sqref="Z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63619</v>
      </c>
      <c r="F6" s="174">
        <f>SUMIF(项目基本情况!D$15:I$15,C6,项目基本情况!D$19:I$19)</f>
        <v>55.04</v>
      </c>
      <c r="G6" s="175">
        <f>IF(ISERROR(ROUND(POWER(1+H6,D6-F6)*(POWER(1+H6,F6)-1)/(POWER(1+H6,D6)-1),3)),0,ROUND(POWER(1+H6,D6-F6)*(POWER(1+H6,F6)-1)/(POWER(1+H6,D6)-1),3))</f>
        <v>0.94499999999999995</v>
      </c>
      <c r="H6" s="2999">
        <v>0.04</v>
      </c>
      <c r="I6" s="2999">
        <v>4.4999999999999998E-2</v>
      </c>
      <c r="J6" s="176">
        <v>0.06</v>
      </c>
      <c r="K6" s="179">
        <f>SUMIF('数据-汇总表'!C$19:C$33,'数据-取费表'!A6,'数据-汇总表'!E$19:E$33)</f>
        <v>83247.820000000007</v>
      </c>
      <c r="L6" s="3000">
        <v>2600</v>
      </c>
      <c r="M6" s="177">
        <f t="shared" ref="M6:M14" si="0">ROUND(K6*L6/10000,0)</f>
        <v>21644</v>
      </c>
      <c r="N6" s="3001">
        <v>0</v>
      </c>
      <c r="O6" s="177">
        <f>IF($N$5="成新度","——",ROUND(M6*N6,0))</f>
        <v>0</v>
      </c>
      <c r="P6" s="178">
        <f>IF($N$5="成新度","——",M6-O6)</f>
        <v>21644</v>
      </c>
      <c r="Q6" s="3002">
        <v>0.3</v>
      </c>
      <c r="R6" s="179">
        <f>SUMIF('数据-汇总表'!C$19:C$33,A6,'数据-汇总表'!R$19:R$33)</f>
        <v>52062.6</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0.88500000000000001</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hidden="1">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15426.7</v>
      </c>
      <c r="L7" s="3000">
        <v>2800</v>
      </c>
      <c r="M7" s="177">
        <f t="shared" si="0"/>
        <v>4319</v>
      </c>
      <c r="N7" s="3001">
        <v>0</v>
      </c>
      <c r="O7" s="177">
        <f t="shared" ref="O7:O14" si="3">IF($N$5="成新度","——",ROUND(M7*N7,0))</f>
        <v>0</v>
      </c>
      <c r="P7" s="178">
        <f t="shared" ref="P7:P14" si="4">IF($N$5="成新度","——",M7-O7)</f>
        <v>4319</v>
      </c>
      <c r="Q7" s="3002">
        <v>0.3</v>
      </c>
      <c r="R7" s="179">
        <f>SUMIF('数据-汇总表'!C$19:C$33,A7,'数据-汇总表'!R$19:R$33)</f>
        <v>9647.75</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56314</v>
      </c>
      <c r="F8" s="174">
        <f>SUMIF(项目基本情况!D$15:I$15,C8,项目基本情况!D$19:I$19)</f>
        <v>35.03</v>
      </c>
      <c r="G8" s="175">
        <f t="shared" si="2"/>
        <v>0.83599999999999997</v>
      </c>
      <c r="H8" s="3298">
        <v>0.03</v>
      </c>
      <c r="I8" s="3298">
        <v>3.5000000000000003E-2</v>
      </c>
      <c r="J8" s="3299">
        <v>4.4999999999999998E-2</v>
      </c>
      <c r="K8" s="179">
        <f>SUMIF('数据-汇总表'!C$19:C$33,'数据-取费表'!A8,'数据-汇总表'!E$19:E$33)</f>
        <v>2364.58</v>
      </c>
      <c r="L8" s="3293">
        <v>1800</v>
      </c>
      <c r="M8" s="177">
        <f>ROUND(K8*L8/10000,2)</f>
        <v>425.62</v>
      </c>
      <c r="N8" s="3001">
        <v>0</v>
      </c>
      <c r="O8" s="177">
        <f t="shared" si="3"/>
        <v>0</v>
      </c>
      <c r="P8" s="178">
        <f t="shared" si="4"/>
        <v>425.62</v>
      </c>
      <c r="Q8" s="3295">
        <v>0.12</v>
      </c>
      <c r="R8" s="179">
        <f>SUMIF('数据-汇总表'!C$19:C$33,A8,'数据-汇总表'!R$19:R$33)</f>
        <v>1478.79</v>
      </c>
      <c r="S8" s="132">
        <f>IF('数据-汇总表'!$I$17="按面积比例",SUMIF('数据-汇总表'!C$19:C$33,A8,'数据-汇总表'!K$19:K$33),SUMIF('数据-汇总表'!C$19:C$33,A8,'数据-汇总表'!N$19:N$33))</f>
        <v>0</v>
      </c>
      <c r="T8" s="2232" t="str">
        <f t="shared" si="5"/>
        <v>0</v>
      </c>
      <c r="U8" s="180">
        <v>1.5</v>
      </c>
      <c r="V8" s="181">
        <v>0.01</v>
      </c>
      <c r="W8" s="181">
        <v>0.1</v>
      </c>
      <c r="X8" s="2319"/>
      <c r="Y8" s="182">
        <v>1</v>
      </c>
      <c r="Z8" s="183"/>
      <c r="AA8" s="176"/>
      <c r="AB8" s="176"/>
      <c r="AC8" s="2322"/>
      <c r="AD8" s="184"/>
      <c r="AE8" s="971">
        <f t="shared" ca="1" si="6"/>
        <v>35.03</v>
      </c>
      <c r="AF8" s="3294">
        <f>F8</f>
        <v>35.03</v>
      </c>
      <c r="AG8" s="1212">
        <f t="shared" ca="1" si="7"/>
        <v>0</v>
      </c>
      <c r="AH8" s="141">
        <f>'数据-基础表'!M15</f>
        <v>2364.58</v>
      </c>
      <c r="AI8" s="187">
        <v>365</v>
      </c>
      <c r="AJ8" s="188"/>
      <c r="AK8" s="189">
        <v>0.01</v>
      </c>
      <c r="AL8" s="190">
        <v>1E-3</v>
      </c>
      <c r="AM8" s="2367">
        <v>0.01</v>
      </c>
      <c r="AN8" s="2369" t="s">
        <v>3174</v>
      </c>
      <c r="AO8" s="1998"/>
      <c r="AP8" s="1203">
        <f t="shared" si="8"/>
        <v>0.64500000000000002</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5554.05</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0.91600000000000004</v>
      </c>
      <c r="H16" s="203">
        <f>ROUND(SUMPRODUCT(H6:H13,K6:K13)/SUMPRODUCT((H6:H13&gt;0)*(K6:K13)),3)</f>
        <v>0.04</v>
      </c>
      <c r="I16" s="204"/>
      <c r="J16" s="204"/>
      <c r="K16" s="205">
        <f>SUM(K6:K15)</f>
        <v>109920</v>
      </c>
      <c r="L16" s="206">
        <f>ROUND(M16*10000/SUM(K6:K14),0)</f>
        <v>2562</v>
      </c>
      <c r="M16" s="206">
        <f>SUM(M6:M14)</f>
        <v>28164.62</v>
      </c>
      <c r="N16" s="207">
        <f>ROUND(SUMPRODUCT(M6:M14,N6:N14)/M16,3)</f>
        <v>0</v>
      </c>
      <c r="O16" s="206">
        <f>SUM(O6:O14)</f>
        <v>0</v>
      </c>
      <c r="P16" s="206">
        <f>SUM(P6:P14)</f>
        <v>28164.62</v>
      </c>
      <c r="Q16" s="208">
        <f>ROUND(SUMPRODUCT(Q6:Q13,K6:K13)/SUMPRODUCT((Q6:Q13&gt;0)*(K6:K13)),2)</f>
        <v>0.3</v>
      </c>
      <c r="R16" s="2309">
        <f>SUM(R6:R13)</f>
        <v>68743.19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0.83399999999999996</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0.01</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0.01</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3019" t="s">
        <v>2843</v>
      </c>
      <c r="B1" s="3019">
        <f>SUM(B14:B23)</f>
        <v>109920</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79492</v>
      </c>
      <c r="C5" s="3019">
        <f ca="1">ROUND(B5*10000/$B$1,0)</f>
        <v>7232</v>
      </c>
      <c r="D5" s="3019">
        <f ca="1">ROUND(B5*10000/$B$2,0)</f>
        <v>11564</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109920</v>
      </c>
      <c r="C14" s="3023">
        <f>结果表!K38</f>
        <v>68743.19</v>
      </c>
      <c r="D14" s="3023">
        <f ca="1">结果表!C42</f>
        <v>79492</v>
      </c>
      <c r="E14" s="3023">
        <f ca="1">ROUND(D14*10000/B14,0)</f>
        <v>7232</v>
      </c>
      <c r="F14" s="3023">
        <f ca="1">ROUND(D14*10000/C14,0)</f>
        <v>11564</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Normal="100" zoomScaleSheetLayoutView="100" zoomScalePageLayoutView="80" workbookViewId="0">
      <selection activeCell="I20" sqref="I2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3071</v>
      </c>
      <c r="E1" s="1803" t="s">
        <v>2057</v>
      </c>
      <c r="F1" s="1805" t="s">
        <v>3072</v>
      </c>
      <c r="G1" s="311"/>
      <c r="H1" s="311"/>
      <c r="I1" s="311"/>
      <c r="J1" s="2027"/>
      <c r="K1" s="2027"/>
      <c r="L1" s="2027"/>
      <c r="M1" s="2027"/>
      <c r="N1" s="2027"/>
      <c r="O1" s="2027"/>
      <c r="P1" s="2027"/>
      <c r="Q1" s="2027"/>
      <c r="R1" s="2027"/>
      <c r="S1" s="2027"/>
      <c r="T1" s="2027"/>
      <c r="U1" s="2027"/>
      <c r="V1" s="2027"/>
    </row>
    <row r="2" spans="1:22" ht="21.75" customHeight="1" thickBot="1">
      <c r="A2" s="3452" t="str">
        <f>项目基本情况!K2</f>
        <v>北京市出让国有建设用地使用权</v>
      </c>
      <c r="B2" s="3453"/>
      <c r="C2" s="3454"/>
      <c r="D2" s="3454"/>
      <c r="E2" s="3454"/>
      <c r="F2" s="3454"/>
      <c r="G2" s="3453"/>
      <c r="H2" s="3453"/>
      <c r="I2" s="3455"/>
      <c r="J2" s="2028"/>
      <c r="K2" s="2027"/>
      <c r="L2" s="2027"/>
      <c r="M2" s="2027"/>
      <c r="N2" s="2027"/>
      <c r="O2" s="2027"/>
      <c r="P2" s="2027"/>
      <c r="Q2" s="2027"/>
      <c r="R2" s="2027"/>
      <c r="S2" s="2027"/>
      <c r="T2" s="2027"/>
      <c r="U2" s="2027"/>
      <c r="V2" s="2027"/>
    </row>
    <row r="3" spans="1:22" ht="14.25">
      <c r="A3" s="3445" t="s">
        <v>297</v>
      </c>
      <c r="B3" s="3446"/>
      <c r="C3" s="3446"/>
      <c r="D3" s="3446"/>
      <c r="E3" s="3446"/>
      <c r="F3" s="3446"/>
      <c r="G3" s="3446"/>
      <c r="H3" s="3446"/>
      <c r="I3" s="3446"/>
      <c r="J3" s="2028"/>
      <c r="K3" s="2027"/>
      <c r="L3" s="2027"/>
      <c r="M3" s="2027"/>
      <c r="N3" s="2027"/>
      <c r="O3" s="2027"/>
      <c r="P3" s="2027"/>
      <c r="Q3" s="2027"/>
      <c r="R3" s="2027"/>
      <c r="S3" s="2027"/>
      <c r="T3" s="2027"/>
      <c r="U3" s="2027"/>
      <c r="V3" s="2027"/>
    </row>
    <row r="4" spans="1:22" ht="14.25">
      <c r="A4" s="258" t="s">
        <v>298</v>
      </c>
      <c r="B4" s="259" t="s">
        <v>299</v>
      </c>
      <c r="C4" s="260" t="s">
        <v>3220</v>
      </c>
      <c r="D4" s="260" t="s">
        <v>3197</v>
      </c>
      <c r="E4" s="3417" t="s">
        <v>300</v>
      </c>
      <c r="F4" s="3418"/>
      <c r="G4" s="3418"/>
      <c r="H4" s="3418"/>
      <c r="I4" s="3447"/>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416" t="s">
        <v>301</v>
      </c>
      <c r="B5" s="3442">
        <v>25</v>
      </c>
      <c r="C5" s="3440">
        <v>0.5</v>
      </c>
      <c r="D5" s="3444">
        <v>0.5</v>
      </c>
      <c r="E5" s="261" t="s">
        <v>302</v>
      </c>
      <c r="F5" s="262"/>
      <c r="G5" s="262"/>
      <c r="H5" s="262"/>
      <c r="I5" s="263"/>
      <c r="J5" s="2028"/>
      <c r="K5" s="2027"/>
      <c r="L5" s="2027"/>
      <c r="M5" s="2027"/>
      <c r="N5" s="2027"/>
      <c r="O5" s="2027"/>
      <c r="P5" s="2027"/>
      <c r="Q5" s="2027"/>
      <c r="R5" s="2027"/>
      <c r="S5" s="2027"/>
      <c r="T5" s="2027"/>
      <c r="U5" s="2027"/>
      <c r="V5" s="2027"/>
    </row>
    <row r="6" spans="1:22" ht="14.25">
      <c r="A6" s="3416"/>
      <c r="B6" s="3442"/>
      <c r="C6" s="3443"/>
      <c r="D6" s="3444"/>
      <c r="E6" s="261" t="s">
        <v>303</v>
      </c>
      <c r="F6" s="262"/>
      <c r="G6" s="262"/>
      <c r="H6" s="262"/>
      <c r="I6" s="263"/>
      <c r="J6" s="2028"/>
      <c r="K6" s="2027"/>
      <c r="L6" s="2027"/>
      <c r="M6" s="2027"/>
      <c r="N6" s="2027"/>
      <c r="O6" s="2027"/>
      <c r="P6" s="2027"/>
      <c r="Q6" s="2027"/>
      <c r="R6" s="2027"/>
      <c r="S6" s="2027"/>
      <c r="T6" s="2027"/>
      <c r="U6" s="2027"/>
      <c r="V6" s="2027"/>
    </row>
    <row r="7" spans="1:22" ht="14.25">
      <c r="A7" s="3416"/>
      <c r="B7" s="3442"/>
      <c r="C7" s="3441"/>
      <c r="D7" s="3444"/>
      <c r="E7" s="261" t="s">
        <v>304</v>
      </c>
      <c r="F7" s="262"/>
      <c r="G7" s="262"/>
      <c r="H7" s="262"/>
      <c r="I7" s="263"/>
      <c r="J7" s="2028"/>
      <c r="K7" s="2027"/>
      <c r="L7" s="2027"/>
      <c r="M7" s="2027"/>
      <c r="N7" s="2027"/>
      <c r="O7" s="2027"/>
      <c r="P7" s="2027"/>
      <c r="Q7" s="2027"/>
      <c r="R7" s="2027"/>
      <c r="S7" s="2027"/>
      <c r="T7" s="2027"/>
      <c r="U7" s="2027"/>
      <c r="V7" s="2027"/>
    </row>
    <row r="8" spans="1:22" ht="14.25">
      <c r="A8" s="3416" t="s">
        <v>305</v>
      </c>
      <c r="B8" s="3442">
        <v>15</v>
      </c>
      <c r="C8" s="3440"/>
      <c r="D8" s="3444"/>
      <c r="E8" s="261" t="s">
        <v>306</v>
      </c>
      <c r="F8" s="262"/>
      <c r="G8" s="262"/>
      <c r="H8" s="262"/>
      <c r="I8" s="263"/>
      <c r="J8" s="2028"/>
      <c r="K8" s="2027"/>
      <c r="L8" s="2027"/>
      <c r="M8" s="2027"/>
      <c r="N8" s="2027"/>
      <c r="O8" s="2027"/>
      <c r="P8" s="2027"/>
      <c r="Q8" s="2027"/>
      <c r="R8" s="2027"/>
      <c r="S8" s="2027"/>
      <c r="T8" s="2027"/>
      <c r="U8" s="2027"/>
      <c r="V8" s="2027"/>
    </row>
    <row r="9" spans="1:22" ht="14.25">
      <c r="A9" s="3416"/>
      <c r="B9" s="3442"/>
      <c r="C9" s="3441"/>
      <c r="D9" s="3444"/>
      <c r="E9" s="261" t="s">
        <v>307</v>
      </c>
      <c r="F9" s="262"/>
      <c r="G9" s="262"/>
      <c r="H9" s="262"/>
      <c r="I9" s="263"/>
      <c r="J9" s="2028"/>
      <c r="K9" s="2027"/>
      <c r="L9" s="2027"/>
      <c r="M9" s="2027"/>
      <c r="N9" s="2027"/>
      <c r="O9" s="2027"/>
      <c r="P9" s="2027"/>
      <c r="Q9" s="2027"/>
      <c r="R9" s="2027"/>
      <c r="S9" s="2027"/>
      <c r="T9" s="2027"/>
      <c r="U9" s="2027"/>
      <c r="V9" s="2027"/>
    </row>
    <row r="10" spans="1:22" ht="14.25">
      <c r="A10" s="3416" t="s">
        <v>308</v>
      </c>
      <c r="B10" s="3442">
        <v>15</v>
      </c>
      <c r="C10" s="3440"/>
      <c r="D10" s="3444"/>
      <c r="E10" s="261" t="s">
        <v>309</v>
      </c>
      <c r="F10" s="262"/>
      <c r="G10" s="262"/>
      <c r="H10" s="262"/>
      <c r="I10" s="263"/>
      <c r="J10" s="2028"/>
      <c r="K10" s="2027"/>
      <c r="L10" s="2027"/>
      <c r="M10" s="2027"/>
      <c r="N10" s="2027"/>
      <c r="O10" s="2027"/>
      <c r="P10" s="2027"/>
      <c r="Q10" s="2027"/>
      <c r="R10" s="2027"/>
      <c r="S10" s="2027"/>
      <c r="T10" s="2027"/>
      <c r="U10" s="2027"/>
      <c r="V10" s="2027"/>
    </row>
    <row r="11" spans="1:22" ht="14.25">
      <c r="A11" s="3416"/>
      <c r="B11" s="3442"/>
      <c r="C11" s="3441"/>
      <c r="D11" s="3444"/>
      <c r="E11" s="261" t="s">
        <v>310</v>
      </c>
      <c r="F11" s="262"/>
      <c r="G11" s="262"/>
      <c r="H11" s="262"/>
      <c r="I11" s="263"/>
      <c r="J11" s="2028"/>
      <c r="K11" s="2027"/>
      <c r="L11" s="2027"/>
      <c r="M11" s="2027"/>
      <c r="N11" s="2027"/>
      <c r="O11" s="2027"/>
      <c r="P11" s="2027"/>
      <c r="Q11" s="2027"/>
      <c r="R11" s="2027"/>
      <c r="S11" s="2027"/>
      <c r="T11" s="2027"/>
      <c r="U11" s="2027"/>
      <c r="V11" s="2027"/>
    </row>
    <row r="12" spans="1:22" ht="14.25">
      <c r="A12" s="3416" t="s">
        <v>311</v>
      </c>
      <c r="B12" s="3442">
        <v>15</v>
      </c>
      <c r="C12" s="3440"/>
      <c r="D12" s="3444"/>
      <c r="E12" s="261" t="s">
        <v>312</v>
      </c>
      <c r="F12" s="262"/>
      <c r="G12" s="262"/>
      <c r="H12" s="262"/>
      <c r="I12" s="263"/>
      <c r="J12" s="2028"/>
      <c r="K12" s="2027"/>
      <c r="L12" s="2027"/>
      <c r="M12" s="2027"/>
      <c r="N12" s="2027"/>
      <c r="O12" s="2027"/>
      <c r="P12" s="2027"/>
      <c r="Q12" s="2027"/>
      <c r="R12" s="2027"/>
      <c r="S12" s="2027"/>
      <c r="T12" s="2027"/>
      <c r="U12" s="2027"/>
      <c r="V12" s="2027"/>
    </row>
    <row r="13" spans="1:22" ht="14.25">
      <c r="A13" s="3416"/>
      <c r="B13" s="3442"/>
      <c r="C13" s="3441"/>
      <c r="D13" s="3444"/>
      <c r="E13" s="261" t="s">
        <v>313</v>
      </c>
      <c r="F13" s="262"/>
      <c r="G13" s="262"/>
      <c r="H13" s="262"/>
      <c r="I13" s="263"/>
      <c r="J13" s="2028"/>
      <c r="K13" s="2027"/>
      <c r="L13" s="2027"/>
      <c r="M13" s="2027"/>
      <c r="N13" s="2027"/>
      <c r="O13" s="2027"/>
      <c r="P13" s="2027"/>
      <c r="Q13" s="2027"/>
      <c r="R13" s="2027"/>
      <c r="S13" s="2027"/>
      <c r="T13" s="2027"/>
      <c r="U13" s="2027"/>
      <c r="V13" s="2027"/>
    </row>
    <row r="14" spans="1:22" ht="14.25">
      <c r="A14" s="3416" t="s">
        <v>314</v>
      </c>
      <c r="B14" s="3442">
        <v>30</v>
      </c>
      <c r="C14" s="3440"/>
      <c r="D14" s="3444"/>
      <c r="E14" s="261" t="s">
        <v>315</v>
      </c>
      <c r="F14" s="262"/>
      <c r="G14" s="262"/>
      <c r="H14" s="262"/>
      <c r="I14" s="263"/>
      <c r="J14" s="2028"/>
      <c r="K14" s="2027"/>
      <c r="L14" s="2027"/>
      <c r="M14" s="2027"/>
      <c r="N14" s="2027"/>
      <c r="O14" s="2027"/>
      <c r="P14" s="2027"/>
      <c r="Q14" s="2027"/>
      <c r="R14" s="2027"/>
      <c r="S14" s="2027"/>
      <c r="T14" s="2027"/>
      <c r="U14" s="2027"/>
      <c r="V14" s="2027"/>
    </row>
    <row r="15" spans="1:22" ht="14.25">
      <c r="A15" s="3416"/>
      <c r="B15" s="3442"/>
      <c r="C15" s="3443"/>
      <c r="D15" s="3444"/>
      <c r="E15" s="261" t="s">
        <v>316</v>
      </c>
      <c r="F15" s="262"/>
      <c r="G15" s="262"/>
      <c r="H15" s="262"/>
      <c r="I15" s="263"/>
      <c r="J15" s="2028"/>
      <c r="K15" s="2027"/>
      <c r="L15" s="2027"/>
      <c r="M15" s="2027"/>
      <c r="N15" s="2027"/>
      <c r="O15" s="2027"/>
      <c r="P15" s="2027"/>
      <c r="Q15" s="2027"/>
      <c r="R15" s="2027"/>
      <c r="S15" s="2027"/>
      <c r="T15" s="2027"/>
      <c r="U15" s="2027"/>
      <c r="V15" s="2027"/>
    </row>
    <row r="16" spans="1:22" ht="14.25">
      <c r="A16" s="3416"/>
      <c r="B16" s="3442"/>
      <c r="C16" s="3441"/>
      <c r="D16" s="3444"/>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0.5</v>
      </c>
      <c r="D17" s="265">
        <f>SUM(D5:D16)</f>
        <v>0.5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1040.0899999999999</v>
      </c>
      <c r="D19" s="271">
        <f ca="1">SUMIF(INDIRECT("'"&amp;D4&amp;"'"&amp;"!A:A"),结果表!B19,INDIRECT("'"&amp;D4&amp;"'"&amp;"!B:B"))</f>
        <v>157943</v>
      </c>
      <c r="E19" s="268" t="s">
        <v>322</v>
      </c>
      <c r="F19" s="269" t="s">
        <v>321</v>
      </c>
      <c r="G19" s="272">
        <f ca="1">ROUND(C19*$C$18+D19*$D$18,0)</f>
        <v>79492</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4399</v>
      </c>
      <c r="D20" s="277">
        <f ca="1">SUMIF(INDIRECT("'"&amp;D4&amp;"'"&amp;"!A:A"),结果表!B20,INDIRECT("'"&amp;D4&amp;"'"&amp;"!B:B"))</f>
        <v>16519</v>
      </c>
      <c r="E20" s="274"/>
      <c r="F20" s="275" t="s">
        <v>324</v>
      </c>
      <c r="G20" s="278">
        <f ca="1">ROUND(C20*$C$18+D20*$D$18,0)</f>
        <v>10459</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7033</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150.85512792162217</v>
      </c>
      <c r="E22" s="284"/>
      <c r="F22" s="285"/>
      <c r="G22" s="286">
        <f ca="1">ROUND(G19/('数据-汇总表'!D3/666.67),0)</f>
        <v>771</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422"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423"/>
      <c r="B25" s="1320" t="s">
        <v>330</v>
      </c>
      <c r="C25" s="290">
        <f>IF(B30=0,0,C30)</f>
        <v>0</v>
      </c>
      <c r="D25" s="291"/>
      <c r="E25" s="311"/>
      <c r="F25" s="311"/>
      <c r="G25" s="311"/>
      <c r="H25" s="311"/>
      <c r="I25" s="311"/>
      <c r="J25" s="2027"/>
      <c r="K25" s="1254" t="str">
        <f ca="1">项目基本情况!B16&amp;"国有建设用地使用权价格："&amp;O38&amp;"万元"</f>
        <v>出让国有建设用地使用权价格：79492万元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大写金额：人民币柒亿玖仟肆佰玖拾贰万元整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单位面积地价：11564元/平方米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楼面地价：7232元/平方米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79492</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7232</v>
      </c>
      <c r="D33" s="1384" t="s">
        <v>1691</v>
      </c>
      <c r="E33" s="3422"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11564</v>
      </c>
      <c r="D34" s="1386" t="s">
        <v>1691</v>
      </c>
      <c r="E34" s="3463"/>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771</v>
      </c>
      <c r="D35" s="1389" t="s">
        <v>1693</v>
      </c>
      <c r="E35" s="3464"/>
      <c r="F35" s="301" t="s">
        <v>341</v>
      </c>
      <c r="G35" s="981"/>
      <c r="H35" s="980" t="s">
        <v>342</v>
      </c>
      <c r="I35" s="311"/>
      <c r="J35" s="2027"/>
      <c r="K35" s="3437" t="s">
        <v>349</v>
      </c>
      <c r="L35" s="3437" t="s">
        <v>350</v>
      </c>
      <c r="M35" s="1263" t="s">
        <v>351</v>
      </c>
      <c r="N35" s="3437" t="s">
        <v>352</v>
      </c>
      <c r="O35" s="3437" t="s">
        <v>353</v>
      </c>
      <c r="P35" s="2027"/>
      <c r="V35" s="2027"/>
    </row>
    <row r="36" spans="1:26" ht="16.5" customHeight="1">
      <c r="A36" s="303" t="s">
        <v>343</v>
      </c>
      <c r="B36" s="304" t="s">
        <v>332</v>
      </c>
      <c r="C36" s="305" t="s">
        <v>344</v>
      </c>
      <c r="D36" s="305" t="s">
        <v>345</v>
      </c>
      <c r="E36" s="306" t="s">
        <v>346</v>
      </c>
      <c r="F36" s="311"/>
      <c r="G36" s="311"/>
      <c r="H36" s="311"/>
      <c r="I36" s="311"/>
      <c r="J36" s="2029"/>
      <c r="K36" s="3438"/>
      <c r="L36" s="3438"/>
      <c r="M36" s="1265" t="s">
        <v>354</v>
      </c>
      <c r="N36" s="3438"/>
      <c r="O36" s="3438"/>
      <c r="P36" s="2027"/>
      <c r="V36" s="2027"/>
    </row>
    <row r="37" spans="1:26" ht="16.5" customHeight="1" thickBot="1">
      <c r="A37" s="1259" t="s">
        <v>347</v>
      </c>
      <c r="B37" s="307"/>
      <c r="C37" s="294"/>
      <c r="D37" s="294"/>
      <c r="E37" s="295"/>
      <c r="F37" s="311"/>
      <c r="G37" s="311"/>
      <c r="H37" s="311"/>
      <c r="I37" s="311"/>
      <c r="J37" s="2029"/>
      <c r="K37" s="3439"/>
      <c r="L37" s="3439"/>
      <c r="M37" s="1266"/>
      <c r="N37" s="3439"/>
      <c r="O37" s="3439"/>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109920</v>
      </c>
      <c r="M38" s="1268">
        <f ca="1">C34</f>
        <v>11564</v>
      </c>
      <c r="N38" s="1268">
        <f ca="1">C33</f>
        <v>7232</v>
      </c>
      <c r="O38" s="1269">
        <f ca="1">C32</f>
        <v>79492</v>
      </c>
      <c r="P38" s="2027"/>
      <c r="V38" s="2027"/>
    </row>
    <row r="39" spans="1:26" ht="16.5" customHeight="1" thickBot="1">
      <c r="A39" s="1264"/>
      <c r="B39" s="308"/>
      <c r="C39" s="309"/>
      <c r="D39" s="309"/>
      <c r="E39" s="310"/>
      <c r="F39" s="311"/>
      <c r="G39" s="311"/>
      <c r="H39" s="311"/>
      <c r="I39" s="311"/>
      <c r="J39" s="2029"/>
      <c r="K39" s="3482" t="str">
        <f>MID(A44,3,LEN(A44)-2)</f>
        <v/>
      </c>
      <c r="L39" s="3483"/>
      <c r="M39" s="3483"/>
      <c r="N39" s="3484"/>
      <c r="O39" s="1391" t="str">
        <f>C44</f>
        <v>——</v>
      </c>
      <c r="P39" s="2027"/>
      <c r="V39" s="2027"/>
    </row>
    <row r="40" spans="1:26" ht="19.5" thickBot="1">
      <c r="A40" s="104" t="s">
        <v>872</v>
      </c>
      <c r="B40" s="311"/>
      <c r="C40" s="311"/>
      <c r="D40" s="311"/>
      <c r="E40" s="311"/>
      <c r="F40" s="311"/>
      <c r="G40" s="311"/>
      <c r="H40" s="311"/>
      <c r="I40" s="311"/>
      <c r="J40" s="2029"/>
      <c r="K40" s="3482" t="str">
        <f t="shared" ref="K40:K41" si="0">MID(A45,3,LEN(A45)-2)</f>
        <v/>
      </c>
      <c r="L40" s="3483"/>
      <c r="M40" s="3483"/>
      <c r="N40" s="3484"/>
      <c r="O40" s="1391" t="str">
        <f>C45</f>
        <v>——</v>
      </c>
      <c r="P40" s="2027"/>
      <c r="V40" s="2027"/>
    </row>
    <row r="41" spans="1:26" ht="16.5" thickBot="1">
      <c r="A41" s="312" t="s">
        <v>355</v>
      </c>
      <c r="B41" s="313"/>
      <c r="C41" s="314" t="s">
        <v>356</v>
      </c>
      <c r="D41" s="315" t="s">
        <v>357</v>
      </c>
      <c r="E41" s="315" t="s">
        <v>358</v>
      </c>
      <c r="F41" s="316" t="s">
        <v>359</v>
      </c>
      <c r="G41" s="311"/>
      <c r="H41" s="311"/>
      <c r="I41" s="311"/>
      <c r="J41" s="2029"/>
      <c r="K41" s="3482" t="str">
        <f t="shared" si="0"/>
        <v/>
      </c>
      <c r="L41" s="3483"/>
      <c r="M41" s="3483"/>
      <c r="N41" s="3484"/>
      <c r="O41" s="1391" t="str">
        <f>C46</f>
        <v>——</v>
      </c>
      <c r="P41" s="2027"/>
      <c r="V41" s="2027"/>
    </row>
    <row r="42" spans="1:26" ht="29.25">
      <c r="A42" s="3424" t="s">
        <v>2067</v>
      </c>
      <c r="B42" s="3425"/>
      <c r="C42" s="264">
        <f ca="1">C32</f>
        <v>79492</v>
      </c>
      <c r="D42" s="317">
        <f ca="1">C33</f>
        <v>7232</v>
      </c>
      <c r="E42" s="317">
        <f ca="1">C34</f>
        <v>11564</v>
      </c>
      <c r="F42" s="318">
        <f ca="1">C35</f>
        <v>771</v>
      </c>
      <c r="G42" s="311"/>
      <c r="H42" s="311"/>
      <c r="I42" s="319"/>
      <c r="J42" s="2029"/>
      <c r="K42" s="1270" t="s">
        <v>360</v>
      </c>
      <c r="L42" s="2046" t="s">
        <v>361</v>
      </c>
      <c r="M42" s="1271" t="s">
        <v>362</v>
      </c>
      <c r="N42" s="2047" t="s">
        <v>363</v>
      </c>
      <c r="O42" s="2048" t="s">
        <v>364</v>
      </c>
      <c r="P42" s="2027"/>
      <c r="V42" s="2027"/>
    </row>
    <row r="43" spans="1:26" ht="30">
      <c r="A43" s="3435" t="s">
        <v>2730</v>
      </c>
      <c r="B43" s="3436"/>
      <c r="C43" s="264">
        <f>IF(H33="正常操作",G33+G34+G35,G34+G35)</f>
        <v>0</v>
      </c>
      <c r="D43" s="317" t="s">
        <v>43</v>
      </c>
      <c r="E43" s="317" t="s">
        <v>44</v>
      </c>
      <c r="F43" s="318" t="s">
        <v>44</v>
      </c>
      <c r="G43" s="2843" t="s">
        <v>951</v>
      </c>
      <c r="H43" s="311"/>
      <c r="I43" s="319"/>
      <c r="J43" s="2029"/>
      <c r="K43" s="1272" t="str">
        <f>C4</f>
        <v>剩余法-待开发仓储</v>
      </c>
      <c r="L43" s="1273">
        <f ca="1">IF(L42="估价结果/万元",C19,C20)</f>
        <v>1040.0899999999999</v>
      </c>
      <c r="M43" s="1274">
        <f>C18</f>
        <v>0.5</v>
      </c>
      <c r="N43" s="1275">
        <f ca="1">IF(N42="测算结果/万元",G19,G20)</f>
        <v>79492</v>
      </c>
      <c r="O43" s="1276">
        <f ca="1">IF(O42="最终结果/万元",C32,C33)</f>
        <v>79492</v>
      </c>
      <c r="P43" s="2027"/>
      <c r="V43" s="2027"/>
    </row>
    <row r="44" spans="1:26" ht="30.75" thickBot="1">
      <c r="A44" s="3424" t="str">
        <f>IF(OR(项目基本情况!E8="抵押价格",项目基本情况!E8="已注销及未注销"),"3.抵押价格","——")</f>
        <v>——</v>
      </c>
      <c r="B44" s="3425"/>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基准地价-55住宅</v>
      </c>
      <c r="L44" s="1278">
        <f ca="1">IF(L42="估价结果/万元",D19,D20)</f>
        <v>157943</v>
      </c>
      <c r="M44" s="1279">
        <f>D18</f>
        <v>0.5</v>
      </c>
      <c r="N44" s="1280"/>
      <c r="O44" s="1281"/>
      <c r="P44" s="2027"/>
      <c r="V44" s="2027"/>
    </row>
    <row r="45" spans="1:26" ht="15">
      <c r="A45" s="3430" t="str">
        <f>IF(项目基本情况!E8="已注销及未注销","4.抵押担保权已注销时的抵押价格",IF(项目基本情况!E8="已注销","3.抵押担保权已注销时的抵押价格","——"))</f>
        <v>——</v>
      </c>
      <c r="B45" s="3431"/>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26" t="str">
        <f>IF(项目基本情况!E9="抵押净值",IF(A45="——","4.抵押净值","5.抵押净值"),"——")</f>
        <v>——</v>
      </c>
      <c r="B46" s="3427"/>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71" t="s">
        <v>373</v>
      </c>
      <c r="B63" s="3472"/>
      <c r="C63" s="3473"/>
      <c r="D63" s="341">
        <f ca="1">ROUND(C42*F63,0)</f>
        <v>47695</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432" t="s">
        <v>377</v>
      </c>
      <c r="B64" s="3433"/>
      <c r="C64" s="3433"/>
      <c r="D64" s="3433"/>
      <c r="E64" s="3433"/>
      <c r="F64" s="3433"/>
      <c r="G64" s="3434"/>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28" t="s">
        <v>385</v>
      </c>
      <c r="B66" s="3429"/>
      <c r="C66" s="3429"/>
      <c r="D66" s="261">
        <f ca="1">IF(H66="情况1",0,IF(H66="情况2",D70,IF(H66="情况3",D71,IF(H66="情况4",D72))))</f>
        <v>2544</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486" t="s">
        <v>384</v>
      </c>
      <c r="M66" s="3487"/>
      <c r="N66" s="2436"/>
      <c r="O66" s="2437"/>
      <c r="P66" s="2438"/>
      <c r="Q66" s="2027"/>
      <c r="R66" s="2027"/>
      <c r="S66" s="2027"/>
      <c r="T66" s="2027"/>
      <c r="U66" s="2027"/>
      <c r="V66" s="2027"/>
    </row>
    <row r="67" spans="1:22" ht="25.5" customHeight="1">
      <c r="A67" s="352" t="s">
        <v>389</v>
      </c>
      <c r="B67" s="3419" t="s">
        <v>390</v>
      </c>
      <c r="C67" s="3419"/>
      <c r="D67" s="353">
        <v>0</v>
      </c>
      <c r="E67" s="41" t="s">
        <v>391</v>
      </c>
      <c r="F67" s="62" t="s">
        <v>21</v>
      </c>
      <c r="G67" s="3474"/>
      <c r="H67" s="311"/>
      <c r="I67" s="1291"/>
      <c r="J67" s="2034"/>
      <c r="K67" s="1975">
        <v>2</v>
      </c>
      <c r="L67" s="3485" t="s">
        <v>388</v>
      </c>
      <c r="M67" s="3485"/>
      <c r="N67" s="1324">
        <f>'数据-取费表'!B2</f>
        <v>43528</v>
      </c>
      <c r="O67" s="1324"/>
      <c r="P67" s="1324"/>
      <c r="Q67" s="2027"/>
      <c r="R67" s="2027"/>
      <c r="S67" s="2027"/>
      <c r="T67" s="2027"/>
      <c r="U67" s="2027"/>
      <c r="V67" s="2027"/>
    </row>
    <row r="68" spans="1:22" ht="25.5" customHeight="1">
      <c r="A68" s="354"/>
      <c r="B68" s="3419" t="s">
        <v>393</v>
      </c>
      <c r="C68" s="3419"/>
      <c r="D68" s="355"/>
      <c r="E68" s="77"/>
      <c r="F68" s="356"/>
      <c r="G68" s="3475"/>
      <c r="H68" s="311"/>
      <c r="I68" s="1291"/>
      <c r="J68" s="2034"/>
      <c r="K68" s="1975">
        <v>3</v>
      </c>
      <c r="L68" s="3485" t="s">
        <v>392</v>
      </c>
      <c r="M68" s="3485"/>
      <c r="N68" s="1292">
        <f ca="1">C42</f>
        <v>79492</v>
      </c>
      <c r="O68" s="1292"/>
      <c r="P68" s="1292"/>
      <c r="Q68" s="2027"/>
      <c r="R68" s="2027"/>
      <c r="S68" s="2027"/>
      <c r="T68" s="2027"/>
      <c r="U68" s="2027"/>
      <c r="V68" s="2027"/>
    </row>
    <row r="69" spans="1:22" ht="12" customHeight="1">
      <c r="A69" s="357"/>
      <c r="B69" s="3419" t="s">
        <v>394</v>
      </c>
      <c r="C69" s="3419"/>
      <c r="D69" s="358"/>
      <c r="E69" s="73"/>
      <c r="F69" s="356"/>
      <c r="G69" s="3476"/>
      <c r="H69" s="311"/>
      <c r="I69" s="1291"/>
      <c r="J69" s="2034"/>
      <c r="K69" s="1293">
        <v>4</v>
      </c>
      <c r="L69" s="3490" t="s">
        <v>2882</v>
      </c>
      <c r="M69" s="3491"/>
      <c r="N69" s="1294" t="str">
        <f>C44</f>
        <v>——</v>
      </c>
      <c r="O69" s="1294"/>
      <c r="P69" s="1294"/>
      <c r="Q69" s="2027"/>
      <c r="R69" s="2027"/>
      <c r="S69" s="2027"/>
      <c r="T69" s="2027"/>
      <c r="U69" s="2027"/>
      <c r="V69" s="2027"/>
    </row>
    <row r="70" spans="1:22" ht="24" customHeight="1">
      <c r="A70" s="359" t="s">
        <v>395</v>
      </c>
      <c r="B70" s="3419" t="s">
        <v>396</v>
      </c>
      <c r="C70" s="3419"/>
      <c r="D70" s="358">
        <f ca="1">ROUND(D63*'数据-取费表'!B41/(1+'数据-取费表'!C42),0)</f>
        <v>2544</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420" t="s">
        <v>404</v>
      </c>
      <c r="C71" s="3421"/>
      <c r="D71" s="358">
        <f ca="1">ROUND(D63*'数据-取费表'!B41/(1+'数据-取费表'!C42),0)</f>
        <v>2544</v>
      </c>
      <c r="E71" s="17" t="s">
        <v>397</v>
      </c>
      <c r="F71" s="360">
        <f>'数据-取费表'!B41</f>
        <v>5.6000000000000001E-2</v>
      </c>
      <c r="G71" s="361"/>
      <c r="H71" s="311"/>
      <c r="I71" s="1291"/>
      <c r="J71" s="2034"/>
      <c r="K71" s="3035" t="s">
        <v>398</v>
      </c>
      <c r="L71" s="3492" t="s">
        <v>399</v>
      </c>
      <c r="M71" s="3492"/>
      <c r="N71" s="3035" t="s">
        <v>400</v>
      </c>
      <c r="O71" s="3035" t="s">
        <v>401</v>
      </c>
      <c r="P71" s="3035" t="s">
        <v>402</v>
      </c>
      <c r="Q71" s="2027"/>
      <c r="R71" s="2027"/>
      <c r="S71" s="2027"/>
      <c r="T71" s="2027"/>
      <c r="U71" s="2027"/>
      <c r="V71" s="2027"/>
    </row>
    <row r="72" spans="1:22" ht="12" customHeight="1">
      <c r="A72" s="359" t="s">
        <v>406</v>
      </c>
      <c r="B72" s="3420" t="s">
        <v>407</v>
      </c>
      <c r="C72" s="3421"/>
      <c r="D72" s="358">
        <f ca="1">C86</f>
        <v>2432</v>
      </c>
      <c r="E72" s="73" t="s">
        <v>408</v>
      </c>
      <c r="F72" s="360">
        <f>'数据-取费表'!B41</f>
        <v>5.6000000000000001E-2</v>
      </c>
      <c r="G72" s="361"/>
      <c r="H72" s="1297"/>
      <c r="I72" s="1291"/>
      <c r="J72" s="2034"/>
      <c r="K72" s="1975">
        <v>1</v>
      </c>
      <c r="L72" s="3467" t="s">
        <v>405</v>
      </c>
      <c r="M72" s="3467"/>
      <c r="N72" s="1295">
        <f ca="1">D66</f>
        <v>2544</v>
      </c>
      <c r="O72" s="1858" t="str">
        <f>E66</f>
        <v>销售额×税（费）率</v>
      </c>
      <c r="P72" s="1296">
        <f>F66</f>
        <v>5.6000000000000001E-2</v>
      </c>
      <c r="Q72" s="2027"/>
      <c r="R72" s="2027"/>
      <c r="S72" s="2027"/>
      <c r="T72" s="2027"/>
      <c r="U72" s="2027"/>
      <c r="V72" s="2027"/>
    </row>
    <row r="73" spans="1:22" ht="24" customHeight="1">
      <c r="A73" s="3461" t="s">
        <v>410</v>
      </c>
      <c r="B73" s="3429"/>
      <c r="C73" s="3429"/>
      <c r="D73" s="362">
        <f>IF(H73="个人住宅",0,ROUND(D63*I73,0))</f>
        <v>0</v>
      </c>
      <c r="E73" s="17" t="s">
        <v>411</v>
      </c>
      <c r="F73" s="360" t="str">
        <f>IF(H73="正常",I73,"免征")</f>
        <v>免征</v>
      </c>
      <c r="G73" s="361"/>
      <c r="H73" s="191" t="s">
        <v>2455</v>
      </c>
      <c r="I73" s="360">
        <f>'数据-取费表'!B49</f>
        <v>5.0000000000000001E-4</v>
      </c>
      <c r="J73" s="2034"/>
      <c r="K73" s="1975">
        <v>2</v>
      </c>
      <c r="L73" s="3467" t="s">
        <v>409</v>
      </c>
      <c r="M73" s="3467"/>
      <c r="N73" s="1295">
        <f t="shared" ref="N73:P74" si="1">D73</f>
        <v>0</v>
      </c>
      <c r="O73" s="1858" t="str">
        <f t="shared" si="1"/>
        <v>销售额×税（费）率</v>
      </c>
      <c r="P73" s="1296" t="str">
        <f t="shared" si="1"/>
        <v>免征</v>
      </c>
      <c r="Q73" s="2027"/>
      <c r="R73" s="2027"/>
      <c r="S73" s="2027"/>
      <c r="T73" s="2027"/>
      <c r="U73" s="2027"/>
      <c r="V73" s="2027"/>
    </row>
    <row r="74" spans="1:22" ht="24.75">
      <c r="A74" s="3461" t="s">
        <v>414</v>
      </c>
      <c r="B74" s="3429"/>
      <c r="C74" s="3429"/>
      <c r="D74" s="362">
        <f ca="1">IF(H74="个人住宅",D75,D76)</f>
        <v>26340</v>
      </c>
      <c r="E74" s="17" t="s">
        <v>415</v>
      </c>
      <c r="F74" s="360" t="str">
        <f>IF(H74="正常",F76,"免征")</f>
        <v>——</v>
      </c>
      <c r="G74" s="982" t="s">
        <v>416</v>
      </c>
      <c r="H74" s="363" t="s">
        <v>412</v>
      </c>
      <c r="I74" s="42"/>
      <c r="J74" s="2034"/>
      <c r="K74" s="1975">
        <v>3</v>
      </c>
      <c r="L74" s="3467" t="s">
        <v>413</v>
      </c>
      <c r="M74" s="3467"/>
      <c r="N74" s="1295">
        <f t="shared" ca="1" si="1"/>
        <v>26340</v>
      </c>
      <c r="O74" s="1858" t="str">
        <f t="shared" si="1"/>
        <v>增值额×税（费）率</v>
      </c>
      <c r="P74" s="1298" t="str">
        <f t="shared" si="1"/>
        <v>——</v>
      </c>
      <c r="Q74" s="2027"/>
      <c r="R74" s="2027"/>
      <c r="S74" s="2027"/>
      <c r="T74" s="2027"/>
      <c r="U74" s="2027"/>
      <c r="V74" s="2027"/>
    </row>
    <row r="75" spans="1:22" ht="24">
      <c r="A75" s="359" t="s">
        <v>417</v>
      </c>
      <c r="B75" s="3417" t="s">
        <v>418</v>
      </c>
      <c r="C75" s="3447"/>
      <c r="D75" s="364">
        <v>0</v>
      </c>
      <c r="E75" s="41" t="s">
        <v>419</v>
      </c>
      <c r="F75" s="365"/>
      <c r="G75" s="361"/>
      <c r="H75" s="42"/>
      <c r="I75" s="42"/>
      <c r="J75" s="2034"/>
      <c r="K75" s="3028">
        <f>IF(H77="非个人房产","",4)</f>
        <v>4</v>
      </c>
      <c r="L75" s="3467" t="str">
        <f>IF(H77="非个人房产","——","个人所得税")</f>
        <v>个人所得税</v>
      </c>
      <c r="M75" s="3467"/>
      <c r="N75" s="1299">
        <f ca="1">D77</f>
        <v>477</v>
      </c>
      <c r="O75" s="1871" t="str">
        <f>E77</f>
        <v>销售额×税（费）率</v>
      </c>
      <c r="P75" s="1300">
        <f>F77</f>
        <v>0.01</v>
      </c>
      <c r="Q75" s="2027"/>
      <c r="R75" s="2027"/>
      <c r="S75" s="2027"/>
      <c r="T75" s="2027"/>
      <c r="U75" s="2027"/>
      <c r="V75" s="2027"/>
    </row>
    <row r="76" spans="1:22" ht="24.75">
      <c r="A76" s="359" t="s">
        <v>395</v>
      </c>
      <c r="B76" s="3417" t="s">
        <v>421</v>
      </c>
      <c r="C76" s="3418"/>
      <c r="D76" s="362">
        <f ca="1">IF(H76="转让取得",C99,C115)</f>
        <v>26340</v>
      </c>
      <c r="E76" s="17" t="s">
        <v>422</v>
      </c>
      <c r="F76" s="53" t="s">
        <v>21</v>
      </c>
      <c r="G76" s="361"/>
      <c r="H76" s="363" t="s">
        <v>423</v>
      </c>
      <c r="I76" s="42"/>
      <c r="J76" s="2034"/>
      <c r="K76" s="3028" t="str">
        <f>IF(项目基本情况!K6="上海银行",IF(K75="",4,K75+1),"")</f>
        <v/>
      </c>
      <c r="L76" s="3478" t="str">
        <f>IF(项目基本情况!K6="上海银行","其他处置费用","")</f>
        <v/>
      </c>
      <c r="M76" s="3479"/>
      <c r="N76" s="1295" t="str">
        <f>IF(项目基本情况!K6="上海银行",N89,"")</f>
        <v/>
      </c>
      <c r="O76" s="3480" t="str">
        <f>IF(项目基本情况!K6="上海银行","包含处置中涉及的律师、诉讼、拍卖、评估等费用","")</f>
        <v/>
      </c>
      <c r="P76" s="3481"/>
      <c r="Q76" s="2027"/>
      <c r="R76" s="2027"/>
      <c r="S76" s="2027"/>
      <c r="T76" s="2027"/>
      <c r="U76" s="2027"/>
      <c r="V76" s="2027"/>
    </row>
    <row r="77" spans="1:22" ht="26.25" thickBot="1">
      <c r="A77" s="3469" t="s">
        <v>425</v>
      </c>
      <c r="B77" s="3470"/>
      <c r="C77" s="3470"/>
      <c r="D77" s="366">
        <f ca="1">IF(H77="非个人房产","——",IF(H77="个人住宅",0,ROUND(D63*I77,0)))</f>
        <v>477</v>
      </c>
      <c r="E77" s="367" t="str">
        <f>IF(H77="非个人房产","——","销售额×税（费）率")</f>
        <v>销售额×税（费）率</v>
      </c>
      <c r="F77" s="368">
        <f>IF(H77="非个人房产","——",IF(H77="个人住宅","免征",I77))</f>
        <v>0.01</v>
      </c>
      <c r="G77" s="983" t="s">
        <v>416</v>
      </c>
      <c r="H77" s="363" t="s">
        <v>2883</v>
      </c>
      <c r="I77" s="369">
        <v>0.01</v>
      </c>
      <c r="J77" s="2034"/>
      <c r="K77" s="3468">
        <f>IF(AND(K75="",K76=""),4,IF(项目基本情况!K6="上海银行",K76+1,K75+1))</f>
        <v>5</v>
      </c>
      <c r="L77" s="3467" t="s">
        <v>2884</v>
      </c>
      <c r="M77" s="3034" t="s">
        <v>420</v>
      </c>
      <c r="N77" s="1301"/>
      <c r="O77" s="1302">
        <f ca="1">SUMIF(N72:N76,"&lt;9e307")</f>
        <v>29361</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468"/>
      <c r="L78" s="3467"/>
      <c r="M78" s="3034" t="s">
        <v>424</v>
      </c>
      <c r="N78" s="1301"/>
      <c r="O78" s="1302" t="str">
        <f ca="1">NUMBERSTRING(INT(O77*10000),2)&amp;"元整"</f>
        <v>贰亿玖仟叁佰陆拾壹万元整</v>
      </c>
      <c r="P78" s="1303"/>
      <c r="Q78" s="2027"/>
      <c r="R78" s="2027"/>
      <c r="S78" s="2027"/>
      <c r="T78" s="2027"/>
      <c r="U78" s="2027"/>
      <c r="V78" s="2027"/>
    </row>
    <row r="79" spans="1:22" ht="13.5" thickBot="1">
      <c r="A79" s="3462" t="s">
        <v>426</v>
      </c>
      <c r="B79" s="3462"/>
      <c r="C79" s="3462"/>
      <c r="D79" s="3462"/>
      <c r="E79" s="3462"/>
      <c r="F79" s="42"/>
      <c r="G79" s="42"/>
      <c r="H79" s="1002"/>
      <c r="I79" s="311"/>
      <c r="J79" s="2034"/>
      <c r="K79" s="3488">
        <f>K77+1</f>
        <v>6</v>
      </c>
      <c r="L79" s="3467" t="s">
        <v>2885</v>
      </c>
      <c r="M79" s="3034" t="s">
        <v>420</v>
      </c>
      <c r="N79" s="1301"/>
      <c r="O79" s="1302" t="e">
        <f ca="1">N69-O77</f>
        <v>#VALUE!</v>
      </c>
      <c r="P79" s="1303"/>
      <c r="Q79" s="2027"/>
      <c r="R79" s="2027"/>
      <c r="S79" s="2027"/>
      <c r="T79" s="2027"/>
      <c r="U79" s="2027"/>
      <c r="V79" s="2027"/>
    </row>
    <row r="80" spans="1:22" ht="12.75">
      <c r="A80" s="3457" t="s">
        <v>427</v>
      </c>
      <c r="B80" s="3458"/>
      <c r="C80" s="993"/>
      <c r="D80" s="993" t="s">
        <v>428</v>
      </c>
      <c r="E80" s="370" t="s">
        <v>429</v>
      </c>
      <c r="F80" s="42"/>
      <c r="G80" s="42"/>
      <c r="H80" s="1002"/>
      <c r="I80" s="311"/>
      <c r="J80" s="2027"/>
      <c r="K80" s="3489"/>
      <c r="L80" s="3467"/>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45424</v>
      </c>
      <c r="D81" s="373"/>
      <c r="E81" s="374"/>
      <c r="F81" s="42"/>
      <c r="G81" s="42"/>
      <c r="H81" s="1002"/>
      <c r="I81" s="311"/>
      <c r="J81" s="2027"/>
      <c r="K81" s="3028">
        <f>K79+1</f>
        <v>7</v>
      </c>
      <c r="L81" s="3465" t="s">
        <v>2886</v>
      </c>
      <c r="M81" s="3466"/>
      <c r="N81" s="1305"/>
      <c r="O81" s="1306" t="e">
        <f ca="1">ROUND(O79*10000/'数据-汇总表'!E3,0)</f>
        <v>#VALUE!</v>
      </c>
      <c r="P81" s="1307"/>
      <c r="Q81" s="2027"/>
      <c r="R81" s="2027"/>
      <c r="S81" s="2027"/>
      <c r="T81" s="2027"/>
      <c r="U81" s="2027"/>
      <c r="V81" s="2027"/>
    </row>
    <row r="82" spans="1:26" ht="13.5" thickTop="1">
      <c r="A82" s="375" t="s">
        <v>1824</v>
      </c>
      <c r="B82" s="376" t="s">
        <v>431</v>
      </c>
      <c r="C82" s="377">
        <f ca="1">D63</f>
        <v>47695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477"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477"/>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43424</v>
      </c>
      <c r="D85" s="378" t="s">
        <v>19</v>
      </c>
      <c r="E85" s="379"/>
      <c r="F85" s="42"/>
      <c r="G85" s="42"/>
      <c r="H85" s="1002"/>
      <c r="I85" s="311"/>
      <c r="J85" s="2027"/>
      <c r="K85" s="3477"/>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2432</v>
      </c>
      <c r="D86" s="389">
        <f>'数据-取费表'!B41</f>
        <v>5.6000000000000001E-2</v>
      </c>
      <c r="E86" s="390"/>
      <c r="F86" s="42"/>
      <c r="G86" s="42"/>
      <c r="H86" s="1002"/>
      <c r="I86" s="311"/>
      <c r="J86" s="2027"/>
      <c r="K86" s="3477"/>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477"/>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459" t="s">
        <v>436</v>
      </c>
      <c r="B88" s="3460"/>
      <c r="C88" s="3460"/>
      <c r="D88" s="3460"/>
      <c r="E88" s="3460"/>
      <c r="F88" s="3460"/>
      <c r="G88" s="3460"/>
      <c r="H88" s="3460"/>
      <c r="I88" s="1314"/>
      <c r="J88" s="2035"/>
      <c r="K88" s="3477"/>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457" t="s">
        <v>427</v>
      </c>
      <c r="B89" s="3458"/>
      <c r="C89" s="993"/>
      <c r="D89" s="993" t="s">
        <v>428</v>
      </c>
      <c r="E89" s="391" t="s">
        <v>437</v>
      </c>
      <c r="F89" s="392"/>
      <c r="G89" s="392"/>
      <c r="H89" s="393"/>
      <c r="I89" s="1315"/>
      <c r="J89" s="2037"/>
      <c r="K89" s="3477"/>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45424</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2834</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420" t="s">
        <v>446</v>
      </c>
      <c r="F94" s="3419"/>
      <c r="G94" s="3419"/>
      <c r="H94" s="3456"/>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273</v>
      </c>
      <c r="D96" s="406">
        <f>'数据-取费表'!B43</f>
        <v>6.000000000000001E-3</v>
      </c>
      <c r="E96" s="3448" t="s">
        <v>2428</v>
      </c>
      <c r="F96" s="3449"/>
      <c r="G96" s="3449"/>
      <c r="H96" s="3450"/>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42590</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15.028228652081863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24562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59" t="s">
        <v>453</v>
      </c>
      <c r="B101" s="3460"/>
      <c r="C101" s="3460"/>
      <c r="D101" s="3460"/>
      <c r="E101" s="3460"/>
      <c r="F101" s="3460"/>
      <c r="G101" s="3460"/>
      <c r="H101" s="3460"/>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57" t="s">
        <v>427</v>
      </c>
      <c r="B102" s="3458"/>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45424</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963</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451" t="s">
        <v>461</v>
      </c>
      <c r="F109" s="3449"/>
      <c r="G109" s="3449"/>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451" t="s">
        <v>463</v>
      </c>
      <c r="F110" s="3449"/>
      <c r="G110" s="3449"/>
      <c r="H110" s="3450"/>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273</v>
      </c>
      <c r="D111" s="406">
        <f>'数据-取费表'!B43</f>
        <v>6.000000000000001E-3</v>
      </c>
      <c r="E111" s="3448" t="s">
        <v>2428</v>
      </c>
      <c r="F111" s="3449"/>
      <c r="G111" s="3449"/>
      <c r="H111" s="3450"/>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451" t="s">
        <v>2453</v>
      </c>
      <c r="F112" s="3449"/>
      <c r="G112" s="3449"/>
      <c r="H112" s="3450"/>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44461</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46.169262720664591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26340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U54"/>
  <sheetViews>
    <sheetView workbookViewId="0">
      <selection activeCell="L11" sqref="L11"/>
    </sheetView>
  </sheetViews>
  <sheetFormatPr defaultRowHeight="13.5"/>
  <cols>
    <col min="1" max="1" width="10.125" customWidth="1"/>
    <col min="2" max="2" width="10.375" customWidth="1"/>
    <col min="3" max="3" width="10.5" customWidth="1"/>
    <col min="4" max="4" width="7.875" style="3190" customWidth="1"/>
    <col min="5" max="5" width="15.75" customWidth="1"/>
    <col min="6" max="6" width="14.625" customWidth="1"/>
    <col min="7" max="7" width="10"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0.125" customWidth="1"/>
    <col min="19" max="19" width="14.125" customWidth="1"/>
    <col min="20" max="20" width="16.125" customWidth="1"/>
  </cols>
  <sheetData>
    <row r="1" spans="1:11" ht="15.75" customHeight="1" thickBot="1">
      <c r="A1" s="3552" t="s">
        <v>3003</v>
      </c>
      <c r="B1" s="3552"/>
      <c r="C1" s="3552"/>
      <c r="E1" s="3552" t="s">
        <v>3004</v>
      </c>
      <c r="F1" s="3552"/>
      <c r="G1" s="3553"/>
      <c r="I1" s="3191" t="s">
        <v>3136</v>
      </c>
    </row>
    <row r="2" spans="1:11" ht="14.25" thickBot="1">
      <c r="A2" s="3530" t="s">
        <v>2993</v>
      </c>
      <c r="B2" s="3183" t="s">
        <v>3000</v>
      </c>
      <c r="C2" s="3192">
        <v>83247.820000000007</v>
      </c>
      <c r="E2" s="3530" t="s">
        <v>2993</v>
      </c>
      <c r="F2" s="3183" t="s">
        <v>3000</v>
      </c>
      <c r="G2" s="3184">
        <v>83884.960000000006</v>
      </c>
      <c r="I2" s="3220">
        <f>C2-G2</f>
        <v>-637.13999999999942</v>
      </c>
      <c r="J2" s="3182" t="s">
        <v>3005</v>
      </c>
    </row>
    <row r="3" spans="1:11" ht="14.25" thickBot="1">
      <c r="A3" s="3531"/>
      <c r="B3" s="3183" t="s">
        <v>2994</v>
      </c>
      <c r="C3" s="3189">
        <v>15426.7</v>
      </c>
      <c r="E3" s="3531"/>
      <c r="F3" s="3183" t="s">
        <v>2994</v>
      </c>
      <c r="G3" s="3184">
        <v>15502</v>
      </c>
      <c r="I3" s="3220">
        <f>C3-G3</f>
        <v>-75.299999999999272</v>
      </c>
      <c r="J3" s="3182" t="s">
        <v>3006</v>
      </c>
    </row>
    <row r="4" spans="1:11" ht="14.25" thickBot="1">
      <c r="A4" s="3532" t="s">
        <v>2995</v>
      </c>
      <c r="B4" s="3554"/>
      <c r="C4" s="3185">
        <f>SUM(C2:C3)</f>
        <v>98674.52</v>
      </c>
      <c r="D4" s="3191" t="s">
        <v>3001</v>
      </c>
      <c r="E4" s="3532" t="s">
        <v>2995</v>
      </c>
      <c r="F4" s="3554"/>
      <c r="G4" s="3185">
        <f>G2+G3</f>
        <v>99386.96</v>
      </c>
      <c r="H4" s="3191" t="s">
        <v>3002</v>
      </c>
      <c r="I4" s="3222"/>
    </row>
    <row r="5" spans="1:11" ht="14.25" thickBot="1">
      <c r="A5" s="3530" t="s">
        <v>2996</v>
      </c>
      <c r="B5" s="3183" t="s">
        <v>2998</v>
      </c>
      <c r="C5" s="3188">
        <v>2364.58</v>
      </c>
      <c r="E5" s="3530" t="s">
        <v>2996</v>
      </c>
      <c r="F5" s="3183"/>
      <c r="G5" s="3184">
        <f>G7-G6</f>
        <v>4632</v>
      </c>
      <c r="I5" s="3222">
        <f>C5</f>
        <v>2364.58</v>
      </c>
      <c r="J5" s="3182" t="s">
        <v>3008</v>
      </c>
    </row>
    <row r="6" spans="1:11" ht="14.25" thickBot="1">
      <c r="A6" s="3531"/>
      <c r="B6" s="3183" t="s">
        <v>2997</v>
      </c>
      <c r="C6" s="3189">
        <v>8880.9</v>
      </c>
      <c r="E6" s="3531"/>
      <c r="F6" s="3183" t="s">
        <v>2997</v>
      </c>
      <c r="G6" s="3184">
        <v>8880.9</v>
      </c>
      <c r="I6" s="3221">
        <f>C6-G6</f>
        <v>0</v>
      </c>
      <c r="J6" s="3182" t="s">
        <v>3007</v>
      </c>
    </row>
    <row r="7" spans="1:11">
      <c r="A7" s="3532" t="s">
        <v>2995</v>
      </c>
      <c r="B7" s="3533"/>
      <c r="C7" s="3185">
        <f>SUM(C5:C6)</f>
        <v>11245.48</v>
      </c>
      <c r="E7" s="3532" t="s">
        <v>2995</v>
      </c>
      <c r="F7" s="3533"/>
      <c r="G7" s="3185">
        <v>13512.9</v>
      </c>
    </row>
    <row r="8" spans="1:11">
      <c r="A8" s="3186" t="s">
        <v>2999</v>
      </c>
      <c r="B8" s="3187"/>
      <c r="C8" s="3187">
        <f>C4+C7</f>
        <v>109920</v>
      </c>
      <c r="E8" s="3186" t="s">
        <v>2999</v>
      </c>
      <c r="F8" s="3187"/>
      <c r="G8" s="3187">
        <f>G4+G7</f>
        <v>112899.86</v>
      </c>
    </row>
    <row r="9" spans="1:11">
      <c r="B9">
        <f>(C2+C3)/'数据-基础表'!A3</f>
        <v>1.4354079291345077</v>
      </c>
      <c r="F9">
        <f>(G2+G3)/'数据-基础表'!A3</f>
        <v>1.4457717193514006</v>
      </c>
    </row>
    <row r="10" spans="1:11" ht="14.25" thickBot="1"/>
    <row r="11" spans="1:11" ht="72" thickBot="1">
      <c r="A11" s="3209" t="s">
        <v>3073</v>
      </c>
      <c r="B11" s="3209" t="s">
        <v>3074</v>
      </c>
      <c r="C11" s="3209" t="s">
        <v>3075</v>
      </c>
      <c r="D11" s="3209" t="s">
        <v>3076</v>
      </c>
      <c r="E11" s="3209" t="s">
        <v>3131</v>
      </c>
      <c r="F11" s="3225" t="s">
        <v>3133</v>
      </c>
      <c r="G11" s="3226" t="s">
        <v>3134</v>
      </c>
      <c r="H11" s="3227" t="s">
        <v>3132</v>
      </c>
      <c r="I11" s="3228" t="s">
        <v>3135</v>
      </c>
    </row>
    <row r="12" spans="1:11">
      <c r="A12" s="3548" t="s">
        <v>3171</v>
      </c>
      <c r="B12" s="3265" t="s">
        <v>3077</v>
      </c>
      <c r="C12" s="3266">
        <f ca="1">'基准地价-55住宅'!C29</f>
        <v>18864</v>
      </c>
      <c r="D12" s="3266">
        <v>0.5</v>
      </c>
      <c r="E12" s="3550">
        <f ca="1">ROUND(C12*D12+C13*D13,0)</f>
        <v>22704</v>
      </c>
      <c r="F12" s="3542">
        <f ca="1">E12*C2/10000</f>
        <v>189005.85052800001</v>
      </c>
      <c r="G12" s="3542">
        <f ca="1">ROUND(E12/4,0)</f>
        <v>5676</v>
      </c>
      <c r="H12" s="3567">
        <f ca="1">G12*C2/10000</f>
        <v>47251.462632000002</v>
      </c>
      <c r="I12" s="3567">
        <f ca="1">ROUND(E12/1.44,0)</f>
        <v>15767</v>
      </c>
    </row>
    <row r="13" spans="1:11">
      <c r="A13" s="3549"/>
      <c r="B13" s="3265" t="s">
        <v>3078</v>
      </c>
      <c r="C13" s="3266">
        <f ca="1">ROUND('剩余法-待开发住宅'!B3*'基准地价-55住宅'!C20,0)</f>
        <v>26543</v>
      </c>
      <c r="D13" s="3266">
        <f>1-D12</f>
        <v>0.5</v>
      </c>
      <c r="E13" s="3551"/>
      <c r="F13" s="3543"/>
      <c r="G13" s="3543"/>
      <c r="H13" s="3543"/>
      <c r="I13" s="3543"/>
    </row>
    <row r="14" spans="1:11">
      <c r="A14" s="3555" t="s">
        <v>3172</v>
      </c>
      <c r="B14" s="3212" t="s">
        <v>3077</v>
      </c>
      <c r="C14" s="3213">
        <f ca="1">'基准地价-55住宅'!C38</f>
        <v>3823</v>
      </c>
      <c r="D14" s="3213">
        <v>0.5</v>
      </c>
      <c r="E14" s="3557">
        <f ca="1">ROUND(C14*D14+C15*D15,0)</f>
        <v>3885</v>
      </c>
      <c r="F14" s="3540">
        <f ca="1">ROUND(E14*C5/10000,4)</f>
        <v>918.63930000000005</v>
      </c>
      <c r="G14" s="3540">
        <f ca="1">ROUND(E14/4,0)</f>
        <v>971</v>
      </c>
      <c r="H14" s="3540">
        <f ca="1">ROUND(G14*C5/10000,4)</f>
        <v>229.60069999999999</v>
      </c>
      <c r="I14" s="3540">
        <f t="shared" ref="I14" ca="1" si="0">ROUND(E14/1.44,0)</f>
        <v>2698</v>
      </c>
      <c r="J14">
        <f ca="1">ROUND(C14*0.25,0)</f>
        <v>956</v>
      </c>
    </row>
    <row r="15" spans="1:11">
      <c r="A15" s="3556"/>
      <c r="B15" s="3212" t="s">
        <v>3078</v>
      </c>
      <c r="C15" s="3213">
        <f ca="1">ROUND('剩余法-待开发仓储'!B3*'基准地价-55住宅'!C41,0)</f>
        <v>3947</v>
      </c>
      <c r="D15" s="3213">
        <f>1-D14</f>
        <v>0.5</v>
      </c>
      <c r="E15" s="3558"/>
      <c r="F15" s="3541"/>
      <c r="G15" s="3541"/>
      <c r="H15" s="3541"/>
      <c r="I15" s="3541"/>
      <c r="J15">
        <f t="shared" ref="J15:J21" ca="1" si="1">ROUND(C15*0.25,0)</f>
        <v>987</v>
      </c>
      <c r="K15">
        <f ca="1">J14*D14+J15*D15</f>
        <v>971.5</v>
      </c>
    </row>
    <row r="16" spans="1:11" hidden="1">
      <c r="A16" s="3563" t="s">
        <v>3116</v>
      </c>
      <c r="B16" s="3214" t="s">
        <v>3077</v>
      </c>
      <c r="C16" s="3215">
        <f ca="1">ROUND(C12*B24,0)</f>
        <v>18175</v>
      </c>
      <c r="D16" s="3215">
        <f>D12</f>
        <v>0.5</v>
      </c>
      <c r="E16" s="3565">
        <f ca="1">ROUND(C16*D16+C17*D17,0)</f>
        <v>21875</v>
      </c>
      <c r="F16" s="3538">
        <f ca="1">ROUND(E16*C2/10000,4)</f>
        <v>182104.60630000001</v>
      </c>
      <c r="G16" s="3538">
        <f t="shared" ref="G16" ca="1" si="2">ROUND(E16/4,0)</f>
        <v>5469</v>
      </c>
      <c r="H16" s="3538"/>
      <c r="I16" s="3538">
        <f t="shared" ref="I16" ca="1" si="3">ROUND(E16/1.44,0)</f>
        <v>15191</v>
      </c>
      <c r="J16">
        <f t="shared" ca="1" si="1"/>
        <v>4544</v>
      </c>
    </row>
    <row r="17" spans="1:21" hidden="1">
      <c r="A17" s="3564"/>
      <c r="B17" s="3214" t="s">
        <v>3078</v>
      </c>
      <c r="C17" s="3215">
        <f ca="1">ROUND(C13*B24,0)</f>
        <v>25574</v>
      </c>
      <c r="D17" s="3215">
        <f>1-D16</f>
        <v>0.5</v>
      </c>
      <c r="E17" s="3566"/>
      <c r="F17" s="3539"/>
      <c r="G17" s="3539"/>
      <c r="H17" s="3539"/>
      <c r="I17" s="3539"/>
      <c r="J17">
        <f t="shared" ca="1" si="1"/>
        <v>6394</v>
      </c>
    </row>
    <row r="18" spans="1:21" hidden="1">
      <c r="A18" s="3544" t="s">
        <v>3079</v>
      </c>
      <c r="B18" s="3216" t="s">
        <v>3077</v>
      </c>
      <c r="C18" s="3264">
        <f>'[1]基准地价-住宅'!$C$39</f>
        <v>3187</v>
      </c>
      <c r="D18" s="3217">
        <f>D12</f>
        <v>0.5</v>
      </c>
      <c r="E18" s="3546">
        <f ca="1">ROUND(C18*D18+C19*D19,0)</f>
        <v>4151</v>
      </c>
      <c r="F18" s="3536">
        <f ca="1">ROUND(E18*C6/10000,4)</f>
        <v>3686.4616000000001</v>
      </c>
      <c r="G18" s="3536">
        <f t="shared" ref="G18" ca="1" si="4">ROUND(E18/4,0)</f>
        <v>1038</v>
      </c>
      <c r="H18" s="3536"/>
      <c r="I18" s="3536">
        <f t="shared" ref="I18:I20" ca="1" si="5">ROUND(E18/1.44,0)</f>
        <v>2883</v>
      </c>
      <c r="J18">
        <f t="shared" si="1"/>
        <v>797</v>
      </c>
    </row>
    <row r="19" spans="1:21" hidden="1">
      <c r="A19" s="3545"/>
      <c r="B19" s="3216" t="s">
        <v>3078</v>
      </c>
      <c r="C19" s="3217">
        <f ca="1">ROUND(C17*0.2,0)</f>
        <v>5115</v>
      </c>
      <c r="D19" s="3217">
        <f>1-D18</f>
        <v>0.5</v>
      </c>
      <c r="E19" s="3547"/>
      <c r="F19" s="3537"/>
      <c r="G19" s="3537"/>
      <c r="H19" s="3537"/>
      <c r="I19" s="3537"/>
      <c r="J19">
        <f t="shared" ca="1" si="1"/>
        <v>1279</v>
      </c>
    </row>
    <row r="20" spans="1:21" hidden="1">
      <c r="A20" s="3559" t="s">
        <v>3080</v>
      </c>
      <c r="B20" s="3210" t="s">
        <v>3077</v>
      </c>
      <c r="C20" s="3211">
        <f ca="1">'基准地价-商业'!C29</f>
        <v>14769</v>
      </c>
      <c r="D20" s="3211">
        <f>D12</f>
        <v>0.5</v>
      </c>
      <c r="E20" s="3561">
        <f ca="1">ROUND(C20*D20+C21*D21,0)</f>
        <v>14674</v>
      </c>
      <c r="F20" s="3534">
        <f ca="1">E20*C3/10000</f>
        <v>22637.139580000003</v>
      </c>
      <c r="G20" s="3534">
        <f t="shared" ref="G20" ca="1" si="6">ROUND(E20/4,0)</f>
        <v>3669</v>
      </c>
      <c r="H20" s="3534"/>
      <c r="I20" s="3534">
        <f t="shared" ca="1" si="5"/>
        <v>10190</v>
      </c>
      <c r="J20">
        <f t="shared" ca="1" si="1"/>
        <v>3692</v>
      </c>
    </row>
    <row r="21" spans="1:21" hidden="1">
      <c r="A21" s="3560"/>
      <c r="B21" s="3210" t="s">
        <v>3078</v>
      </c>
      <c r="C21" s="3247">
        <f ca="1">ROUND('剩余法-待开发商业'!B3*'基准地价-商业'!C20,0)</f>
        <v>14578</v>
      </c>
      <c r="D21" s="3211">
        <f>1-D20</f>
        <v>0.5</v>
      </c>
      <c r="E21" s="3562"/>
      <c r="F21" s="3535"/>
      <c r="G21" s="3535"/>
      <c r="H21" s="3535"/>
      <c r="I21" s="3535"/>
      <c r="J21">
        <f t="shared" ca="1" si="1"/>
        <v>3645</v>
      </c>
    </row>
    <row r="23" spans="1:21" hidden="1"/>
    <row r="24" spans="1:21" ht="24" customHeight="1">
      <c r="A24" s="3262" t="s">
        <v>3151</v>
      </c>
      <c r="B24" s="3187">
        <f ca="1">'基准地价-55住宅'!C20</f>
        <v>0.96350000000000002</v>
      </c>
      <c r="C24" s="3297" t="s">
        <v>3177</v>
      </c>
      <c r="D24" s="3190">
        <f ca="1">'基准地价-55住宅'!C41</f>
        <v>0.8972</v>
      </c>
    </row>
    <row r="27" spans="1:21" ht="19.5" thickBot="1">
      <c r="A27" s="3208" t="s">
        <v>3118</v>
      </c>
      <c r="D27"/>
      <c r="H27" s="3529" t="s">
        <v>3119</v>
      </c>
      <c r="I27" s="3529"/>
      <c r="J27" s="3529"/>
      <c r="N27" s="3508" t="s">
        <v>3148</v>
      </c>
      <c r="O27" s="3509"/>
      <c r="P27" s="3509"/>
      <c r="Q27" s="3509"/>
      <c r="R27" s="3509"/>
      <c r="S27" s="3509"/>
      <c r="T27" s="3509"/>
      <c r="U27" s="3509"/>
    </row>
    <row r="28" spans="1:21" s="3182" customFormat="1" ht="34.5" hidden="1" customHeight="1">
      <c r="A28" s="3510" t="s">
        <v>3120</v>
      </c>
      <c r="B28" s="3510" t="s">
        <v>3121</v>
      </c>
      <c r="C28" s="3229" t="s">
        <v>3122</v>
      </c>
      <c r="D28" s="3229" t="s">
        <v>3123</v>
      </c>
      <c r="E28" s="3229" t="s">
        <v>3124</v>
      </c>
      <c r="F28" s="3286" t="s">
        <v>3125</v>
      </c>
      <c r="G28" s="2858"/>
      <c r="H28" s="3510" t="s">
        <v>3120</v>
      </c>
      <c r="I28" s="3510" t="s">
        <v>3121</v>
      </c>
      <c r="J28" s="3229" t="s">
        <v>3126</v>
      </c>
      <c r="K28" s="3229" t="s">
        <v>3130</v>
      </c>
      <c r="L28" s="3510" t="s">
        <v>3132</v>
      </c>
      <c r="M28" s="3218"/>
      <c r="N28" s="3526" t="s">
        <v>3120</v>
      </c>
      <c r="O28" s="3493" t="s">
        <v>3121</v>
      </c>
      <c r="P28" s="3494"/>
      <c r="Q28" s="3248" t="s">
        <v>3126</v>
      </c>
      <c r="R28" s="3291"/>
      <c r="S28" s="3248" t="s">
        <v>3142</v>
      </c>
      <c r="T28" s="3248" t="s">
        <v>3144</v>
      </c>
      <c r="U28" s="3248" t="s">
        <v>3125</v>
      </c>
    </row>
    <row r="29" spans="1:21" s="3182" customFormat="1" ht="35.25" hidden="1" customHeight="1" thickBot="1">
      <c r="A29" s="3511"/>
      <c r="B29" s="3511"/>
      <c r="C29" s="3230" t="s">
        <v>3127</v>
      </c>
      <c r="D29" s="3230" t="s">
        <v>3128</v>
      </c>
      <c r="E29" s="3230" t="s">
        <v>3129</v>
      </c>
      <c r="F29" s="3287" t="s">
        <v>3137</v>
      </c>
      <c r="G29" s="2858"/>
      <c r="H29" s="3518"/>
      <c r="I29" s="3518"/>
      <c r="J29" s="3231" t="s">
        <v>3138</v>
      </c>
      <c r="K29" s="3231" t="s">
        <v>3140</v>
      </c>
      <c r="L29" s="3518"/>
      <c r="M29" s="3218"/>
      <c r="N29" s="3527"/>
      <c r="O29" s="3495"/>
      <c r="P29" s="3496"/>
      <c r="Q29" s="3249" t="s">
        <v>3141</v>
      </c>
      <c r="R29" s="3292"/>
      <c r="S29" s="3249" t="s">
        <v>3143</v>
      </c>
      <c r="T29" s="3249" t="s">
        <v>3124</v>
      </c>
      <c r="U29" s="3249" t="s">
        <v>3145</v>
      </c>
    </row>
    <row r="30" spans="1:21" s="3182" customFormat="1" ht="35.25" hidden="1" customHeight="1" thickBot="1">
      <c r="A30" s="3511"/>
      <c r="B30" s="3511"/>
      <c r="C30" s="3230" t="s">
        <v>3139</v>
      </c>
      <c r="D30" s="3230" t="s">
        <v>3137</v>
      </c>
      <c r="E30" s="3275"/>
      <c r="F30" s="3288"/>
      <c r="G30" s="2858"/>
      <c r="H30" s="3519" t="s">
        <v>3009</v>
      </c>
      <c r="I30" s="3232" t="s">
        <v>3178</v>
      </c>
      <c r="J30" s="3233">
        <f>C2</f>
        <v>83247.820000000007</v>
      </c>
      <c r="K30" s="3234">
        <f ca="1">ROUND(E12/4,0)</f>
        <v>5676</v>
      </c>
      <c r="L30" s="3235">
        <f ca="1">ROUND(J30*K30/10000,2)</f>
        <v>47251.46</v>
      </c>
      <c r="M30" s="3218"/>
      <c r="N30" s="3528"/>
      <c r="O30" s="3497"/>
      <c r="P30" s="3498"/>
      <c r="Q30" s="3250"/>
      <c r="R30" s="3250"/>
      <c r="S30" s="3250"/>
      <c r="T30" s="3251" t="s">
        <v>3129</v>
      </c>
      <c r="U30" s="3250"/>
    </row>
    <row r="31" spans="1:21" s="3182" customFormat="1" ht="41.25" hidden="1" customHeight="1" thickBot="1">
      <c r="A31" s="3276" t="s">
        <v>3009</v>
      </c>
      <c r="B31" s="3276" t="s">
        <v>3000</v>
      </c>
      <c r="C31" s="3277">
        <f>C2</f>
        <v>83247.820000000007</v>
      </c>
      <c r="D31" s="3277">
        <f ca="1">E12</f>
        <v>22704</v>
      </c>
      <c r="E31" s="3277">
        <f ca="1">D31*C31/10000</f>
        <v>189005.85052800001</v>
      </c>
      <c r="F31" s="3289">
        <f ca="1">ROUND(D31/1.44,0)</f>
        <v>15767</v>
      </c>
      <c r="G31" s="2858"/>
      <c r="H31" s="3520"/>
      <c r="I31" s="3236"/>
      <c r="J31" s="3237"/>
      <c r="K31" s="3300"/>
      <c r="L31" s="3235"/>
      <c r="M31" s="3219"/>
      <c r="N31" s="3499"/>
      <c r="O31" s="3499"/>
      <c r="P31" s="3252"/>
      <c r="Q31" s="3261"/>
      <c r="R31" s="3261"/>
      <c r="S31" s="3258" t="s">
        <v>3161</v>
      </c>
      <c r="T31" s="3259"/>
      <c r="U31" s="3259" t="s">
        <v>2817</v>
      </c>
    </row>
    <row r="32" spans="1:21" s="3182" customFormat="1" ht="16.5" hidden="1" thickBot="1">
      <c r="A32" s="3517" t="s">
        <v>3166</v>
      </c>
      <c r="B32" s="3517"/>
      <c r="C32" s="3277">
        <f>C31</f>
        <v>83247.820000000007</v>
      </c>
      <c r="D32" s="3277">
        <f ca="1">D31</f>
        <v>22704</v>
      </c>
      <c r="E32" s="3277">
        <f ca="1">E31</f>
        <v>189005.85052800001</v>
      </c>
      <c r="F32" s="3289">
        <f ca="1">F31</f>
        <v>15767</v>
      </c>
      <c r="G32" s="2858"/>
      <c r="H32" s="3521" t="s">
        <v>3010</v>
      </c>
      <c r="I32" s="3238" t="s">
        <v>2998</v>
      </c>
      <c r="J32" s="3239">
        <f>C5</f>
        <v>2364.58</v>
      </c>
      <c r="K32" s="3240">
        <f ca="1">ROUND(E14/4,0)</f>
        <v>971</v>
      </c>
      <c r="L32" s="3241">
        <f t="shared" ref="L32" ca="1" si="7">ROUND(J32*K32/10000,2)</f>
        <v>229.6</v>
      </c>
      <c r="M32" s="3218"/>
      <c r="N32" s="3500"/>
      <c r="O32" s="3500"/>
      <c r="P32" s="3256"/>
      <c r="Q32" s="3260"/>
      <c r="R32" s="3281"/>
      <c r="S32" s="3229"/>
      <c r="T32" s="3263"/>
      <c r="U32" s="3259"/>
    </row>
    <row r="33" spans="1:21" s="3182" customFormat="1" ht="43.5" hidden="1" thickBot="1">
      <c r="A33" s="3510" t="s">
        <v>3120</v>
      </c>
      <c r="B33" s="3510" t="s">
        <v>3121</v>
      </c>
      <c r="C33" s="3229" t="s">
        <v>3122</v>
      </c>
      <c r="D33" s="3229" t="s">
        <v>3167</v>
      </c>
      <c r="E33" s="3229" t="s">
        <v>3168</v>
      </c>
      <c r="F33" s="3286" t="s">
        <v>3125</v>
      </c>
      <c r="G33" s="2858"/>
      <c r="H33" s="3522"/>
      <c r="I33" s="3278"/>
      <c r="J33" s="3279"/>
      <c r="K33" s="3280"/>
      <c r="L33" s="3244"/>
      <c r="M33" s="3218"/>
      <c r="N33" s="3272"/>
      <c r="O33" s="3272"/>
      <c r="P33" s="3252"/>
      <c r="Q33" s="3281"/>
      <c r="R33" s="3281"/>
      <c r="S33" s="3255"/>
      <c r="T33" s="3282"/>
      <c r="U33" s="3253"/>
    </row>
    <row r="34" spans="1:21" s="3182" customFormat="1" ht="29.25" hidden="1" customHeight="1" thickBot="1">
      <c r="A34" s="3511"/>
      <c r="B34" s="3511"/>
      <c r="C34" s="3230" t="s">
        <v>3127</v>
      </c>
      <c r="D34" s="3230" t="s">
        <v>3128</v>
      </c>
      <c r="E34" s="3230" t="s">
        <v>3129</v>
      </c>
      <c r="F34" s="3287" t="s">
        <v>3137</v>
      </c>
      <c r="G34" s="2858"/>
      <c r="H34" s="3520"/>
      <c r="I34" s="3242"/>
      <c r="J34" s="3243"/>
      <c r="K34" s="3243"/>
      <c r="L34" s="3244"/>
      <c r="M34" s="3218"/>
      <c r="N34" s="3252" t="s">
        <v>3010</v>
      </c>
      <c r="O34" s="3252" t="s">
        <v>3179</v>
      </c>
      <c r="P34" s="3252" t="s">
        <v>3146</v>
      </c>
      <c r="Q34" s="3254">
        <f>I5</f>
        <v>2364.58</v>
      </c>
      <c r="R34" s="3254"/>
      <c r="S34" s="3255" t="s">
        <v>3161</v>
      </c>
      <c r="T34" s="3253">
        <f ca="1">L32</f>
        <v>229.6</v>
      </c>
      <c r="U34" s="3253" t="s">
        <v>2817</v>
      </c>
    </row>
    <row r="35" spans="1:21" s="3182" customFormat="1" ht="28.5" hidden="1" customHeight="1" thickBot="1">
      <c r="A35" s="3511"/>
      <c r="B35" s="3511"/>
      <c r="C35" s="3230" t="s">
        <v>3139</v>
      </c>
      <c r="D35" s="3230" t="s">
        <v>3137</v>
      </c>
      <c r="E35" s="3275"/>
      <c r="F35" s="3288"/>
      <c r="G35" s="2858"/>
      <c r="H35" s="3514" t="s">
        <v>24</v>
      </c>
      <c r="I35" s="3515"/>
      <c r="J35" s="3515"/>
      <c r="K35" s="3516"/>
      <c r="L35" s="3245"/>
      <c r="M35" s="3219"/>
      <c r="N35" s="3523" t="s">
        <v>3147</v>
      </c>
      <c r="O35" s="3524"/>
      <c r="P35" s="3525"/>
      <c r="Q35" s="3257"/>
      <c r="R35" s="3257"/>
      <c r="S35" s="3258"/>
      <c r="T35" s="3263">
        <f ca="1">SUM(T31:T34)</f>
        <v>229.6</v>
      </c>
      <c r="U35" s="3259"/>
    </row>
    <row r="36" spans="1:21" s="3182" customFormat="1" ht="24.75" hidden="1" customHeight="1">
      <c r="A36" s="3512" t="s">
        <v>3166</v>
      </c>
      <c r="B36" s="3513"/>
      <c r="C36" s="3283">
        <f>C5</f>
        <v>2364.58</v>
      </c>
      <c r="D36" s="3283">
        <f ca="1">G14</f>
        <v>971</v>
      </c>
      <c r="E36" s="3283">
        <f ca="1">ROUND(D36*C36/10000,4)</f>
        <v>229.60069999999999</v>
      </c>
      <c r="F36" s="3290" t="s">
        <v>2817</v>
      </c>
      <c r="M36" s="3218"/>
      <c r="P36"/>
      <c r="Q36"/>
      <c r="R36"/>
      <c r="S36"/>
    </row>
    <row r="37" spans="1:21" ht="25.5" hidden="1" customHeight="1">
      <c r="A37" s="3183" t="s">
        <v>3169</v>
      </c>
      <c r="B37" s="3184"/>
      <c r="C37" s="3285">
        <f>C31+C36</f>
        <v>85612.400000000009</v>
      </c>
      <c r="D37" s="3284" t="s">
        <v>3170</v>
      </c>
      <c r="E37" s="3184">
        <f ca="1">E32+E36</f>
        <v>189235.45122800002</v>
      </c>
      <c r="F37" s="3185"/>
      <c r="I37" s="3190"/>
      <c r="J37" s="3190"/>
      <c r="K37" s="3190"/>
      <c r="L37" s="3190"/>
    </row>
    <row r="38" spans="1:21" hidden="1"/>
    <row r="39" spans="1:21" hidden="1"/>
    <row r="40" spans="1:21" ht="14.25" hidden="1" thickBot="1"/>
    <row r="41" spans="1:21" ht="46.5" thickBot="1">
      <c r="A41" s="3510" t="s">
        <v>3120</v>
      </c>
      <c r="B41" s="3510" t="s">
        <v>3121</v>
      </c>
      <c r="C41" s="3229" t="s">
        <v>3122</v>
      </c>
      <c r="D41" s="3229" t="s">
        <v>3191</v>
      </c>
      <c r="E41" s="3229" t="s">
        <v>3124</v>
      </c>
      <c r="F41" s="3229" t="s">
        <v>3125</v>
      </c>
      <c r="H41" s="3510" t="s">
        <v>3120</v>
      </c>
      <c r="I41" s="3510" t="s">
        <v>3121</v>
      </c>
      <c r="J41" s="3229" t="s">
        <v>3126</v>
      </c>
      <c r="K41" s="3229" t="s">
        <v>3183</v>
      </c>
      <c r="L41" s="3510" t="s">
        <v>3185</v>
      </c>
      <c r="M41" s="3501"/>
      <c r="N41" s="3310" t="s">
        <v>3120</v>
      </c>
      <c r="O41" s="3504" t="s">
        <v>3121</v>
      </c>
      <c r="P41" s="3505"/>
      <c r="Q41" s="3311" t="s">
        <v>3187</v>
      </c>
      <c r="R41" s="3311" t="s">
        <v>3194</v>
      </c>
      <c r="S41" s="3312" t="s">
        <v>3188</v>
      </c>
      <c r="T41" s="3311" t="s">
        <v>3189</v>
      </c>
    </row>
    <row r="42" spans="1:21" ht="18" thickBot="1">
      <c r="A42" s="3511"/>
      <c r="B42" s="3511"/>
      <c r="C42" s="3230" t="s">
        <v>3127</v>
      </c>
      <c r="D42" s="3230" t="s">
        <v>3192</v>
      </c>
      <c r="E42" s="3230" t="s">
        <v>3129</v>
      </c>
      <c r="F42" s="3230" t="s">
        <v>3137</v>
      </c>
      <c r="H42" s="3518"/>
      <c r="I42" s="3570"/>
      <c r="J42" s="3231" t="s">
        <v>3138</v>
      </c>
      <c r="K42" s="3231" t="s">
        <v>3184</v>
      </c>
      <c r="L42" s="3518"/>
      <c r="M42" s="3501"/>
      <c r="N42" s="3506" t="s">
        <v>3010</v>
      </c>
      <c r="O42" s="3313" t="s">
        <v>3190</v>
      </c>
      <c r="P42" s="3313" t="s">
        <v>3010</v>
      </c>
      <c r="Q42" s="3502">
        <f>C5</f>
        <v>2364.58</v>
      </c>
      <c r="R42" s="3502">
        <f ca="1">E14</f>
        <v>3885</v>
      </c>
      <c r="S42" s="3502">
        <f ca="1">G14</f>
        <v>971</v>
      </c>
      <c r="T42" s="3568">
        <f ca="1">H14</f>
        <v>229.60069999999999</v>
      </c>
    </row>
    <row r="43" spans="1:21" ht="32.25" thickBot="1">
      <c r="A43" s="3570"/>
      <c r="B43" s="3570"/>
      <c r="C43" s="3231" t="s">
        <v>3139</v>
      </c>
      <c r="D43" s="3231" t="s">
        <v>3193</v>
      </c>
      <c r="E43" s="3250"/>
      <c r="F43" s="3250"/>
      <c r="H43" s="3274" t="s">
        <v>3009</v>
      </c>
      <c r="I43" s="3302" t="s">
        <v>922</v>
      </c>
      <c r="J43" s="3307" t="s">
        <v>951</v>
      </c>
      <c r="K43" s="3308">
        <f ca="1">G12</f>
        <v>5676</v>
      </c>
      <c r="L43" s="3309" t="s">
        <v>951</v>
      </c>
      <c r="M43" s="3306"/>
      <c r="N43" s="3507"/>
      <c r="O43" s="3314" t="s">
        <v>3121</v>
      </c>
      <c r="P43" s="3314" t="s">
        <v>3011</v>
      </c>
      <c r="Q43" s="3503"/>
      <c r="R43" s="3503"/>
      <c r="S43" s="3503"/>
      <c r="T43" s="3569"/>
    </row>
    <row r="44" spans="1:21" ht="15" customHeight="1">
      <c r="A44" s="3303" t="s">
        <v>3009</v>
      </c>
      <c r="B44" s="3521" t="s">
        <v>3181</v>
      </c>
      <c r="C44" s="3568">
        <f>C2</f>
        <v>83247.820000000007</v>
      </c>
      <c r="D44" s="3568">
        <f ca="1">E12</f>
        <v>22704</v>
      </c>
      <c r="E44" s="3568">
        <f ca="1">F12</f>
        <v>189005.85052800001</v>
      </c>
      <c r="F44" s="3568">
        <f ca="1">ROUND(D44/1.44,0)</f>
        <v>15767</v>
      </c>
      <c r="H44" s="3521" t="s">
        <v>3010</v>
      </c>
      <c r="I44" s="3521" t="s">
        <v>3016</v>
      </c>
      <c r="J44" s="3502" t="s">
        <v>3186</v>
      </c>
      <c r="K44" s="3574">
        <f ca="1">G14</f>
        <v>971</v>
      </c>
      <c r="L44" s="3574">
        <f ca="1">H14</f>
        <v>229.60069999999999</v>
      </c>
      <c r="M44" s="3306"/>
    </row>
    <row r="45" spans="1:21" ht="15" thickBot="1">
      <c r="A45" s="3304"/>
      <c r="B45" s="3520"/>
      <c r="C45" s="3569"/>
      <c r="D45" s="3569"/>
      <c r="E45" s="3569"/>
      <c r="F45" s="3569"/>
      <c r="H45" s="3522"/>
      <c r="I45" s="3522"/>
      <c r="J45" s="3572"/>
      <c r="K45" s="3572"/>
      <c r="L45" s="3572"/>
      <c r="M45" s="3306"/>
    </row>
    <row r="46" spans="1:21" ht="15.75" thickBot="1">
      <c r="A46" s="3303" t="s">
        <v>3010</v>
      </c>
      <c r="B46" s="3521" t="s">
        <v>3182</v>
      </c>
      <c r="C46" s="3301">
        <f>C5</f>
        <v>2364.58</v>
      </c>
      <c r="D46" s="3568">
        <f ca="1">E14</f>
        <v>3885</v>
      </c>
      <c r="E46" s="3568">
        <f ca="1">F14</f>
        <v>918.63930000000005</v>
      </c>
      <c r="F46" s="3568"/>
      <c r="H46" s="3571"/>
      <c r="I46" s="3571"/>
      <c r="J46" s="3573"/>
      <c r="K46" s="3573"/>
      <c r="L46" s="3573"/>
      <c r="M46" s="3306"/>
    </row>
    <row r="47" spans="1:21" ht="15" customHeight="1" thickBot="1">
      <c r="A47" s="3305"/>
      <c r="B47" s="3520"/>
      <c r="C47" s="3302" t="s">
        <v>3180</v>
      </c>
      <c r="D47" s="3569"/>
      <c r="E47" s="3569"/>
      <c r="F47" s="3569"/>
    </row>
    <row r="48" spans="1:21" ht="15.75" thickBot="1">
      <c r="A48" s="3514" t="s">
        <v>24</v>
      </c>
      <c r="B48" s="3516"/>
      <c r="C48" s="3233"/>
      <c r="D48" s="3233" t="s">
        <v>2817</v>
      </c>
      <c r="E48" s="3233">
        <f ca="1">E44+E46</f>
        <v>189924.48982800002</v>
      </c>
      <c r="F48" s="3233" t="s">
        <v>2817</v>
      </c>
    </row>
    <row r="54" ht="12" customHeight="1"/>
  </sheetData>
  <mergeCells count="86">
    <mergeCell ref="S42:S43"/>
    <mergeCell ref="T42:T43"/>
    <mergeCell ref="I44:I46"/>
    <mergeCell ref="J44:J46"/>
    <mergeCell ref="K44:K46"/>
    <mergeCell ref="L44:L46"/>
    <mergeCell ref="R42:R43"/>
    <mergeCell ref="A48:B48"/>
    <mergeCell ref="C44:C45"/>
    <mergeCell ref="H41:H42"/>
    <mergeCell ref="I41:I42"/>
    <mergeCell ref="L41:L42"/>
    <mergeCell ref="F46:F47"/>
    <mergeCell ref="B46:B47"/>
    <mergeCell ref="D46:D47"/>
    <mergeCell ref="E46:E47"/>
    <mergeCell ref="E44:E45"/>
    <mergeCell ref="F44:F45"/>
    <mergeCell ref="A41:A43"/>
    <mergeCell ref="B41:B43"/>
    <mergeCell ref="B44:B45"/>
    <mergeCell ref="D44:D45"/>
    <mergeCell ref="H44:H46"/>
    <mergeCell ref="I12:I13"/>
    <mergeCell ref="I14:I15"/>
    <mergeCell ref="I16:I17"/>
    <mergeCell ref="I18:I19"/>
    <mergeCell ref="I20:I21"/>
    <mergeCell ref="H12:H13"/>
    <mergeCell ref="G16:G17"/>
    <mergeCell ref="H16:H17"/>
    <mergeCell ref="G14:G15"/>
    <mergeCell ref="H14:H15"/>
    <mergeCell ref="G12:G13"/>
    <mergeCell ref="G18:G19"/>
    <mergeCell ref="H18:H19"/>
    <mergeCell ref="G20:G21"/>
    <mergeCell ref="A14:A15"/>
    <mergeCell ref="E14:E15"/>
    <mergeCell ref="A20:A21"/>
    <mergeCell ref="E20:E21"/>
    <mergeCell ref="A16:A17"/>
    <mergeCell ref="E16:E17"/>
    <mergeCell ref="E1:G1"/>
    <mergeCell ref="A1:C1"/>
    <mergeCell ref="A2:A3"/>
    <mergeCell ref="A4:B4"/>
    <mergeCell ref="E4:F4"/>
    <mergeCell ref="H27:J27"/>
    <mergeCell ref="E2:E3"/>
    <mergeCell ref="E7:F7"/>
    <mergeCell ref="E5:E6"/>
    <mergeCell ref="A5:A6"/>
    <mergeCell ref="A7:B7"/>
    <mergeCell ref="F20:F21"/>
    <mergeCell ref="F18:F19"/>
    <mergeCell ref="F16:F17"/>
    <mergeCell ref="F14:F15"/>
    <mergeCell ref="F12:F13"/>
    <mergeCell ref="A18:A19"/>
    <mergeCell ref="E18:E19"/>
    <mergeCell ref="H20:H21"/>
    <mergeCell ref="A12:A13"/>
    <mergeCell ref="E12:E13"/>
    <mergeCell ref="N27:U27"/>
    <mergeCell ref="A33:A35"/>
    <mergeCell ref="A36:B36"/>
    <mergeCell ref="H35:K35"/>
    <mergeCell ref="A32:B32"/>
    <mergeCell ref="A28:A30"/>
    <mergeCell ref="B28:B30"/>
    <mergeCell ref="H28:H29"/>
    <mergeCell ref="I28:I29"/>
    <mergeCell ref="H30:H31"/>
    <mergeCell ref="B33:B35"/>
    <mergeCell ref="H32:H34"/>
    <mergeCell ref="L28:L29"/>
    <mergeCell ref="O31:O32"/>
    <mergeCell ref="N35:P35"/>
    <mergeCell ref="N28:N30"/>
    <mergeCell ref="O28:P30"/>
    <mergeCell ref="N31:N32"/>
    <mergeCell ref="M41:M42"/>
    <mergeCell ref="Q42:Q43"/>
    <mergeCell ref="O41:P41"/>
    <mergeCell ref="N42:N43"/>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sheetPr>
  <dimension ref="A1:AE38"/>
  <sheetViews>
    <sheetView workbookViewId="0">
      <selection activeCell="C19" sqref="C19"/>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229339</v>
      </c>
      <c r="C2" s="2103"/>
      <c r="D2" s="2103"/>
      <c r="E2" s="2103"/>
      <c r="F2" s="2103"/>
      <c r="G2" s="2103"/>
      <c r="H2" s="2103"/>
      <c r="I2" s="2103"/>
      <c r="J2" s="2103"/>
      <c r="K2" s="2103"/>
    </row>
    <row r="3" spans="1:31" s="2040" customFormat="1" ht="18" customHeight="1">
      <c r="A3" s="2105" t="s">
        <v>1684</v>
      </c>
      <c r="B3" s="2106">
        <f ca="1">ROUND(B2*10000/IF(B1="",'数据-汇总表'!E3,INDIRECT("'数据-取费表'!K"&amp;$K$1)),0)</f>
        <v>27549</v>
      </c>
      <c r="C3" s="2103"/>
      <c r="D3" s="2103"/>
      <c r="E3" s="2103"/>
      <c r="F3" s="2103"/>
      <c r="G3" s="2103"/>
      <c r="H3" s="2103"/>
      <c r="I3" s="2103"/>
      <c r="J3" s="2103"/>
      <c r="K3" s="2103"/>
    </row>
    <row r="4" spans="1:31" s="2040" customFormat="1" ht="18" customHeight="1">
      <c r="A4" s="426" t="s">
        <v>467</v>
      </c>
      <c r="B4" s="427">
        <f ca="1">ROUND(B2*10000/IF(B1="",'数据-汇总表'!D3,INDIRECT("'数据-取费表'!R"&amp;$K$1)),0)</f>
        <v>44051</v>
      </c>
      <c r="C4" s="428"/>
      <c r="D4" s="422"/>
      <c r="E4" s="422"/>
      <c r="F4" s="422"/>
      <c r="G4" s="422"/>
      <c r="H4" s="422"/>
      <c r="I4" s="422"/>
      <c r="J4" s="422"/>
      <c r="K4" s="422"/>
    </row>
    <row r="5" spans="1:31" s="2040" customFormat="1" ht="18" customHeight="1" thickBot="1">
      <c r="A5" s="429"/>
      <c r="B5" s="430">
        <f ca="1">ROUND(B2/(IF(B1="",'数据-汇总表'!D3,INDIRECT("'数据-取费表'!R"&amp;$K$1))/666.67),0)</f>
        <v>2937</v>
      </c>
      <c r="C5" s="431" t="s">
        <v>468</v>
      </c>
      <c r="D5" s="422"/>
      <c r="E5" s="422"/>
      <c r="F5" s="422"/>
      <c r="G5" s="422"/>
      <c r="H5" s="422"/>
      <c r="I5" s="422"/>
      <c r="J5" s="422"/>
      <c r="K5" s="422"/>
    </row>
    <row r="6" spans="1:31" s="2110" customFormat="1" ht="16.5" customHeight="1">
      <c r="A6" s="2805" t="s">
        <v>1842</v>
      </c>
      <c r="B6" s="2806"/>
      <c r="C6" s="2807">
        <f>SUM(C10:K10)</f>
        <v>387085.71343599999</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83247.820000000007</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C8*结果表一!C2/10000</f>
        <v>387085.71343599999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21644</v>
      </c>
      <c r="D13" s="2821"/>
      <c r="E13" s="2822"/>
      <c r="F13" s="2823"/>
      <c r="G13" s="2789"/>
      <c r="H13" s="2790"/>
      <c r="I13" s="2790"/>
      <c r="J13" s="2790"/>
      <c r="K13" s="2791"/>
    </row>
    <row r="14" spans="1:31" s="2115" customFormat="1" ht="13.5" customHeight="1">
      <c r="A14" s="2819" t="s">
        <v>1849</v>
      </c>
      <c r="B14" s="2820" t="s">
        <v>479</v>
      </c>
      <c r="C14" s="53">
        <f ca="1">ROUND(C13*F14,0)</f>
        <v>649</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2164</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1665</v>
      </c>
      <c r="D16" s="2821">
        <f ca="1">IF(B1="",'数据-汇总表'!E3,INDIRECT("'数据-取费表'!K"&amp;$K$1)+INDIRECT("'数据-取费表'!S"&amp;$K$1))</f>
        <v>83247.820000000007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325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26447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83247.820000000007</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1332</v>
      </c>
      <c r="D20" s="2831"/>
      <c r="E20" s="2785"/>
      <c r="F20" s="2832"/>
      <c r="G20" s="3062"/>
      <c r="H20" s="2787"/>
      <c r="I20" s="2788" t="s">
        <v>2651</v>
      </c>
      <c r="J20" s="2794"/>
      <c r="K20" s="2795"/>
    </row>
    <row r="21" spans="1:14" s="2115" customFormat="1" ht="13.5" customHeight="1">
      <c r="A21" s="2819" t="s">
        <v>1856</v>
      </c>
      <c r="B21" s="2820" t="s">
        <v>490</v>
      </c>
      <c r="C21" s="53">
        <f ca="1">ROUND(D21*E21/10000,0)</f>
        <v>1332</v>
      </c>
      <c r="D21" s="2821">
        <f ca="1">IF(B1="",'数据-汇总表'!E5,IF(INDIRECT("'数据-取费表'!c"&amp;$K$1)="住宅",INDIRECT("'数据-取费表'!k"&amp;$K$1),0))</f>
        <v>83247.820000000007</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278</v>
      </c>
      <c r="D23" s="468"/>
      <c r="E23" s="468"/>
      <c r="F23" s="2833">
        <f>'数据-取费表'!B37</f>
        <v>0.01</v>
      </c>
      <c r="G23" s="2789" t="s">
        <v>2431</v>
      </c>
      <c r="H23" s="2790"/>
      <c r="I23" s="2790"/>
      <c r="J23" s="2790"/>
      <c r="K23" s="2791"/>
      <c r="L23" s="2117"/>
      <c r="M23" s="2117"/>
      <c r="N23" s="2117"/>
    </row>
    <row r="24" spans="1:14" s="2115" customFormat="1" ht="13.5" customHeight="1">
      <c r="A24" s="2827" t="s">
        <v>1859</v>
      </c>
      <c r="B24" s="3009" t="s">
        <v>2836</v>
      </c>
      <c r="C24" s="2829">
        <f>ROUND(C6*F24,0)</f>
        <v>3871</v>
      </c>
      <c r="D24" s="475"/>
      <c r="E24" s="473"/>
      <c r="F24" s="2833">
        <f>'数据-取费表'!B38</f>
        <v>0.01</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1131</v>
      </c>
      <c r="D26" s="467">
        <f ca="1">C27</f>
        <v>7.4200000000000002E-2</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1131</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20645</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53704</v>
      </c>
      <c r="D30" s="477">
        <f ca="1">C32</f>
        <v>0.1032</v>
      </c>
      <c r="E30" s="469" t="s">
        <v>494</v>
      </c>
      <c r="F30" s="471"/>
      <c r="G30" s="2797" t="s">
        <v>2968</v>
      </c>
      <c r="H30" s="2790"/>
      <c r="I30" s="2790"/>
      <c r="J30" s="2790"/>
      <c r="K30" s="2791"/>
    </row>
    <row r="31" spans="1:14" s="2119" customFormat="1" ht="13.5" customHeight="1">
      <c r="A31" s="803" t="s">
        <v>1856</v>
      </c>
      <c r="B31" s="2835"/>
      <c r="C31" s="450">
        <f ca="1">C18+C19+C20+C23+C24+C26+C29</f>
        <v>53704</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2832</v>
      </c>
      <c r="B33" s="3006" t="s">
        <v>2830</v>
      </c>
      <c r="C33" s="478">
        <f ca="1">C35</f>
        <v>9578</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9578</v>
      </c>
      <c r="D35" s="1628"/>
      <c r="E35" s="2841"/>
      <c r="F35" s="1629"/>
      <c r="G35" s="2799"/>
      <c r="H35" s="2800"/>
      <c r="I35" s="2800"/>
      <c r="J35" s="2800"/>
      <c r="K35" s="2801"/>
    </row>
    <row r="36" spans="1:11" s="2084" customFormat="1" ht="13.5" customHeight="1" thickBot="1">
      <c r="A36" s="284" t="s">
        <v>1844</v>
      </c>
      <c r="B36" s="2803"/>
      <c r="C36" s="2842">
        <f ca="1">ROUND((C6-C30-C33)/(1+D30+D33),0)</f>
        <v>229339</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21644</v>
      </c>
      <c r="D13" s="451"/>
      <c r="E13" s="365"/>
      <c r="F13" s="452"/>
      <c r="G13" s="444"/>
      <c r="H13" s="447"/>
      <c r="I13" s="447"/>
      <c r="J13" s="447"/>
      <c r="K13" s="448"/>
    </row>
    <row r="14" spans="1:41" s="2115" customFormat="1" ht="13.5" customHeight="1">
      <c r="A14" s="1632" t="s">
        <v>1849</v>
      </c>
      <c r="B14" s="449" t="s">
        <v>479</v>
      </c>
      <c r="C14" s="53">
        <f ca="1">ROUND(C13*F14,0)</f>
        <v>649</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2164</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1665</v>
      </c>
      <c r="D16" s="451">
        <f ca="1">IF(B1="",'数据-汇总表'!E3,INDIRECT("'数据-取费表'!K"&amp;$K$1)+INDIRECT("'数据-取费表'!S"&amp;$K$1))</f>
        <v>83247.820000000007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325</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26447</v>
      </c>
      <c r="D18" s="461"/>
      <c r="E18" s="462"/>
      <c r="F18" s="462"/>
      <c r="G18" s="1326" t="s">
        <v>2432</v>
      </c>
      <c r="H18" s="447"/>
      <c r="I18" s="447"/>
      <c r="J18" s="447"/>
      <c r="K18" s="448"/>
    </row>
    <row r="19" spans="1:14" s="2118" customFormat="1" ht="13.5" customHeight="1">
      <c r="A19" s="1633" t="s">
        <v>1854</v>
      </c>
      <c r="B19" s="459" t="s">
        <v>492</v>
      </c>
      <c r="C19" s="460">
        <f ca="1">ROUND(C18*F19,0)</f>
        <v>264</v>
      </c>
      <c r="D19" s="462"/>
      <c r="E19" s="462"/>
      <c r="F19" s="466">
        <f>'数据-取费表'!B37</f>
        <v>0.01</v>
      </c>
      <c r="G19" s="444" t="s">
        <v>502</v>
      </c>
      <c r="H19" s="447"/>
      <c r="I19" s="447"/>
      <c r="J19" s="447"/>
      <c r="K19" s="448"/>
      <c r="L19" s="2120"/>
      <c r="M19" s="2120"/>
      <c r="N19" s="2120"/>
    </row>
    <row r="20" spans="1:14" s="2118" customFormat="1" ht="13.5" customHeight="1">
      <c r="A20" s="1633" t="s">
        <v>1855</v>
      </c>
      <c r="B20" s="459" t="s">
        <v>503</v>
      </c>
      <c r="C20" s="3004">
        <f>F20</f>
        <v>0.01</v>
      </c>
      <c r="D20" s="469" t="s">
        <v>504</v>
      </c>
      <c r="E20" s="469"/>
      <c r="F20" s="486">
        <f>'数据-取费表'!B38</f>
        <v>0.01</v>
      </c>
      <c r="G20" s="1326" t="s">
        <v>505</v>
      </c>
      <c r="H20" s="447"/>
      <c r="I20" s="447"/>
      <c r="J20" s="447"/>
      <c r="K20" s="448"/>
      <c r="L20" s="2120"/>
      <c r="M20" s="2120"/>
      <c r="N20" s="2120"/>
    </row>
    <row r="21" spans="1:14" s="2120" customFormat="1" ht="13.5" customHeight="1">
      <c r="A21" s="1633" t="s">
        <v>1858</v>
      </c>
      <c r="B21" s="461" t="s">
        <v>493</v>
      </c>
      <c r="C21" s="470">
        <f ca="1">C22</f>
        <v>946</v>
      </c>
      <c r="D21" s="467">
        <f ca="1">C23</f>
        <v>4.0000000000000002E-4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946</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4.0000000000000002E-4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8013</v>
      </c>
      <c r="D24" s="489">
        <f ca="1">C26</f>
        <v>3.0000000000000001E-3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8013</v>
      </c>
      <c r="D25" s="472"/>
      <c r="E25" s="473"/>
      <c r="F25" s="480"/>
      <c r="G25" s="1325" t="s">
        <v>2433</v>
      </c>
      <c r="H25" s="457"/>
      <c r="I25" s="457"/>
      <c r="J25" s="457"/>
      <c r="K25" s="458"/>
    </row>
    <row r="26" spans="1:14" s="2119" customFormat="1" ht="13.5" customHeight="1">
      <c r="A26" s="1632" t="s">
        <v>1849</v>
      </c>
      <c r="B26" s="1327" t="s">
        <v>508</v>
      </c>
      <c r="C26" s="491">
        <f ca="1">ROUND(F20*F24,4)</f>
        <v>3.0000000000000001E-3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38219</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330" t="str">
        <f>项目基本情况!B1</f>
        <v>北京市出让国有建设用地使用权市场价格预评估</v>
      </c>
      <c r="C37" s="3330"/>
      <c r="D37" s="3330"/>
      <c r="E37" s="3330"/>
      <c r="F37" s="3330"/>
      <c r="G37" s="3330"/>
      <c r="H37" s="3330"/>
      <c r="I37" s="3330"/>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584" t="s">
        <v>521</v>
      </c>
      <c r="D6" s="3585"/>
      <c r="E6" s="3584" t="s">
        <v>522</v>
      </c>
      <c r="F6" s="3585"/>
      <c r="G6" s="3584" t="s">
        <v>523</v>
      </c>
      <c r="H6" s="3585"/>
      <c r="I6" s="3584" t="s">
        <v>524</v>
      </c>
      <c r="J6" s="3585"/>
      <c r="K6" s="514" t="s">
        <v>525</v>
      </c>
      <c r="L6" s="2132"/>
      <c r="M6" s="2131"/>
      <c r="N6" s="2131"/>
      <c r="O6" s="2133"/>
      <c r="P6" s="3586" t="s">
        <v>526</v>
      </c>
      <c r="Q6" s="3587"/>
      <c r="R6" s="3592" t="s">
        <v>522</v>
      </c>
      <c r="S6" s="3593"/>
      <c r="T6" s="3592" t="s">
        <v>523</v>
      </c>
      <c r="U6" s="3593"/>
      <c r="V6" s="3579" t="s">
        <v>524</v>
      </c>
      <c r="W6" s="3579"/>
      <c r="X6" s="1566"/>
      <c r="Y6" s="3592" t="s">
        <v>526</v>
      </c>
      <c r="Z6" s="3593"/>
      <c r="AA6" s="3581" t="s">
        <v>522</v>
      </c>
      <c r="AB6" s="3582" t="s">
        <v>523</v>
      </c>
      <c r="AC6" s="3581" t="s">
        <v>524</v>
      </c>
    </row>
    <row r="7" spans="1:30" ht="20.25">
      <c r="A7" s="515"/>
      <c r="B7" s="516"/>
      <c r="C7" s="3600" t="s">
        <v>2925</v>
      </c>
      <c r="D7" s="3601"/>
      <c r="E7" s="3600" t="s">
        <v>2926</v>
      </c>
      <c r="F7" s="3601"/>
      <c r="G7" s="3600" t="s">
        <v>2927</v>
      </c>
      <c r="H7" s="3601"/>
      <c r="I7" s="3600" t="s">
        <v>2928</v>
      </c>
      <c r="J7" s="3601"/>
      <c r="K7" s="514"/>
      <c r="L7" s="2132"/>
      <c r="M7" s="2131"/>
      <c r="N7" s="2131"/>
      <c r="O7" s="2133"/>
      <c r="P7" s="3588"/>
      <c r="Q7" s="3589"/>
      <c r="R7" s="3594"/>
      <c r="S7" s="3595"/>
      <c r="T7" s="3594"/>
      <c r="U7" s="3595"/>
      <c r="V7" s="3579"/>
      <c r="W7" s="3579"/>
      <c r="X7" s="1566"/>
      <c r="Y7" s="3594"/>
      <c r="Z7" s="3595"/>
      <c r="AA7" s="3582"/>
      <c r="AB7" s="3582"/>
      <c r="AC7" s="3582"/>
    </row>
    <row r="8" spans="1:30" ht="21" thickBot="1">
      <c r="A8" s="515"/>
      <c r="B8" s="516"/>
      <c r="C8" s="3602" t="s">
        <v>2929</v>
      </c>
      <c r="D8" s="3603"/>
      <c r="E8" s="3602" t="s">
        <v>2929</v>
      </c>
      <c r="F8" s="3603"/>
      <c r="G8" s="3598" t="s">
        <v>2929</v>
      </c>
      <c r="H8" s="3599"/>
      <c r="I8" s="3598" t="s">
        <v>2929</v>
      </c>
      <c r="J8" s="3599"/>
      <c r="K8" s="514" t="s">
        <v>527</v>
      </c>
      <c r="L8" s="2132"/>
      <c r="M8" s="2131"/>
      <c r="N8" s="2131"/>
      <c r="O8" s="2133"/>
      <c r="P8" s="3590"/>
      <c r="Q8" s="3591"/>
      <c r="R8" s="3594"/>
      <c r="S8" s="3595"/>
      <c r="T8" s="3596"/>
      <c r="U8" s="3597"/>
      <c r="V8" s="3579"/>
      <c r="W8" s="3579"/>
      <c r="X8" s="1566"/>
      <c r="Y8" s="3596"/>
      <c r="Z8" s="3597"/>
      <c r="AA8" s="3583"/>
      <c r="AB8" s="3583"/>
      <c r="AC8" s="3583"/>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609" t="s">
        <v>529</v>
      </c>
      <c r="Q9" s="3611"/>
      <c r="R9" s="1567" t="s">
        <v>8</v>
      </c>
      <c r="S9" s="1568">
        <f t="shared" ref="S9:S17" si="0">F9</f>
        <v>0</v>
      </c>
      <c r="T9" s="1567" t="s">
        <v>8</v>
      </c>
      <c r="U9" s="1568">
        <f t="shared" ref="U9:U17" si="1">H9</f>
        <v>0</v>
      </c>
      <c r="V9" s="1567" t="s">
        <v>8</v>
      </c>
      <c r="W9" s="1568">
        <f t="shared" ref="W9:W17" si="2">J9</f>
        <v>0</v>
      </c>
      <c r="X9" s="1569"/>
      <c r="Y9" s="3609" t="s">
        <v>529</v>
      </c>
      <c r="Z9" s="3610"/>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609" t="s">
        <v>532</v>
      </c>
      <c r="Q10" s="3610"/>
      <c r="R10" s="1567" t="s">
        <v>8</v>
      </c>
      <c r="S10" s="1568">
        <f t="shared" si="0"/>
        <v>0</v>
      </c>
      <c r="T10" s="1567" t="s">
        <v>8</v>
      </c>
      <c r="U10" s="1568">
        <f t="shared" si="1"/>
        <v>0</v>
      </c>
      <c r="V10" s="1567" t="s">
        <v>8</v>
      </c>
      <c r="W10" s="1568">
        <f t="shared" si="2"/>
        <v>0</v>
      </c>
      <c r="X10" s="1569"/>
      <c r="Y10" s="3609" t="s">
        <v>532</v>
      </c>
      <c r="Z10" s="3610"/>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578" t="s">
        <v>534</v>
      </c>
      <c r="Q11" s="1150" t="str">
        <f t="shared" ref="Q11:Q17" si="6">B11</f>
        <v>用途</v>
      </c>
      <c r="R11" s="1567" t="s">
        <v>8</v>
      </c>
      <c r="S11" s="1568">
        <f t="shared" si="0"/>
        <v>100</v>
      </c>
      <c r="T11" s="1567" t="s">
        <v>8</v>
      </c>
      <c r="U11" s="1568">
        <f t="shared" si="1"/>
        <v>100</v>
      </c>
      <c r="V11" s="1567" t="s">
        <v>8</v>
      </c>
      <c r="W11" s="1568">
        <f t="shared" si="2"/>
        <v>100</v>
      </c>
      <c r="X11" s="1569"/>
      <c r="Y11" s="3442"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109</v>
      </c>
      <c r="G12" s="530"/>
      <c r="H12" s="255">
        <f>ROUND(100/'数据-取费表'!G16,0)</f>
        <v>109</v>
      </c>
      <c r="I12" s="530"/>
      <c r="J12" s="255">
        <f>ROUND(100/'数据-取费表'!G16,0)</f>
        <v>109</v>
      </c>
      <c r="K12" s="531"/>
      <c r="L12" s="2137"/>
      <c r="M12" s="2131"/>
      <c r="N12" s="2131"/>
      <c r="O12" s="2138"/>
      <c r="P12" s="3578"/>
      <c r="Q12" s="1150" t="str">
        <f t="shared" si="6"/>
        <v>土地使用年限（年）</v>
      </c>
      <c r="R12" s="1567" t="s">
        <v>8</v>
      </c>
      <c r="S12" s="1568">
        <f t="shared" si="0"/>
        <v>109</v>
      </c>
      <c r="T12" s="1567" t="s">
        <v>8</v>
      </c>
      <c r="U12" s="1568">
        <f t="shared" si="1"/>
        <v>109</v>
      </c>
      <c r="V12" s="1567" t="s">
        <v>8</v>
      </c>
      <c r="W12" s="1568">
        <f t="shared" si="2"/>
        <v>109</v>
      </c>
      <c r="X12" s="1569"/>
      <c r="Y12" s="3442"/>
      <c r="Z12" s="1149" t="str">
        <f t="shared" si="7"/>
        <v>土地使用年限（年）</v>
      </c>
      <c r="AA12" s="1570">
        <f t="shared" si="3"/>
        <v>0.91743119266055051</v>
      </c>
      <c r="AB12" s="1570">
        <f t="shared" si="4"/>
        <v>0.91743119266055051</v>
      </c>
      <c r="AC12" s="1570">
        <f t="shared" si="5"/>
        <v>0.91743119266055051</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578"/>
      <c r="Q13" s="1150" t="str">
        <f t="shared" si="6"/>
        <v>容积率</v>
      </c>
      <c r="R13" s="1567" t="s">
        <v>8</v>
      </c>
      <c r="S13" s="1568" t="e">
        <f t="shared" si="0"/>
        <v>#N/A</v>
      </c>
      <c r="T13" s="1567" t="s">
        <v>8</v>
      </c>
      <c r="U13" s="1568" t="e">
        <f t="shared" si="1"/>
        <v>#N/A</v>
      </c>
      <c r="V13" s="1567" t="s">
        <v>8</v>
      </c>
      <c r="W13" s="1568" t="e">
        <f t="shared" si="2"/>
        <v>#N/A</v>
      </c>
      <c r="X13" s="1569"/>
      <c r="Y13" s="3442"/>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578"/>
      <c r="Q14" s="1150" t="str">
        <f t="shared" si="6"/>
        <v>配建</v>
      </c>
      <c r="R14" s="1567" t="s">
        <v>8</v>
      </c>
      <c r="S14" s="1568">
        <f t="shared" si="0"/>
        <v>100</v>
      </c>
      <c r="T14" s="1567" t="s">
        <v>8</v>
      </c>
      <c r="U14" s="1568">
        <f t="shared" si="1"/>
        <v>100</v>
      </c>
      <c r="V14" s="1567" t="s">
        <v>8</v>
      </c>
      <c r="W14" s="1568">
        <f t="shared" si="2"/>
        <v>100</v>
      </c>
      <c r="X14" s="1569"/>
      <c r="Y14" s="3442"/>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578"/>
      <c r="Q15" s="1150">
        <f t="shared" si="6"/>
        <v>111</v>
      </c>
      <c r="R15" s="1567" t="s">
        <v>8</v>
      </c>
      <c r="S15" s="1568">
        <f t="shared" si="0"/>
        <v>100</v>
      </c>
      <c r="T15" s="1567" t="s">
        <v>8</v>
      </c>
      <c r="U15" s="1568">
        <f t="shared" si="1"/>
        <v>100</v>
      </c>
      <c r="V15" s="1567" t="s">
        <v>8</v>
      </c>
      <c r="W15" s="1568">
        <f t="shared" si="2"/>
        <v>100</v>
      </c>
      <c r="X15" s="1569"/>
      <c r="Y15" s="3442"/>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578"/>
      <c r="Q16" s="1150">
        <f t="shared" si="6"/>
        <v>111</v>
      </c>
      <c r="R16" s="1567" t="s">
        <v>8</v>
      </c>
      <c r="S16" s="1568">
        <f t="shared" si="0"/>
        <v>100</v>
      </c>
      <c r="T16" s="1567" t="s">
        <v>8</v>
      </c>
      <c r="U16" s="1568">
        <f t="shared" si="1"/>
        <v>100</v>
      </c>
      <c r="V16" s="1567" t="s">
        <v>8</v>
      </c>
      <c r="W16" s="1568">
        <f t="shared" si="2"/>
        <v>100</v>
      </c>
      <c r="X16" s="1569"/>
      <c r="Y16" s="3442"/>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612" t="s">
        <v>539</v>
      </c>
      <c r="Q17" s="1571" t="str">
        <f t="shared" si="6"/>
        <v>居住社区成熟度</v>
      </c>
      <c r="R17" s="1572" t="s">
        <v>8</v>
      </c>
      <c r="S17" s="1573">
        <f t="shared" si="0"/>
        <v>100</v>
      </c>
      <c r="T17" s="1572" t="s">
        <v>8</v>
      </c>
      <c r="U17" s="1573">
        <f t="shared" si="1"/>
        <v>100</v>
      </c>
      <c r="V17" s="1572" t="s">
        <v>8</v>
      </c>
      <c r="W17" s="1573">
        <f t="shared" si="2"/>
        <v>100</v>
      </c>
      <c r="X17" s="1566"/>
      <c r="Y17" s="3612"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613"/>
      <c r="Q18" s="1571"/>
      <c r="R18" s="1572"/>
      <c r="S18" s="1573"/>
      <c r="T18" s="1572"/>
      <c r="U18" s="1573"/>
      <c r="V18" s="1572"/>
      <c r="W18" s="1573"/>
      <c r="X18" s="1566"/>
      <c r="Y18" s="3613"/>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613"/>
      <c r="Q19" s="1571" t="str">
        <f>B19</f>
        <v>商业繁华度</v>
      </c>
      <c r="R19" s="1572" t="s">
        <v>8</v>
      </c>
      <c r="S19" s="1573">
        <f>F19</f>
        <v>100</v>
      </c>
      <c r="T19" s="1572" t="s">
        <v>8</v>
      </c>
      <c r="U19" s="1573">
        <f>H19</f>
        <v>100</v>
      </c>
      <c r="V19" s="1572" t="s">
        <v>8</v>
      </c>
      <c r="W19" s="1573">
        <f>J19</f>
        <v>100</v>
      </c>
      <c r="X19" s="1566"/>
      <c r="Y19" s="3613"/>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613"/>
      <c r="Q20" s="1571"/>
      <c r="R20" s="1572"/>
      <c r="S20" s="1573"/>
      <c r="T20" s="1572"/>
      <c r="U20" s="1573"/>
      <c r="V20" s="1572"/>
      <c r="W20" s="1573"/>
      <c r="X20" s="1566"/>
      <c r="Y20" s="3613"/>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613"/>
      <c r="Q21" s="1571" t="str">
        <f>B21</f>
        <v>办公集聚程度</v>
      </c>
      <c r="R21" s="1572" t="s">
        <v>8</v>
      </c>
      <c r="S21" s="1573">
        <f>F21</f>
        <v>100</v>
      </c>
      <c r="T21" s="1572" t="s">
        <v>8</v>
      </c>
      <c r="U21" s="1573">
        <f>H21</f>
        <v>100</v>
      </c>
      <c r="V21" s="1572" t="s">
        <v>8</v>
      </c>
      <c r="W21" s="1573">
        <f>J21</f>
        <v>100</v>
      </c>
      <c r="X21" s="1566"/>
      <c r="Y21" s="3613"/>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613"/>
      <c r="Q22" s="1571"/>
      <c r="R22" s="1572"/>
      <c r="S22" s="1573"/>
      <c r="T22" s="1572"/>
      <c r="U22" s="1573"/>
      <c r="V22" s="1572"/>
      <c r="W22" s="1573"/>
      <c r="X22" s="1566"/>
      <c r="Y22" s="3613"/>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613"/>
      <c r="Q23" s="1571" t="str">
        <f>B23</f>
        <v>交通便捷度</v>
      </c>
      <c r="R23" s="1572" t="s">
        <v>8</v>
      </c>
      <c r="S23" s="1573">
        <f>F23</f>
        <v>100</v>
      </c>
      <c r="T23" s="1572" t="s">
        <v>8</v>
      </c>
      <c r="U23" s="1573">
        <f>H23</f>
        <v>100</v>
      </c>
      <c r="V23" s="1572" t="s">
        <v>8</v>
      </c>
      <c r="W23" s="1573">
        <f>J23</f>
        <v>100</v>
      </c>
      <c r="X23" s="1566"/>
      <c r="Y23" s="3613"/>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613"/>
      <c r="Q24" s="1571"/>
      <c r="R24" s="1572"/>
      <c r="S24" s="1573"/>
      <c r="T24" s="1572"/>
      <c r="U24" s="1573"/>
      <c r="V24" s="1572"/>
      <c r="W24" s="1573"/>
      <c r="X24" s="1566"/>
      <c r="Y24" s="3613"/>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613"/>
      <c r="Q25" s="1571" t="str">
        <f t="shared" ref="Q25:Q39" si="8">B25</f>
        <v>区域土地利用方向</v>
      </c>
      <c r="R25" s="1572" t="s">
        <v>8</v>
      </c>
      <c r="S25" s="1573">
        <f>F25</f>
        <v>100</v>
      </c>
      <c r="T25" s="1572" t="s">
        <v>8</v>
      </c>
      <c r="U25" s="1573">
        <f>H25</f>
        <v>100</v>
      </c>
      <c r="V25" s="1572" t="s">
        <v>8</v>
      </c>
      <c r="W25" s="1573">
        <f>J25</f>
        <v>100</v>
      </c>
      <c r="X25" s="1566"/>
      <c r="Y25" s="3613"/>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613"/>
      <c r="Q26" s="1571"/>
      <c r="R26" s="1572"/>
      <c r="S26" s="1573"/>
      <c r="T26" s="1572"/>
      <c r="U26" s="1573"/>
      <c r="V26" s="1572"/>
      <c r="W26" s="1573"/>
      <c r="X26" s="1566"/>
      <c r="Y26" s="3613"/>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613"/>
      <c r="Q27" s="1571" t="str">
        <f t="shared" si="8"/>
        <v>自然及人文环境状况</v>
      </c>
      <c r="R27" s="1572" t="s">
        <v>8</v>
      </c>
      <c r="S27" s="1573">
        <f>F27</f>
        <v>100</v>
      </c>
      <c r="T27" s="1572" t="s">
        <v>8</v>
      </c>
      <c r="U27" s="1573">
        <f>H27</f>
        <v>100</v>
      </c>
      <c r="V27" s="1572" t="s">
        <v>8</v>
      </c>
      <c r="W27" s="1573">
        <f>J27</f>
        <v>100</v>
      </c>
      <c r="X27" s="1566"/>
      <c r="Y27" s="3613"/>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613"/>
      <c r="Q28" s="1571"/>
      <c r="R28" s="1572"/>
      <c r="S28" s="1573"/>
      <c r="T28" s="1572"/>
      <c r="U28" s="1573"/>
      <c r="V28" s="1572"/>
      <c r="W28" s="1573"/>
      <c r="X28" s="1566"/>
      <c r="Y28" s="3613"/>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613"/>
      <c r="Q29" s="1150" t="str">
        <f t="shared" si="8"/>
        <v>公共配套设施</v>
      </c>
      <c r="R29" s="1567" t="s">
        <v>8</v>
      </c>
      <c r="S29" s="1568">
        <f>F29</f>
        <v>100</v>
      </c>
      <c r="T29" s="1567" t="s">
        <v>8</v>
      </c>
      <c r="U29" s="1568">
        <f>H29</f>
        <v>100</v>
      </c>
      <c r="V29" s="1567" t="s">
        <v>8</v>
      </c>
      <c r="W29" s="1568">
        <f>J29</f>
        <v>100</v>
      </c>
      <c r="X29" s="1569"/>
      <c r="Y29" s="3613"/>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613"/>
      <c r="Q30" s="1150"/>
      <c r="R30" s="1567"/>
      <c r="S30" s="1568"/>
      <c r="T30" s="1567"/>
      <c r="U30" s="1568"/>
      <c r="V30" s="1567"/>
      <c r="W30" s="1568"/>
      <c r="X30" s="1569"/>
      <c r="Y30" s="3613"/>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613"/>
      <c r="Q31" s="2556" t="str">
        <f t="shared" ref="Q31" si="9">B31</f>
        <v>基础设施水平</v>
      </c>
      <c r="R31" s="1567" t="s">
        <v>8</v>
      </c>
      <c r="S31" s="1568">
        <f>F31</f>
        <v>100</v>
      </c>
      <c r="T31" s="1567" t="s">
        <v>8</v>
      </c>
      <c r="U31" s="1568">
        <f>H31</f>
        <v>100</v>
      </c>
      <c r="V31" s="1567" t="s">
        <v>8</v>
      </c>
      <c r="W31" s="1568">
        <f>J31</f>
        <v>100</v>
      </c>
      <c r="X31" s="1569"/>
      <c r="Y31" s="3613"/>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613"/>
      <c r="Q32" s="2556"/>
      <c r="R32" s="1567"/>
      <c r="S32" s="1568"/>
      <c r="T32" s="1567"/>
      <c r="U32" s="1568"/>
      <c r="V32" s="1567"/>
      <c r="W32" s="1568"/>
      <c r="X32" s="1569"/>
      <c r="Y32" s="3613"/>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61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613"/>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613"/>
      <c r="Q34" s="1571" t="str">
        <f t="shared" si="8"/>
        <v>毗邻道路的类型与等级</v>
      </c>
      <c r="R34" s="1572" t="s">
        <v>8</v>
      </c>
      <c r="S34" s="1573">
        <f t="shared" si="10"/>
        <v>100</v>
      </c>
      <c r="T34" s="1572" t="s">
        <v>8</v>
      </c>
      <c r="U34" s="1573">
        <f t="shared" si="11"/>
        <v>100</v>
      </c>
      <c r="V34" s="1572" t="s">
        <v>8</v>
      </c>
      <c r="W34" s="1573">
        <f t="shared" si="12"/>
        <v>100</v>
      </c>
      <c r="X34" s="1566"/>
      <c r="Y34" s="3613"/>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613"/>
      <c r="Q35" s="1571"/>
      <c r="R35" s="1572"/>
      <c r="S35" s="1573"/>
      <c r="T35" s="1572"/>
      <c r="U35" s="1573"/>
      <c r="V35" s="1572"/>
      <c r="W35" s="1573"/>
      <c r="X35" s="1566"/>
      <c r="Y35" s="3613"/>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613"/>
      <c r="Q36" s="1571" t="str">
        <f t="shared" si="8"/>
        <v>土地级别</v>
      </c>
      <c r="R36" s="1572" t="s">
        <v>8</v>
      </c>
      <c r="S36" s="1573">
        <f t="shared" si="10"/>
        <v>100</v>
      </c>
      <c r="T36" s="1572" t="s">
        <v>8</v>
      </c>
      <c r="U36" s="1573">
        <f t="shared" si="11"/>
        <v>100</v>
      </c>
      <c r="V36" s="1572" t="s">
        <v>8</v>
      </c>
      <c r="W36" s="1573">
        <f t="shared" si="12"/>
        <v>100</v>
      </c>
      <c r="X36" s="1566"/>
      <c r="Y36" s="3613"/>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613"/>
      <c r="Q37" s="1571">
        <f t="shared" si="8"/>
        <v>111</v>
      </c>
      <c r="R37" s="1572" t="s">
        <v>8</v>
      </c>
      <c r="S37" s="1573">
        <f t="shared" si="10"/>
        <v>100</v>
      </c>
      <c r="T37" s="1572" t="s">
        <v>8</v>
      </c>
      <c r="U37" s="1573">
        <f t="shared" si="11"/>
        <v>100</v>
      </c>
      <c r="V37" s="1572" t="s">
        <v>8</v>
      </c>
      <c r="W37" s="1573">
        <f t="shared" si="12"/>
        <v>100</v>
      </c>
      <c r="X37" s="1566"/>
      <c r="Y37" s="3613"/>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614" t="s">
        <v>549</v>
      </c>
      <c r="Q38" s="1571">
        <f t="shared" si="8"/>
        <v>111</v>
      </c>
      <c r="R38" s="1572" t="s">
        <v>8</v>
      </c>
      <c r="S38" s="1573">
        <f t="shared" si="10"/>
        <v>100</v>
      </c>
      <c r="T38" s="1572" t="s">
        <v>8</v>
      </c>
      <c r="U38" s="1573">
        <f t="shared" si="11"/>
        <v>100</v>
      </c>
      <c r="V38" s="1572" t="s">
        <v>8</v>
      </c>
      <c r="W38" s="1573">
        <f t="shared" si="12"/>
        <v>100</v>
      </c>
      <c r="X38" s="1566"/>
      <c r="Y38" s="3615"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615"/>
      <c r="Q39" s="1571">
        <f t="shared" si="8"/>
        <v>111</v>
      </c>
      <c r="R39" s="1576" t="s">
        <v>8</v>
      </c>
      <c r="S39" s="1577">
        <f t="shared" si="10"/>
        <v>100</v>
      </c>
      <c r="T39" s="1576" t="s">
        <v>8</v>
      </c>
      <c r="U39" s="1577">
        <f t="shared" si="11"/>
        <v>100</v>
      </c>
      <c r="V39" s="1576" t="s">
        <v>8</v>
      </c>
      <c r="W39" s="1577">
        <f t="shared" si="12"/>
        <v>100</v>
      </c>
      <c r="X39" s="1578"/>
      <c r="Y39" s="3615"/>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615"/>
      <c r="Q40" s="1571" t="str">
        <f>B40</f>
        <v>宗地面积</v>
      </c>
      <c r="R40" s="1572" t="s">
        <v>8</v>
      </c>
      <c r="S40" s="1573" t="e">
        <f t="shared" si="10"/>
        <v>#N/A</v>
      </c>
      <c r="T40" s="1572" t="s">
        <v>8</v>
      </c>
      <c r="U40" s="1573" t="e">
        <f t="shared" si="11"/>
        <v>#N/A</v>
      </c>
      <c r="V40" s="1572" t="s">
        <v>8</v>
      </c>
      <c r="W40" s="1573" t="e">
        <f t="shared" si="12"/>
        <v>#N/A</v>
      </c>
      <c r="X40" s="1566"/>
      <c r="Y40" s="3615"/>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615"/>
      <c r="Q41" s="1571" t="str">
        <f t="shared" ref="Q41:Q47" si="14">B41</f>
        <v>宗地形状</v>
      </c>
      <c r="R41" s="1572" t="s">
        <v>8</v>
      </c>
      <c r="S41" s="1573">
        <f t="shared" si="10"/>
        <v>100</v>
      </c>
      <c r="T41" s="1572" t="s">
        <v>8</v>
      </c>
      <c r="U41" s="1573">
        <f t="shared" si="11"/>
        <v>100</v>
      </c>
      <c r="V41" s="1572" t="s">
        <v>8</v>
      </c>
      <c r="W41" s="1573">
        <f t="shared" si="12"/>
        <v>100</v>
      </c>
      <c r="X41" s="1566"/>
      <c r="Y41" s="3615"/>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615"/>
      <c r="Q42" s="1571" t="str">
        <f t="shared" si="14"/>
        <v>临街宽度及深度</v>
      </c>
      <c r="R42" s="1572" t="s">
        <v>8</v>
      </c>
      <c r="S42" s="1573">
        <f t="shared" si="10"/>
        <v>100</v>
      </c>
      <c r="T42" s="1572" t="s">
        <v>8</v>
      </c>
      <c r="U42" s="1573">
        <f t="shared" si="11"/>
        <v>100</v>
      </c>
      <c r="V42" s="1572" t="s">
        <v>8</v>
      </c>
      <c r="W42" s="1573">
        <f t="shared" si="12"/>
        <v>100</v>
      </c>
      <c r="X42" s="1566"/>
      <c r="Y42" s="3615"/>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615"/>
      <c r="Q43" s="1571" t="str">
        <f t="shared" si="14"/>
        <v>宗地开发程度</v>
      </c>
      <c r="R43" s="1567" t="s">
        <v>8</v>
      </c>
      <c r="S43" s="1568">
        <f t="shared" si="10"/>
        <v>100</v>
      </c>
      <c r="T43" s="1567" t="s">
        <v>8</v>
      </c>
      <c r="U43" s="1568">
        <f t="shared" si="11"/>
        <v>100</v>
      </c>
      <c r="V43" s="1567" t="s">
        <v>8</v>
      </c>
      <c r="W43" s="1568">
        <f t="shared" si="12"/>
        <v>100</v>
      </c>
      <c r="X43" s="1569"/>
      <c r="Y43" s="3615"/>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615" t="s">
        <v>549</v>
      </c>
      <c r="Q44" s="1571" t="str">
        <f t="shared" si="14"/>
        <v>工程地质条件</v>
      </c>
      <c r="R44" s="1572" t="s">
        <v>8</v>
      </c>
      <c r="S44" s="1573">
        <f t="shared" si="10"/>
        <v>100</v>
      </c>
      <c r="T44" s="1572" t="s">
        <v>8</v>
      </c>
      <c r="U44" s="1573">
        <f t="shared" si="11"/>
        <v>100</v>
      </c>
      <c r="V44" s="1572" t="s">
        <v>8</v>
      </c>
      <c r="W44" s="1573">
        <f t="shared" si="12"/>
        <v>100</v>
      </c>
      <c r="X44" s="1566"/>
      <c r="Y44" s="3615"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615"/>
      <c r="Q45" s="1571">
        <f t="shared" si="14"/>
        <v>111</v>
      </c>
      <c r="R45" s="1572" t="s">
        <v>8</v>
      </c>
      <c r="S45" s="1573">
        <f t="shared" si="10"/>
        <v>100</v>
      </c>
      <c r="T45" s="1572" t="s">
        <v>8</v>
      </c>
      <c r="U45" s="1573">
        <f t="shared" si="11"/>
        <v>100</v>
      </c>
      <c r="V45" s="1572" t="s">
        <v>8</v>
      </c>
      <c r="W45" s="1573">
        <f t="shared" si="12"/>
        <v>100</v>
      </c>
      <c r="X45" s="1566"/>
      <c r="Y45" s="3615"/>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615"/>
      <c r="Q46" s="1571">
        <f t="shared" si="14"/>
        <v>111</v>
      </c>
      <c r="R46" s="1572" t="s">
        <v>8</v>
      </c>
      <c r="S46" s="1573">
        <f t="shared" si="10"/>
        <v>100</v>
      </c>
      <c r="T46" s="1572" t="s">
        <v>8</v>
      </c>
      <c r="U46" s="1573">
        <f t="shared" si="11"/>
        <v>100</v>
      </c>
      <c r="V46" s="1572" t="s">
        <v>8</v>
      </c>
      <c r="W46" s="1573">
        <f t="shared" si="12"/>
        <v>100</v>
      </c>
      <c r="X46" s="1566"/>
      <c r="Y46" s="3615"/>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615"/>
      <c r="Q47" s="1571">
        <f t="shared" si="14"/>
        <v>111</v>
      </c>
      <c r="R47" s="1576" t="s">
        <v>8</v>
      </c>
      <c r="S47" s="1577">
        <f t="shared" si="10"/>
        <v>100</v>
      </c>
      <c r="T47" s="1576" t="s">
        <v>8</v>
      </c>
      <c r="U47" s="1577">
        <f t="shared" si="11"/>
        <v>100</v>
      </c>
      <c r="V47" s="1576" t="s">
        <v>8</v>
      </c>
      <c r="W47" s="1577">
        <f t="shared" si="12"/>
        <v>100</v>
      </c>
      <c r="X47" s="1578"/>
      <c r="Y47" s="3615"/>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578" t="str">
        <f>A48</f>
        <v>成交单价</v>
      </c>
      <c r="Q48" s="3578"/>
      <c r="R48" s="3579">
        <f>E48</f>
        <v>0</v>
      </c>
      <c r="S48" s="3579"/>
      <c r="T48" s="3579">
        <f>G48</f>
        <v>0</v>
      </c>
      <c r="U48" s="3579"/>
      <c r="V48" s="3579">
        <f>I48</f>
        <v>0</v>
      </c>
      <c r="W48" s="3579"/>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578" t="str">
        <f>A49</f>
        <v>比较价格（元/平方米）</v>
      </c>
      <c r="Q49" s="3578"/>
      <c r="R49" s="3580" t="e">
        <f>ROUND(PRODUCT(R48,AA9:AA47),0)</f>
        <v>#DIV/0!</v>
      </c>
      <c r="S49" s="3580"/>
      <c r="T49" s="3580" t="e">
        <f>ROUND(PRODUCT(T48,AB9:AB47),0)</f>
        <v>#DIV/0!</v>
      </c>
      <c r="U49" s="3580"/>
      <c r="V49" s="3580" t="e">
        <f>ROUND(PRODUCT(V48,AC9:AC47),0)</f>
        <v>#DIV/0!</v>
      </c>
      <c r="W49" s="3580"/>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75" t="str">
        <f>A50</f>
        <v>估价对象XX用房的比较价格（楼面单价，元/平方米）</v>
      </c>
      <c r="Q50" s="3576"/>
      <c r="R50" s="3577" t="e">
        <f>ROUND(AVERAGE(R49:V49),0)</f>
        <v>#DIV/0!</v>
      </c>
      <c r="S50" s="3577"/>
      <c r="T50" s="3577"/>
      <c r="U50" s="3577"/>
      <c r="V50" s="3577"/>
      <c r="W50" s="3577"/>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604" t="s">
        <v>2281</v>
      </c>
      <c r="H57" s="3605"/>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98674.52</v>
      </c>
      <c r="F58" s="636" t="e">
        <f t="shared" ref="F58:F67" si="15">ROUND(B58*E58/10000,0)</f>
        <v>#DIV/0!</v>
      </c>
      <c r="G58" s="3606"/>
      <c r="H58" s="3607"/>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608"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608"/>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608"/>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608"/>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"北京市平均增长率"&amp;TEXT(SUMIF('基准地价-55住宅'!N21:N25,A73,'基准地价-55住宅'!P21:P25),"0.00%")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584" t="s">
        <v>521</v>
      </c>
      <c r="D6" s="3585"/>
      <c r="E6" s="3618" t="s">
        <v>522</v>
      </c>
      <c r="F6" s="3619"/>
      <c r="G6" s="3584" t="s">
        <v>523</v>
      </c>
      <c r="H6" s="3585"/>
      <c r="I6" s="3584" t="s">
        <v>524</v>
      </c>
      <c r="J6" s="3585"/>
      <c r="K6" s="514" t="s">
        <v>525</v>
      </c>
      <c r="L6" s="2132"/>
      <c r="M6" s="2133"/>
      <c r="N6" s="2133"/>
      <c r="O6" s="2133"/>
      <c r="P6" s="3586" t="s">
        <v>526</v>
      </c>
      <c r="Q6" s="3587"/>
      <c r="R6" s="3592" t="s">
        <v>522</v>
      </c>
      <c r="S6" s="3593"/>
      <c r="T6" s="3592" t="s">
        <v>523</v>
      </c>
      <c r="U6" s="3593"/>
      <c r="V6" s="3579" t="s">
        <v>524</v>
      </c>
      <c r="W6" s="3579"/>
      <c r="X6" s="1566"/>
      <c r="Y6" s="3592" t="s">
        <v>526</v>
      </c>
      <c r="Z6" s="3593"/>
      <c r="AA6" s="3581" t="s">
        <v>522</v>
      </c>
      <c r="AB6" s="3582" t="s">
        <v>523</v>
      </c>
      <c r="AC6" s="3581" t="s">
        <v>524</v>
      </c>
    </row>
    <row r="7" spans="1:29" ht="15">
      <c r="A7" s="515"/>
      <c r="B7" s="516"/>
      <c r="C7" s="3600" t="s">
        <v>2925</v>
      </c>
      <c r="D7" s="3601"/>
      <c r="E7" s="3620" t="s">
        <v>2926</v>
      </c>
      <c r="F7" s="3621"/>
      <c r="G7" s="3600" t="s">
        <v>2927</v>
      </c>
      <c r="H7" s="3601"/>
      <c r="I7" s="3600" t="s">
        <v>2928</v>
      </c>
      <c r="J7" s="3601"/>
      <c r="K7" s="514"/>
      <c r="L7" s="2132"/>
      <c r="M7" s="2133"/>
      <c r="N7" s="2133"/>
      <c r="O7" s="2133"/>
      <c r="P7" s="3588"/>
      <c r="Q7" s="3589"/>
      <c r="R7" s="3594"/>
      <c r="S7" s="3595"/>
      <c r="T7" s="3594"/>
      <c r="U7" s="3595"/>
      <c r="V7" s="3579"/>
      <c r="W7" s="3579"/>
      <c r="X7" s="1566"/>
      <c r="Y7" s="3594"/>
      <c r="Z7" s="3595"/>
      <c r="AA7" s="3582"/>
      <c r="AB7" s="3582"/>
      <c r="AC7" s="3582"/>
    </row>
    <row r="8" spans="1:29" ht="15.75" thickBot="1">
      <c r="A8" s="517"/>
      <c r="B8" s="518"/>
      <c r="C8" s="3598" t="s">
        <v>2929</v>
      </c>
      <c r="D8" s="3599"/>
      <c r="E8" s="3616" t="s">
        <v>2929</v>
      </c>
      <c r="F8" s="3617"/>
      <c r="G8" s="3598" t="s">
        <v>2929</v>
      </c>
      <c r="H8" s="3599"/>
      <c r="I8" s="3598" t="s">
        <v>2929</v>
      </c>
      <c r="J8" s="3599"/>
      <c r="K8" s="514" t="s">
        <v>527</v>
      </c>
      <c r="L8" s="2132"/>
      <c r="M8" s="2133"/>
      <c r="N8" s="2133"/>
      <c r="O8" s="2133"/>
      <c r="P8" s="3590"/>
      <c r="Q8" s="3591"/>
      <c r="R8" s="3594"/>
      <c r="S8" s="3595"/>
      <c r="T8" s="3596"/>
      <c r="U8" s="3597"/>
      <c r="V8" s="3579"/>
      <c r="W8" s="3579"/>
      <c r="X8" s="1566"/>
      <c r="Y8" s="3596"/>
      <c r="Z8" s="3597"/>
      <c r="AA8" s="3583"/>
      <c r="AB8" s="3583"/>
      <c r="AC8" s="3583"/>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609" t="s">
        <v>529</v>
      </c>
      <c r="Q9" s="3611"/>
      <c r="R9" s="1567" t="s">
        <v>8</v>
      </c>
      <c r="S9" s="1568">
        <f t="shared" ref="S9:S17" si="0">F9</f>
        <v>0</v>
      </c>
      <c r="T9" s="1567" t="s">
        <v>8</v>
      </c>
      <c r="U9" s="1568">
        <f t="shared" ref="U9:U17" si="1">H9</f>
        <v>0</v>
      </c>
      <c r="V9" s="1567" t="s">
        <v>8</v>
      </c>
      <c r="W9" s="1568">
        <f t="shared" ref="W9:W17" si="2">J9</f>
        <v>0</v>
      </c>
      <c r="X9" s="1569"/>
      <c r="Y9" s="3609" t="s">
        <v>529</v>
      </c>
      <c r="Z9" s="3610"/>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609" t="s">
        <v>532</v>
      </c>
      <c r="Q10" s="3610"/>
      <c r="R10" s="1567" t="s">
        <v>8</v>
      </c>
      <c r="S10" s="1568">
        <f t="shared" si="0"/>
        <v>0</v>
      </c>
      <c r="T10" s="1567" t="s">
        <v>8</v>
      </c>
      <c r="U10" s="1568">
        <f t="shared" si="1"/>
        <v>0</v>
      </c>
      <c r="V10" s="1567" t="s">
        <v>8</v>
      </c>
      <c r="W10" s="1568">
        <f t="shared" si="2"/>
        <v>0</v>
      </c>
      <c r="X10" s="1569"/>
      <c r="Y10" s="3609" t="s">
        <v>532</v>
      </c>
      <c r="Z10" s="3610"/>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578" t="s">
        <v>534</v>
      </c>
      <c r="Q11" s="1150" t="str">
        <f t="shared" ref="Q11:Q17" si="6">B11</f>
        <v>用途</v>
      </c>
      <c r="R11" s="1567" t="s">
        <v>8</v>
      </c>
      <c r="S11" s="1568">
        <f t="shared" si="0"/>
        <v>100</v>
      </c>
      <c r="T11" s="1567" t="s">
        <v>8</v>
      </c>
      <c r="U11" s="1568">
        <f t="shared" si="1"/>
        <v>100</v>
      </c>
      <c r="V11" s="1567" t="s">
        <v>8</v>
      </c>
      <c r="W11" s="1568">
        <f t="shared" si="2"/>
        <v>100</v>
      </c>
      <c r="X11" s="1569"/>
      <c r="Y11" s="3442"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109</v>
      </c>
      <c r="G12" s="528"/>
      <c r="H12" s="255">
        <f>ROUND(100/'数据-取费表'!G16,0)</f>
        <v>109</v>
      </c>
      <c r="I12" s="528"/>
      <c r="J12" s="255">
        <f>ROUND(100/'数据-取费表'!G16,0)</f>
        <v>109</v>
      </c>
      <c r="K12" s="531"/>
      <c r="L12" s="2137"/>
      <c r="M12" s="2177"/>
      <c r="N12" s="2177"/>
      <c r="O12" s="2138"/>
      <c r="P12" s="3578"/>
      <c r="Q12" s="1150" t="str">
        <f t="shared" si="6"/>
        <v>土地使用年限（年）</v>
      </c>
      <c r="R12" s="1567" t="s">
        <v>8</v>
      </c>
      <c r="S12" s="1568">
        <f t="shared" si="0"/>
        <v>109</v>
      </c>
      <c r="T12" s="1567" t="s">
        <v>8</v>
      </c>
      <c r="U12" s="1568">
        <f t="shared" si="1"/>
        <v>109</v>
      </c>
      <c r="V12" s="1567" t="s">
        <v>8</v>
      </c>
      <c r="W12" s="1568">
        <f t="shared" si="2"/>
        <v>109</v>
      </c>
      <c r="X12" s="1569"/>
      <c r="Y12" s="3442"/>
      <c r="Z12" s="1149" t="str">
        <f t="shared" si="7"/>
        <v>土地使用年限（年）</v>
      </c>
      <c r="AA12" s="1570">
        <f t="shared" si="3"/>
        <v>0.91743119266055051</v>
      </c>
      <c r="AB12" s="1570">
        <f t="shared" si="4"/>
        <v>0.91743119266055051</v>
      </c>
      <c r="AC12" s="1570">
        <f t="shared" si="5"/>
        <v>0.91743119266055051</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578"/>
      <c r="Q13" s="1150" t="str">
        <f t="shared" si="6"/>
        <v>容积率</v>
      </c>
      <c r="R13" s="1567" t="s">
        <v>8</v>
      </c>
      <c r="S13" s="1568" t="e">
        <f t="shared" si="0"/>
        <v>#N/A</v>
      </c>
      <c r="T13" s="1567" t="s">
        <v>8</v>
      </c>
      <c r="U13" s="1568" t="e">
        <f t="shared" si="1"/>
        <v>#N/A</v>
      </c>
      <c r="V13" s="1567" t="s">
        <v>8</v>
      </c>
      <c r="W13" s="1568" t="e">
        <f t="shared" si="2"/>
        <v>#N/A</v>
      </c>
      <c r="X13" s="1569"/>
      <c r="Y13" s="3442"/>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578"/>
      <c r="Q14" s="1150">
        <f t="shared" si="6"/>
        <v>111</v>
      </c>
      <c r="R14" s="1567" t="s">
        <v>8</v>
      </c>
      <c r="S14" s="1568">
        <f t="shared" si="0"/>
        <v>100</v>
      </c>
      <c r="T14" s="1567" t="s">
        <v>8</v>
      </c>
      <c r="U14" s="1568">
        <f t="shared" si="1"/>
        <v>100</v>
      </c>
      <c r="V14" s="1567" t="s">
        <v>8</v>
      </c>
      <c r="W14" s="1568">
        <f t="shared" si="2"/>
        <v>100</v>
      </c>
      <c r="X14" s="1569"/>
      <c r="Y14" s="3442"/>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578"/>
      <c r="Q15" s="1150">
        <f t="shared" si="6"/>
        <v>111</v>
      </c>
      <c r="R15" s="1567" t="s">
        <v>8</v>
      </c>
      <c r="S15" s="1568">
        <f t="shared" si="0"/>
        <v>100</v>
      </c>
      <c r="T15" s="1567" t="s">
        <v>8</v>
      </c>
      <c r="U15" s="1568">
        <f t="shared" si="1"/>
        <v>100</v>
      </c>
      <c r="V15" s="1567" t="s">
        <v>8</v>
      </c>
      <c r="W15" s="1568">
        <f t="shared" si="2"/>
        <v>100</v>
      </c>
      <c r="X15" s="1569"/>
      <c r="Y15" s="3442"/>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578"/>
      <c r="Q16" s="1150">
        <f t="shared" si="6"/>
        <v>111</v>
      </c>
      <c r="R16" s="1567" t="s">
        <v>8</v>
      </c>
      <c r="S16" s="1568">
        <f t="shared" si="0"/>
        <v>100</v>
      </c>
      <c r="T16" s="1567" t="s">
        <v>8</v>
      </c>
      <c r="U16" s="1568">
        <f t="shared" si="1"/>
        <v>100</v>
      </c>
      <c r="V16" s="1567" t="s">
        <v>8</v>
      </c>
      <c r="W16" s="1568">
        <f t="shared" si="2"/>
        <v>100</v>
      </c>
      <c r="X16" s="1569"/>
      <c r="Y16" s="3442"/>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612" t="s">
        <v>539</v>
      </c>
      <c r="Q17" s="1571" t="str">
        <f t="shared" si="6"/>
        <v>产业集聚程度</v>
      </c>
      <c r="R17" s="1572" t="s">
        <v>8</v>
      </c>
      <c r="S17" s="1573">
        <f t="shared" si="0"/>
        <v>100</v>
      </c>
      <c r="T17" s="1572" t="s">
        <v>8</v>
      </c>
      <c r="U17" s="1573">
        <f t="shared" si="1"/>
        <v>100</v>
      </c>
      <c r="V17" s="1572" t="s">
        <v>8</v>
      </c>
      <c r="W17" s="1573">
        <f t="shared" si="2"/>
        <v>100</v>
      </c>
      <c r="X17" s="1566"/>
      <c r="Y17" s="3612"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613"/>
      <c r="Q18" s="1571"/>
      <c r="R18" s="1572"/>
      <c r="S18" s="1573"/>
      <c r="T18" s="1572"/>
      <c r="U18" s="1573"/>
      <c r="V18" s="1572"/>
      <c r="W18" s="1573"/>
      <c r="X18" s="1566"/>
      <c r="Y18" s="3613"/>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613"/>
      <c r="Q19" s="1571" t="str">
        <f>B19</f>
        <v>交通便捷度</v>
      </c>
      <c r="R19" s="1572" t="s">
        <v>8</v>
      </c>
      <c r="S19" s="1573">
        <f>F19</f>
        <v>100</v>
      </c>
      <c r="T19" s="1572" t="s">
        <v>8</v>
      </c>
      <c r="U19" s="1573">
        <f>H19</f>
        <v>100</v>
      </c>
      <c r="V19" s="1572" t="s">
        <v>8</v>
      </c>
      <c r="W19" s="1573">
        <f>J19</f>
        <v>100</v>
      </c>
      <c r="X19" s="1566"/>
      <c r="Y19" s="3613"/>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613"/>
      <c r="Q20" s="1571"/>
      <c r="R20" s="1572"/>
      <c r="S20" s="1573"/>
      <c r="T20" s="1572"/>
      <c r="U20" s="1573"/>
      <c r="V20" s="1572"/>
      <c r="W20" s="1573"/>
      <c r="X20" s="1566"/>
      <c r="Y20" s="3613"/>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613"/>
      <c r="Q21" s="1571" t="str">
        <f t="shared" ref="Q21:Q35" si="8">B21</f>
        <v>区域土地利用方向</v>
      </c>
      <c r="R21" s="1572" t="s">
        <v>8</v>
      </c>
      <c r="S21" s="1573">
        <f>F21</f>
        <v>100</v>
      </c>
      <c r="T21" s="1572" t="s">
        <v>8</v>
      </c>
      <c r="U21" s="1573">
        <f>H21</f>
        <v>100</v>
      </c>
      <c r="V21" s="1572" t="s">
        <v>8</v>
      </c>
      <c r="W21" s="1573">
        <f>J21</f>
        <v>100</v>
      </c>
      <c r="X21" s="1566"/>
      <c r="Y21" s="3613"/>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613"/>
      <c r="Q22" s="1571"/>
      <c r="R22" s="1572"/>
      <c r="S22" s="1573"/>
      <c r="T22" s="1572"/>
      <c r="U22" s="1573"/>
      <c r="V22" s="1572"/>
      <c r="W22" s="1573"/>
      <c r="X22" s="1566"/>
      <c r="Y22" s="3613"/>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613"/>
      <c r="Q23" s="1571" t="str">
        <f t="shared" si="8"/>
        <v>环境状况</v>
      </c>
      <c r="R23" s="1572" t="s">
        <v>8</v>
      </c>
      <c r="S23" s="1573">
        <f>F23</f>
        <v>100</v>
      </c>
      <c r="T23" s="1572" t="s">
        <v>8</v>
      </c>
      <c r="U23" s="1573">
        <f>H23</f>
        <v>100</v>
      </c>
      <c r="V23" s="1572" t="s">
        <v>8</v>
      </c>
      <c r="W23" s="1573">
        <f>J23</f>
        <v>100</v>
      </c>
      <c r="X23" s="1566"/>
      <c r="Y23" s="3613"/>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613"/>
      <c r="Q24" s="1571"/>
      <c r="R24" s="1572"/>
      <c r="S24" s="1573"/>
      <c r="T24" s="1572"/>
      <c r="U24" s="1573"/>
      <c r="V24" s="1572"/>
      <c r="W24" s="1573"/>
      <c r="X24" s="1566"/>
      <c r="Y24" s="3613"/>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613"/>
      <c r="Q25" s="1150" t="str">
        <f t="shared" si="8"/>
        <v>公共配套设施</v>
      </c>
      <c r="R25" s="1567" t="s">
        <v>8</v>
      </c>
      <c r="S25" s="1568">
        <f>F25</f>
        <v>100</v>
      </c>
      <c r="T25" s="1567" t="s">
        <v>8</v>
      </c>
      <c r="U25" s="1568">
        <f>H25</f>
        <v>100</v>
      </c>
      <c r="V25" s="1567" t="s">
        <v>8</v>
      </c>
      <c r="W25" s="1568">
        <f>J25</f>
        <v>100</v>
      </c>
      <c r="X25" s="1569"/>
      <c r="Y25" s="3613"/>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613"/>
      <c r="Q26" s="1150"/>
      <c r="R26" s="1567"/>
      <c r="S26" s="1568"/>
      <c r="T26" s="1567"/>
      <c r="U26" s="1568"/>
      <c r="V26" s="1567"/>
      <c r="W26" s="1568"/>
      <c r="X26" s="1569"/>
      <c r="Y26" s="3613"/>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613"/>
      <c r="Q27" s="2556" t="str">
        <f t="shared" ref="Q27" si="9">B27</f>
        <v>基础设施水平</v>
      </c>
      <c r="R27" s="1567" t="s">
        <v>8</v>
      </c>
      <c r="S27" s="1568">
        <f>F27</f>
        <v>100</v>
      </c>
      <c r="T27" s="1567" t="s">
        <v>8</v>
      </c>
      <c r="U27" s="1568">
        <f>H27</f>
        <v>100</v>
      </c>
      <c r="V27" s="1567" t="s">
        <v>8</v>
      </c>
      <c r="W27" s="1568">
        <f>J27</f>
        <v>100</v>
      </c>
      <c r="X27" s="1569"/>
      <c r="Y27" s="3613"/>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613"/>
      <c r="Q28" s="2556"/>
      <c r="R28" s="1567"/>
      <c r="S28" s="1568"/>
      <c r="T28" s="1567"/>
      <c r="U28" s="1568"/>
      <c r="V28" s="1567"/>
      <c r="W28" s="1568"/>
      <c r="X28" s="1569"/>
      <c r="Y28" s="3613"/>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61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613"/>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613"/>
      <c r="Q30" s="1571" t="str">
        <f t="shared" si="8"/>
        <v>毗邻道路的类型与等级</v>
      </c>
      <c r="R30" s="1572" t="s">
        <v>8</v>
      </c>
      <c r="S30" s="1573">
        <f t="shared" si="10"/>
        <v>100</v>
      </c>
      <c r="T30" s="1572" t="s">
        <v>8</v>
      </c>
      <c r="U30" s="1573">
        <f t="shared" si="11"/>
        <v>100</v>
      </c>
      <c r="V30" s="1572" t="s">
        <v>8</v>
      </c>
      <c r="W30" s="1573">
        <f t="shared" si="12"/>
        <v>100</v>
      </c>
      <c r="X30" s="1566"/>
      <c r="Y30" s="3613"/>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613"/>
      <c r="Q31" s="1571"/>
      <c r="R31" s="1572"/>
      <c r="S31" s="1573"/>
      <c r="T31" s="1572"/>
      <c r="U31" s="1573"/>
      <c r="V31" s="1572"/>
      <c r="W31" s="1573"/>
      <c r="X31" s="1566"/>
      <c r="Y31" s="3613"/>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613"/>
      <c r="Q32" s="1571" t="str">
        <f t="shared" si="8"/>
        <v>土地级别</v>
      </c>
      <c r="R32" s="1572" t="s">
        <v>8</v>
      </c>
      <c r="S32" s="1573">
        <f t="shared" si="10"/>
        <v>100</v>
      </c>
      <c r="T32" s="1572" t="s">
        <v>8</v>
      </c>
      <c r="U32" s="1573">
        <f t="shared" si="11"/>
        <v>100</v>
      </c>
      <c r="V32" s="1572" t="s">
        <v>8</v>
      </c>
      <c r="W32" s="1573">
        <f t="shared" si="12"/>
        <v>100</v>
      </c>
      <c r="X32" s="1566"/>
      <c r="Y32" s="3613"/>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613"/>
      <c r="Q33" s="1571">
        <f t="shared" si="8"/>
        <v>111</v>
      </c>
      <c r="R33" s="1572" t="s">
        <v>8</v>
      </c>
      <c r="S33" s="1573">
        <f t="shared" si="10"/>
        <v>100</v>
      </c>
      <c r="T33" s="1572" t="s">
        <v>8</v>
      </c>
      <c r="U33" s="1573">
        <f t="shared" si="11"/>
        <v>100</v>
      </c>
      <c r="V33" s="1572" t="s">
        <v>8</v>
      </c>
      <c r="W33" s="1573">
        <f t="shared" si="12"/>
        <v>100</v>
      </c>
      <c r="X33" s="1566"/>
      <c r="Y33" s="361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614" t="s">
        <v>549</v>
      </c>
      <c r="Q34" s="1571">
        <f t="shared" si="8"/>
        <v>111</v>
      </c>
      <c r="R34" s="1572" t="s">
        <v>8</v>
      </c>
      <c r="S34" s="1573">
        <f t="shared" si="10"/>
        <v>100</v>
      </c>
      <c r="T34" s="1572" t="s">
        <v>8</v>
      </c>
      <c r="U34" s="1573">
        <f t="shared" si="11"/>
        <v>100</v>
      </c>
      <c r="V34" s="1572" t="s">
        <v>8</v>
      </c>
      <c r="W34" s="1573">
        <f t="shared" si="12"/>
        <v>100</v>
      </c>
      <c r="X34" s="1566"/>
      <c r="Y34" s="3615"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615"/>
      <c r="Q35" s="1571">
        <f t="shared" si="8"/>
        <v>111</v>
      </c>
      <c r="R35" s="1576" t="s">
        <v>8</v>
      </c>
      <c r="S35" s="1577">
        <f t="shared" si="10"/>
        <v>100</v>
      </c>
      <c r="T35" s="1576" t="s">
        <v>8</v>
      </c>
      <c r="U35" s="1577">
        <f t="shared" si="11"/>
        <v>100</v>
      </c>
      <c r="V35" s="1576" t="s">
        <v>8</v>
      </c>
      <c r="W35" s="1577">
        <f t="shared" si="12"/>
        <v>100</v>
      </c>
      <c r="X35" s="1578"/>
      <c r="Y35" s="3615"/>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615"/>
      <c r="Q36" s="1571" t="str">
        <f>B36</f>
        <v>宗地面积</v>
      </c>
      <c r="R36" s="1572" t="s">
        <v>8</v>
      </c>
      <c r="S36" s="1573" t="e">
        <f t="shared" si="10"/>
        <v>#N/A</v>
      </c>
      <c r="T36" s="1572" t="s">
        <v>8</v>
      </c>
      <c r="U36" s="1573" t="e">
        <f t="shared" si="11"/>
        <v>#N/A</v>
      </c>
      <c r="V36" s="1572" t="s">
        <v>8</v>
      </c>
      <c r="W36" s="1573" t="e">
        <f t="shared" si="12"/>
        <v>#N/A</v>
      </c>
      <c r="X36" s="1566"/>
      <c r="Y36" s="3615"/>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615"/>
      <c r="Q37" s="1571" t="str">
        <f t="shared" ref="Q37:Q42" si="14">B37</f>
        <v>宗地形状</v>
      </c>
      <c r="R37" s="1572" t="s">
        <v>8</v>
      </c>
      <c r="S37" s="1573">
        <f t="shared" si="10"/>
        <v>100</v>
      </c>
      <c r="T37" s="1572" t="s">
        <v>8</v>
      </c>
      <c r="U37" s="1573">
        <f t="shared" si="11"/>
        <v>100</v>
      </c>
      <c r="V37" s="1572" t="s">
        <v>8</v>
      </c>
      <c r="W37" s="1573">
        <f t="shared" si="12"/>
        <v>100</v>
      </c>
      <c r="X37" s="1566"/>
      <c r="Y37" s="3615"/>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615"/>
      <c r="Q38" s="1571" t="str">
        <f t="shared" si="14"/>
        <v>宗地开发程度</v>
      </c>
      <c r="R38" s="1567" t="s">
        <v>8</v>
      </c>
      <c r="S38" s="1568">
        <f t="shared" si="10"/>
        <v>100</v>
      </c>
      <c r="T38" s="1567" t="s">
        <v>8</v>
      </c>
      <c r="U38" s="1568">
        <f t="shared" si="11"/>
        <v>100</v>
      </c>
      <c r="V38" s="1567" t="s">
        <v>8</v>
      </c>
      <c r="W38" s="1568">
        <f t="shared" si="12"/>
        <v>100</v>
      </c>
      <c r="X38" s="1569"/>
      <c r="Y38" s="3615"/>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615" t="s">
        <v>600</v>
      </c>
      <c r="Q39" s="1571" t="str">
        <f t="shared" si="14"/>
        <v>工程地质条件</v>
      </c>
      <c r="R39" s="1572" t="s">
        <v>8</v>
      </c>
      <c r="S39" s="1573">
        <f t="shared" si="10"/>
        <v>100</v>
      </c>
      <c r="T39" s="1572" t="s">
        <v>8</v>
      </c>
      <c r="U39" s="1573">
        <f t="shared" si="11"/>
        <v>100</v>
      </c>
      <c r="V39" s="1572" t="s">
        <v>8</v>
      </c>
      <c r="W39" s="1573">
        <f t="shared" si="12"/>
        <v>100</v>
      </c>
      <c r="X39" s="1566"/>
      <c r="Y39" s="3615"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615"/>
      <c r="Q40" s="1571">
        <f t="shared" si="14"/>
        <v>111</v>
      </c>
      <c r="R40" s="1572" t="s">
        <v>8</v>
      </c>
      <c r="S40" s="1573">
        <f t="shared" si="10"/>
        <v>100</v>
      </c>
      <c r="T40" s="1572" t="s">
        <v>8</v>
      </c>
      <c r="U40" s="1573">
        <f t="shared" si="11"/>
        <v>100</v>
      </c>
      <c r="V40" s="1572" t="s">
        <v>8</v>
      </c>
      <c r="W40" s="1573">
        <f t="shared" si="12"/>
        <v>100</v>
      </c>
      <c r="X40" s="1566"/>
      <c r="Y40" s="361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615"/>
      <c r="Q41" s="1571">
        <f t="shared" si="14"/>
        <v>111</v>
      </c>
      <c r="R41" s="1572" t="s">
        <v>8</v>
      </c>
      <c r="S41" s="1573">
        <f t="shared" si="10"/>
        <v>100</v>
      </c>
      <c r="T41" s="1572" t="s">
        <v>8</v>
      </c>
      <c r="U41" s="1573">
        <f t="shared" si="11"/>
        <v>100</v>
      </c>
      <c r="V41" s="1572" t="s">
        <v>8</v>
      </c>
      <c r="W41" s="1573">
        <f t="shared" si="12"/>
        <v>100</v>
      </c>
      <c r="X41" s="1566"/>
      <c r="Y41" s="3615"/>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615"/>
      <c r="Q42" s="1571">
        <f t="shared" si="14"/>
        <v>111</v>
      </c>
      <c r="R42" s="1576" t="s">
        <v>8</v>
      </c>
      <c r="S42" s="1577">
        <f t="shared" si="10"/>
        <v>100</v>
      </c>
      <c r="T42" s="1576" t="s">
        <v>8</v>
      </c>
      <c r="U42" s="1577">
        <f t="shared" si="11"/>
        <v>100</v>
      </c>
      <c r="V42" s="1576" t="s">
        <v>8</v>
      </c>
      <c r="W42" s="1577">
        <f t="shared" si="12"/>
        <v>100</v>
      </c>
      <c r="X42" s="1578"/>
      <c r="Y42" s="3615"/>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578" t="str">
        <f>A43</f>
        <v>成交单价</v>
      </c>
      <c r="Q43" s="3578"/>
      <c r="R43" s="3579">
        <f>E43</f>
        <v>0</v>
      </c>
      <c r="S43" s="3579"/>
      <c r="T43" s="3579">
        <f>G43</f>
        <v>0</v>
      </c>
      <c r="U43" s="3579"/>
      <c r="V43" s="3579">
        <f>I43</f>
        <v>0</v>
      </c>
      <c r="W43" s="3579"/>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578" t="str">
        <f>A44</f>
        <v>比较价格（元/平方米）</v>
      </c>
      <c r="Q44" s="3578"/>
      <c r="R44" s="3580" t="e">
        <f>ROUND(PRODUCT(R43,AA9:AA42),0)</f>
        <v>#DIV/0!</v>
      </c>
      <c r="S44" s="3580"/>
      <c r="T44" s="3580" t="e">
        <f>ROUND(PRODUCT(T43,AB9:AB42),0)</f>
        <v>#DIV/0!</v>
      </c>
      <c r="U44" s="3580"/>
      <c r="V44" s="3580" t="e">
        <f>ROUND(PRODUCT(V43,AC9:AC42),0)</f>
        <v>#DIV/0!</v>
      </c>
      <c r="W44" s="3580"/>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75" t="str">
        <f>A45</f>
        <v>估价对象XX用房的比较价格（楼面单价，元/平方米）</v>
      </c>
      <c r="Q45" s="3576"/>
      <c r="R45" s="3577" t="e">
        <f>ROUND(AVERAGE(R44:V44),0)</f>
        <v>#DIV/0!</v>
      </c>
      <c r="S45" s="3577"/>
      <c r="T45" s="3577"/>
      <c r="U45" s="3577"/>
      <c r="V45" s="3577"/>
      <c r="W45" s="3577"/>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622" t="s">
        <v>2284</v>
      </c>
      <c r="H52" s="3623"/>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98674.52</v>
      </c>
      <c r="F53" s="1949" t="e">
        <f t="shared" ref="F53:F62" si="15">ROUND(B53*E53/10000,0)</f>
        <v>#DIV/0!</v>
      </c>
      <c r="G53" s="3624"/>
      <c r="H53" s="3625"/>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626"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626"/>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626"/>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626"/>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"北京市平均增长率"&amp;TEXT('基准地价-55住宅'!P24,"0.00%")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627" t="s">
        <v>1007</v>
      </c>
      <c r="B18" s="1153" t="s">
        <v>1446</v>
      </c>
      <c r="C18" s="1130" t="s">
        <v>1447</v>
      </c>
      <c r="D18" s="1131"/>
      <c r="E18" s="1153">
        <v>1</v>
      </c>
      <c r="F18" s="1132" t="s">
        <v>1448</v>
      </c>
      <c r="G18" s="1133"/>
      <c r="H18" s="1104"/>
      <c r="I18" s="1104"/>
    </row>
    <row r="19" spans="1:9" s="1598" customFormat="1" ht="19.5" customHeight="1">
      <c r="A19" s="3627"/>
      <c r="B19" s="3627" t="s">
        <v>1449</v>
      </c>
      <c r="C19" s="1130" t="s">
        <v>1450</v>
      </c>
      <c r="D19" s="1131"/>
      <c r="E19" s="1153">
        <v>0.9</v>
      </c>
      <c r="F19" s="1132" t="s">
        <v>1451</v>
      </c>
      <c r="G19" s="1133"/>
      <c r="H19" s="1104"/>
      <c r="I19" s="1104"/>
    </row>
    <row r="20" spans="1:9" s="1598" customFormat="1" ht="19.5" customHeight="1">
      <c r="A20" s="3627"/>
      <c r="B20" s="3627"/>
      <c r="C20" s="1130" t="s">
        <v>1452</v>
      </c>
      <c r="D20" s="1131"/>
      <c r="E20" s="1153">
        <v>1.1000000000000001</v>
      </c>
      <c r="F20" s="1132" t="s">
        <v>1453</v>
      </c>
      <c r="G20" s="1133"/>
      <c r="H20" s="1104"/>
      <c r="I20" s="1104"/>
    </row>
    <row r="21" spans="1:9" s="1598" customFormat="1" ht="19.5" customHeight="1">
      <c r="A21" s="3627"/>
      <c r="B21" s="3627"/>
      <c r="C21" s="1130" t="s">
        <v>1454</v>
      </c>
      <c r="D21" s="1131"/>
      <c r="E21" s="1153">
        <v>0.8</v>
      </c>
      <c r="F21" s="1132" t="s">
        <v>1455</v>
      </c>
      <c r="G21" s="1133"/>
      <c r="H21" s="1104"/>
      <c r="I21" s="1104"/>
    </row>
    <row r="22" spans="1:9" s="1598" customFormat="1" ht="19.5" customHeight="1">
      <c r="A22" s="3627"/>
      <c r="B22" s="3627"/>
      <c r="C22" s="1130" t="s">
        <v>1456</v>
      </c>
      <c r="D22" s="1131"/>
      <c r="E22" s="1153">
        <v>0.5</v>
      </c>
      <c r="F22" s="1132"/>
      <c r="G22" s="1133"/>
      <c r="H22" s="1104"/>
      <c r="I22" s="1104"/>
    </row>
    <row r="23" spans="1:9" s="1598" customFormat="1" ht="19.5" customHeight="1">
      <c r="A23" s="3627" t="s">
        <v>1029</v>
      </c>
      <c r="B23" s="1153" t="s">
        <v>1446</v>
      </c>
      <c r="C23" s="1130" t="s">
        <v>1457</v>
      </c>
      <c r="D23" s="1131"/>
      <c r="E23" s="1153">
        <v>1</v>
      </c>
      <c r="F23" s="1132" t="s">
        <v>1458</v>
      </c>
      <c r="G23" s="1133"/>
      <c r="H23" s="1104"/>
      <c r="I23" s="1104"/>
    </row>
    <row r="24" spans="1:9" s="1598" customFormat="1" ht="19.5" customHeight="1">
      <c r="A24" s="3627"/>
      <c r="B24" s="3627" t="s">
        <v>1449</v>
      </c>
      <c r="C24" s="1130" t="s">
        <v>1459</v>
      </c>
      <c r="D24" s="1131"/>
      <c r="E24" s="1153">
        <v>0.5</v>
      </c>
      <c r="F24" s="1132"/>
      <c r="G24" s="1133"/>
      <c r="H24" s="1104"/>
      <c r="I24" s="1104"/>
    </row>
    <row r="25" spans="1:9" s="1598" customFormat="1" ht="19.5" customHeight="1">
      <c r="A25" s="3627"/>
      <c r="B25" s="3627"/>
      <c r="C25" s="1130" t="s">
        <v>1460</v>
      </c>
      <c r="D25" s="1131"/>
      <c r="E25" s="1153">
        <v>1.1000000000000001</v>
      </c>
      <c r="F25" s="1132"/>
      <c r="G25" s="1133"/>
      <c r="H25" s="1104"/>
      <c r="I25" s="1104"/>
    </row>
    <row r="26" spans="1:9" s="1598" customFormat="1" ht="19.5" customHeight="1">
      <c r="A26" s="3627"/>
      <c r="B26" s="3627"/>
      <c r="C26" s="1130" t="s">
        <v>1461</v>
      </c>
      <c r="D26" s="1131"/>
      <c r="E26" s="1153">
        <v>1.1000000000000001</v>
      </c>
      <c r="F26" s="1132"/>
      <c r="G26" s="1133"/>
      <c r="H26" s="1104"/>
      <c r="I26" s="1104"/>
    </row>
    <row r="27" spans="1:9" s="1598" customFormat="1" ht="19.5" customHeight="1">
      <c r="A27" s="3627"/>
      <c r="B27" s="3627"/>
      <c r="C27" s="1130" t="s">
        <v>1462</v>
      </c>
      <c r="D27" s="1131"/>
      <c r="E27" s="1153">
        <v>0.9</v>
      </c>
      <c r="F27" s="1132" t="s">
        <v>1463</v>
      </c>
      <c r="G27" s="1133"/>
      <c r="H27" s="1104"/>
      <c r="I27" s="1104"/>
    </row>
    <row r="28" spans="1:9" s="1598" customFormat="1" ht="19.5" customHeight="1">
      <c r="A28" s="3627"/>
      <c r="B28" s="3627"/>
      <c r="C28" s="1130" t="s">
        <v>1464</v>
      </c>
      <c r="D28" s="1131"/>
      <c r="E28" s="1153">
        <v>0.9</v>
      </c>
      <c r="F28" s="1132" t="s">
        <v>1465</v>
      </c>
      <c r="G28" s="1133"/>
      <c r="H28" s="1104"/>
      <c r="I28" s="1104"/>
    </row>
    <row r="29" spans="1:9" s="1598" customFormat="1" ht="19.5" customHeight="1">
      <c r="A29" s="3627"/>
      <c r="B29" s="3627"/>
      <c r="C29" s="1130" t="s">
        <v>1466</v>
      </c>
      <c r="D29" s="1131"/>
      <c r="E29" s="1153">
        <v>0.9</v>
      </c>
      <c r="F29" s="1132" t="s">
        <v>1467</v>
      </c>
      <c r="G29" s="1133"/>
      <c r="H29" s="1104"/>
      <c r="I29" s="1104"/>
    </row>
    <row r="30" spans="1:9" s="1598" customFormat="1" ht="19.5" customHeight="1">
      <c r="A30" s="3627"/>
      <c r="B30" s="3627"/>
      <c r="C30" s="1130" t="s">
        <v>1468</v>
      </c>
      <c r="D30" s="1131"/>
      <c r="E30" s="1153">
        <v>0.9</v>
      </c>
      <c r="F30" s="1132" t="s">
        <v>1469</v>
      </c>
      <c r="G30" s="1133"/>
      <c r="H30" s="1104"/>
      <c r="I30" s="1104"/>
    </row>
    <row r="31" spans="1:9" s="1598" customFormat="1" ht="19.5" customHeight="1">
      <c r="A31" s="3627"/>
      <c r="B31" s="3627"/>
      <c r="C31" s="1130" t="s">
        <v>1470</v>
      </c>
      <c r="D31" s="1131"/>
      <c r="E31" s="1153">
        <v>0.8</v>
      </c>
      <c r="F31" s="1132" t="s">
        <v>1471</v>
      </c>
      <c r="G31" s="1133"/>
      <c r="H31" s="1104"/>
      <c r="I31" s="1104"/>
    </row>
    <row r="32" spans="1:9" s="1598" customFormat="1" ht="19.5" customHeight="1">
      <c r="A32" s="3627"/>
      <c r="B32" s="3627"/>
      <c r="C32" s="1130" t="s">
        <v>1472</v>
      </c>
      <c r="D32" s="1131"/>
      <c r="E32" s="1153">
        <v>0.8</v>
      </c>
      <c r="F32" s="1132" t="s">
        <v>1473</v>
      </c>
      <c r="G32" s="1133"/>
      <c r="H32" s="1104"/>
      <c r="I32" s="1104"/>
    </row>
    <row r="33" spans="1:9" s="1598" customFormat="1" ht="19.5" customHeight="1">
      <c r="A33" s="3627" t="s">
        <v>1474</v>
      </c>
      <c r="B33" s="1153" t="s">
        <v>1446</v>
      </c>
      <c r="C33" s="1130" t="s">
        <v>1475</v>
      </c>
      <c r="D33" s="1131"/>
      <c r="E33" s="1153">
        <v>1</v>
      </c>
      <c r="F33" s="1132" t="s">
        <v>1476</v>
      </c>
      <c r="G33" s="1133"/>
      <c r="H33" s="1104"/>
      <c r="I33" s="1104"/>
    </row>
    <row r="34" spans="1:9" s="1598" customFormat="1" ht="19.5" customHeight="1">
      <c r="A34" s="3627"/>
      <c r="B34" s="1153" t="s">
        <v>1449</v>
      </c>
      <c r="C34" s="1130" t="s">
        <v>1477</v>
      </c>
      <c r="D34" s="1131"/>
      <c r="E34" s="1153">
        <v>1.5</v>
      </c>
      <c r="F34" s="1132" t="s">
        <v>1478</v>
      </c>
      <c r="G34" s="1133"/>
      <c r="H34" s="1104"/>
      <c r="I34" s="1104"/>
    </row>
    <row r="35" spans="1:9" s="1598" customFormat="1" ht="19.5" customHeight="1">
      <c r="A35" s="3627" t="s">
        <v>1432</v>
      </c>
      <c r="B35" s="1153" t="s">
        <v>1446</v>
      </c>
      <c r="C35" s="1130" t="s">
        <v>1479</v>
      </c>
      <c r="D35" s="1131"/>
      <c r="E35" s="1153">
        <v>1</v>
      </c>
      <c r="F35" s="1132" t="s">
        <v>1480</v>
      </c>
      <c r="G35" s="1133"/>
      <c r="H35" s="1104"/>
      <c r="I35" s="1104"/>
    </row>
    <row r="36" spans="1:9" s="1598" customFormat="1" ht="19.5" customHeight="1">
      <c r="A36" s="3627"/>
      <c r="B36" s="3627" t="s">
        <v>1449</v>
      </c>
      <c r="C36" s="1130" t="s">
        <v>1481</v>
      </c>
      <c r="D36" s="1131"/>
      <c r="E36" s="1153">
        <v>1</v>
      </c>
      <c r="F36" s="1132" t="s">
        <v>1482</v>
      </c>
      <c r="G36" s="1133"/>
      <c r="H36" s="1104"/>
      <c r="I36" s="1104"/>
    </row>
    <row r="37" spans="1:9" s="1598" customFormat="1" ht="19.5" customHeight="1">
      <c r="A37" s="3627"/>
      <c r="B37" s="3627"/>
      <c r="C37" s="1130" t="s">
        <v>1483</v>
      </c>
      <c r="D37" s="1131"/>
      <c r="E37" s="1153">
        <v>1.5</v>
      </c>
      <c r="F37" s="1132" t="s">
        <v>1484</v>
      </c>
      <c r="G37" s="1133"/>
      <c r="H37" s="1104"/>
      <c r="I37" s="1104"/>
    </row>
    <row r="38" spans="1:9" s="1598" customFormat="1" ht="19.5" customHeight="1">
      <c r="A38" s="3627"/>
      <c r="B38" s="3627"/>
      <c r="C38" s="1130" t="s">
        <v>1485</v>
      </c>
      <c r="D38" s="1131"/>
      <c r="E38" s="1153">
        <v>1</v>
      </c>
      <c r="F38" s="1132" t="s">
        <v>1486</v>
      </c>
      <c r="G38" s="1133"/>
      <c r="H38" s="1104"/>
      <c r="I38" s="1104"/>
    </row>
    <row r="39" spans="1:9" s="1598" customFormat="1" ht="19.5" customHeight="1">
      <c r="A39" s="3627"/>
      <c r="B39" s="3627"/>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627" t="s">
        <v>1501</v>
      </c>
      <c r="C61" s="1067" t="s">
        <v>1502</v>
      </c>
      <c r="D61" s="1067" t="s">
        <v>1503</v>
      </c>
      <c r="E61" s="1138">
        <v>0.5</v>
      </c>
      <c r="F61" s="1153">
        <v>80</v>
      </c>
      <c r="H61" s="1104">
        <f>SUMIF(C59:C119,'基准地价-55住宅'!C8,E59:E119)</f>
        <v>0</v>
      </c>
    </row>
    <row r="62" spans="1:8" s="1104" customFormat="1" ht="24">
      <c r="A62" s="1153">
        <v>2</v>
      </c>
      <c r="B62" s="3627"/>
      <c r="C62" s="1067" t="s">
        <v>1504</v>
      </c>
      <c r="D62" s="1067" t="s">
        <v>1505</v>
      </c>
      <c r="E62" s="1138">
        <v>0.5</v>
      </c>
      <c r="F62" s="1153">
        <v>80</v>
      </c>
    </row>
    <row r="63" spans="1:8" s="1104" customFormat="1" ht="36">
      <c r="A63" s="1153">
        <v>3</v>
      </c>
      <c r="B63" s="3627"/>
      <c r="C63" s="1067" t="s">
        <v>1506</v>
      </c>
      <c r="D63" s="1067" t="s">
        <v>1507</v>
      </c>
      <c r="E63" s="1138">
        <v>0.5</v>
      </c>
      <c r="F63" s="1153">
        <v>80</v>
      </c>
    </row>
    <row r="64" spans="1:8" s="1104" customFormat="1" ht="36">
      <c r="A64" s="1153">
        <v>4</v>
      </c>
      <c r="B64" s="3627"/>
      <c r="C64" s="1067" t="s">
        <v>1508</v>
      </c>
      <c r="D64" s="1067" t="s">
        <v>1509</v>
      </c>
      <c r="E64" s="1138">
        <v>0.4</v>
      </c>
      <c r="F64" s="1153">
        <v>60</v>
      </c>
    </row>
    <row r="65" spans="1:6" s="1104" customFormat="1" ht="36">
      <c r="A65" s="1153">
        <v>5</v>
      </c>
      <c r="B65" s="3627"/>
      <c r="C65" s="1067" t="s">
        <v>1510</v>
      </c>
      <c r="D65" s="1067" t="s">
        <v>1511</v>
      </c>
      <c r="E65" s="1138">
        <v>0.2</v>
      </c>
      <c r="F65" s="1153">
        <v>30</v>
      </c>
    </row>
    <row r="66" spans="1:6" s="1104" customFormat="1" ht="36">
      <c r="A66" s="1153">
        <v>6</v>
      </c>
      <c r="B66" s="3627"/>
      <c r="C66" s="1067" t="s">
        <v>1512</v>
      </c>
      <c r="D66" s="1067" t="s">
        <v>1513</v>
      </c>
      <c r="E66" s="1138">
        <v>0.3</v>
      </c>
      <c r="F66" s="1153">
        <v>50</v>
      </c>
    </row>
    <row r="67" spans="1:6" s="1104" customFormat="1" ht="36">
      <c r="A67" s="1153">
        <v>7</v>
      </c>
      <c r="B67" s="3627"/>
      <c r="C67" s="1067" t="s">
        <v>1514</v>
      </c>
      <c r="D67" s="1067" t="s">
        <v>1515</v>
      </c>
      <c r="E67" s="1138">
        <v>0.2</v>
      </c>
      <c r="F67" s="1153">
        <v>30</v>
      </c>
    </row>
    <row r="68" spans="1:6" s="1104" customFormat="1" ht="36">
      <c r="A68" s="1153">
        <v>8</v>
      </c>
      <c r="B68" s="3627"/>
      <c r="C68" s="1067" t="s">
        <v>1516</v>
      </c>
      <c r="D68" s="1067" t="s">
        <v>1517</v>
      </c>
      <c r="E68" s="1138">
        <v>0.2</v>
      </c>
      <c r="F68" s="1153">
        <v>30</v>
      </c>
    </row>
    <row r="69" spans="1:6" s="1104" customFormat="1" ht="36">
      <c r="A69" s="1153">
        <v>9</v>
      </c>
      <c r="B69" s="3627"/>
      <c r="C69" s="1067" t="s">
        <v>1518</v>
      </c>
      <c r="D69" s="1067" t="s">
        <v>1519</v>
      </c>
      <c r="E69" s="1138">
        <v>0.2</v>
      </c>
      <c r="F69" s="1153">
        <v>30</v>
      </c>
    </row>
    <row r="70" spans="1:6" s="1104" customFormat="1" ht="48">
      <c r="A70" s="1153">
        <v>10</v>
      </c>
      <c r="B70" s="3627"/>
      <c r="C70" s="1067" t="s">
        <v>1520</v>
      </c>
      <c r="D70" s="1067" t="s">
        <v>1521</v>
      </c>
      <c r="E70" s="1138">
        <v>0.2</v>
      </c>
      <c r="F70" s="1153">
        <v>30</v>
      </c>
    </row>
    <row r="71" spans="1:6" s="1104" customFormat="1" ht="48">
      <c r="A71" s="1153">
        <v>11</v>
      </c>
      <c r="B71" s="3627"/>
      <c r="C71" s="1067" t="s">
        <v>1522</v>
      </c>
      <c r="D71" s="1067" t="s">
        <v>1523</v>
      </c>
      <c r="E71" s="1138">
        <v>0.2</v>
      </c>
      <c r="F71" s="1153">
        <v>30</v>
      </c>
    </row>
    <row r="72" spans="1:6" s="1104" customFormat="1" ht="36">
      <c r="A72" s="1153">
        <v>12</v>
      </c>
      <c r="B72" s="3627"/>
      <c r="C72" s="1067" t="s">
        <v>1524</v>
      </c>
      <c r="D72" s="1067" t="s">
        <v>1525</v>
      </c>
      <c r="E72" s="1138">
        <v>0.5</v>
      </c>
      <c r="F72" s="1153">
        <v>80</v>
      </c>
    </row>
    <row r="73" spans="1:6" s="1104" customFormat="1" ht="24">
      <c r="A73" s="1153">
        <v>13</v>
      </c>
      <c r="B73" s="3627"/>
      <c r="C73" s="1067" t="s">
        <v>1526</v>
      </c>
      <c r="D73" s="1067" t="s">
        <v>1527</v>
      </c>
      <c r="E73" s="1138">
        <v>0.4</v>
      </c>
      <c r="F73" s="1153">
        <v>60</v>
      </c>
    </row>
    <row r="74" spans="1:6" s="1104" customFormat="1" ht="24">
      <c r="A74" s="1153">
        <v>14</v>
      </c>
      <c r="B74" s="3627"/>
      <c r="C74" s="1067" t="s">
        <v>1528</v>
      </c>
      <c r="D74" s="1067" t="s">
        <v>1529</v>
      </c>
      <c r="E74" s="1138">
        <v>0.2</v>
      </c>
      <c r="F74" s="1153">
        <v>30</v>
      </c>
    </row>
    <row r="75" spans="1:6" s="1104" customFormat="1" ht="24">
      <c r="A75" s="1153">
        <v>15</v>
      </c>
      <c r="B75" s="3627"/>
      <c r="C75" s="1067" t="s">
        <v>1530</v>
      </c>
      <c r="D75" s="1067" t="s">
        <v>1531</v>
      </c>
      <c r="E75" s="1138">
        <v>0.2</v>
      </c>
      <c r="F75" s="1153">
        <v>30</v>
      </c>
    </row>
    <row r="76" spans="1:6" s="1104" customFormat="1" ht="24">
      <c r="A76" s="1153">
        <v>16</v>
      </c>
      <c r="B76" s="3627" t="s">
        <v>1532</v>
      </c>
      <c r="C76" s="1067" t="s">
        <v>1533</v>
      </c>
      <c r="D76" s="1067" t="s">
        <v>1534</v>
      </c>
      <c r="E76" s="1138">
        <v>0.5</v>
      </c>
      <c r="F76" s="1153">
        <v>80</v>
      </c>
    </row>
    <row r="77" spans="1:6" s="1104" customFormat="1" ht="24">
      <c r="A77" s="1153">
        <v>17</v>
      </c>
      <c r="B77" s="3627"/>
      <c r="C77" s="1067" t="s">
        <v>1535</v>
      </c>
      <c r="D77" s="1067" t="s">
        <v>1536</v>
      </c>
      <c r="E77" s="1138">
        <v>0.5</v>
      </c>
      <c r="F77" s="1153">
        <v>80</v>
      </c>
    </row>
    <row r="78" spans="1:6" s="1104" customFormat="1" ht="24">
      <c r="A78" s="1153">
        <v>18</v>
      </c>
      <c r="B78" s="3627"/>
      <c r="C78" s="1067" t="s">
        <v>1537</v>
      </c>
      <c r="D78" s="1067" t="s">
        <v>1538</v>
      </c>
      <c r="E78" s="1138">
        <v>0.2</v>
      </c>
      <c r="F78" s="1153">
        <v>30</v>
      </c>
    </row>
    <row r="79" spans="1:6" s="1104" customFormat="1" ht="24">
      <c r="A79" s="1153">
        <v>19</v>
      </c>
      <c r="B79" s="3627"/>
      <c r="C79" s="1067" t="s">
        <v>1539</v>
      </c>
      <c r="D79" s="1067" t="s">
        <v>1540</v>
      </c>
      <c r="E79" s="1138">
        <v>0.5</v>
      </c>
      <c r="F79" s="1153">
        <v>80</v>
      </c>
    </row>
    <row r="80" spans="1:6" s="1104" customFormat="1" ht="36">
      <c r="A80" s="1153">
        <v>20</v>
      </c>
      <c r="B80" s="3627"/>
      <c r="C80" s="1067" t="s">
        <v>1541</v>
      </c>
      <c r="D80" s="1067" t="s">
        <v>1542</v>
      </c>
      <c r="E80" s="1138">
        <v>0.2</v>
      </c>
      <c r="F80" s="1153">
        <v>30</v>
      </c>
    </row>
    <row r="81" spans="1:6" s="1104" customFormat="1" ht="36">
      <c r="A81" s="1153">
        <v>21</v>
      </c>
      <c r="B81" s="3627"/>
      <c r="C81" s="1067" t="s">
        <v>1543</v>
      </c>
      <c r="D81" s="1067" t="s">
        <v>1544</v>
      </c>
      <c r="E81" s="1138">
        <v>0.2</v>
      </c>
      <c r="F81" s="1153">
        <v>30</v>
      </c>
    </row>
    <row r="82" spans="1:6" s="1104" customFormat="1" ht="48">
      <c r="A82" s="1153">
        <v>22</v>
      </c>
      <c r="B82" s="3627"/>
      <c r="C82" s="1067" t="s">
        <v>1545</v>
      </c>
      <c r="D82" s="1067" t="s">
        <v>1546</v>
      </c>
      <c r="E82" s="1138">
        <v>0.2</v>
      </c>
      <c r="F82" s="1153">
        <v>30</v>
      </c>
    </row>
    <row r="83" spans="1:6" s="1104" customFormat="1" ht="48">
      <c r="A83" s="1153">
        <v>23</v>
      </c>
      <c r="B83" s="3627"/>
      <c r="C83" s="1067" t="s">
        <v>1547</v>
      </c>
      <c r="D83" s="1067" t="s">
        <v>1548</v>
      </c>
      <c r="E83" s="1138">
        <v>0.2</v>
      </c>
      <c r="F83" s="1153">
        <v>30</v>
      </c>
    </row>
    <row r="84" spans="1:6" s="1104" customFormat="1" ht="36">
      <c r="A84" s="1153">
        <v>24</v>
      </c>
      <c r="B84" s="3627"/>
      <c r="C84" s="1067" t="s">
        <v>1549</v>
      </c>
      <c r="D84" s="1067" t="s">
        <v>1550</v>
      </c>
      <c r="E84" s="1138">
        <v>0.2</v>
      </c>
      <c r="F84" s="1153">
        <v>30</v>
      </c>
    </row>
    <row r="85" spans="1:6" s="1104" customFormat="1" ht="36">
      <c r="A85" s="1153">
        <v>25</v>
      </c>
      <c r="B85" s="3627"/>
      <c r="C85" s="1067" t="s">
        <v>1551</v>
      </c>
      <c r="D85" s="1067" t="s">
        <v>1552</v>
      </c>
      <c r="E85" s="1138">
        <v>0.5</v>
      </c>
      <c r="F85" s="1153">
        <v>80</v>
      </c>
    </row>
    <row r="86" spans="1:6" s="1104" customFormat="1" ht="36">
      <c r="A86" s="1153">
        <v>26</v>
      </c>
      <c r="B86" s="3627"/>
      <c r="C86" s="1067" t="s">
        <v>1553</v>
      </c>
      <c r="D86" s="1067" t="s">
        <v>1554</v>
      </c>
      <c r="E86" s="1138">
        <v>0.2</v>
      </c>
      <c r="F86" s="1153">
        <v>30</v>
      </c>
    </row>
    <row r="87" spans="1:6" s="1104" customFormat="1" ht="36">
      <c r="A87" s="1153">
        <v>27</v>
      </c>
      <c r="B87" s="3627"/>
      <c r="C87" s="1067" t="s">
        <v>1555</v>
      </c>
      <c r="D87" s="1067" t="s">
        <v>1556</v>
      </c>
      <c r="E87" s="1138">
        <v>0.2</v>
      </c>
      <c r="F87" s="1153">
        <v>30</v>
      </c>
    </row>
    <row r="88" spans="1:6" s="1104" customFormat="1" ht="36">
      <c r="A88" s="1153">
        <v>28</v>
      </c>
      <c r="B88" s="3627"/>
      <c r="C88" s="1067" t="s">
        <v>1557</v>
      </c>
      <c r="D88" s="1067" t="s">
        <v>1558</v>
      </c>
      <c r="E88" s="1138">
        <v>0.2</v>
      </c>
      <c r="F88" s="1153">
        <v>30</v>
      </c>
    </row>
    <row r="89" spans="1:6" s="1104" customFormat="1" ht="24">
      <c r="A89" s="1153">
        <v>29</v>
      </c>
      <c r="B89" s="3627"/>
      <c r="C89" s="1067" t="s">
        <v>1559</v>
      </c>
      <c r="D89" s="1067" t="s">
        <v>1560</v>
      </c>
      <c r="E89" s="1138">
        <v>0.2</v>
      </c>
      <c r="F89" s="1153">
        <v>30</v>
      </c>
    </row>
    <row r="90" spans="1:6" s="1104" customFormat="1" ht="24">
      <c r="A90" s="1153">
        <v>30</v>
      </c>
      <c r="B90" s="3627"/>
      <c r="C90" s="1067" t="s">
        <v>1561</v>
      </c>
      <c r="D90" s="1067" t="s">
        <v>1562</v>
      </c>
      <c r="E90" s="1138">
        <v>0.2</v>
      </c>
      <c r="F90" s="1153">
        <v>30</v>
      </c>
    </row>
    <row r="91" spans="1:6" s="1104" customFormat="1" ht="36">
      <c r="A91" s="1153">
        <v>31</v>
      </c>
      <c r="B91" s="3627"/>
      <c r="C91" s="1067" t="s">
        <v>1563</v>
      </c>
      <c r="D91" s="1067" t="s">
        <v>1564</v>
      </c>
      <c r="E91" s="1138">
        <v>0.2</v>
      </c>
      <c r="F91" s="1153">
        <v>30</v>
      </c>
    </row>
    <row r="92" spans="1:6" s="1104" customFormat="1" ht="24">
      <c r="A92" s="1153">
        <v>32</v>
      </c>
      <c r="B92" s="3627" t="s">
        <v>1565</v>
      </c>
      <c r="C92" s="1153" t="s">
        <v>1566</v>
      </c>
      <c r="D92" s="1067" t="s">
        <v>1567</v>
      </c>
      <c r="E92" s="1138">
        <v>0.2</v>
      </c>
      <c r="F92" s="1153">
        <v>30</v>
      </c>
    </row>
    <row r="93" spans="1:6" s="1104" customFormat="1" ht="36">
      <c r="A93" s="1153">
        <v>33</v>
      </c>
      <c r="B93" s="3627"/>
      <c r="C93" s="1153" t="s">
        <v>1568</v>
      </c>
      <c r="D93" s="1067" t="s">
        <v>1569</v>
      </c>
      <c r="E93" s="1138">
        <v>0.2</v>
      </c>
      <c r="F93" s="1153">
        <v>30</v>
      </c>
    </row>
    <row r="94" spans="1:6" s="1104" customFormat="1" ht="48">
      <c r="A94" s="1153">
        <v>34</v>
      </c>
      <c r="B94" s="3627"/>
      <c r="C94" s="1153" t="s">
        <v>1570</v>
      </c>
      <c r="D94" s="1067" t="s">
        <v>1571</v>
      </c>
      <c r="E94" s="1138">
        <v>0.2</v>
      </c>
      <c r="F94" s="1153">
        <v>30</v>
      </c>
    </row>
    <row r="95" spans="1:6" s="1104" customFormat="1" ht="36">
      <c r="A95" s="1153">
        <v>35</v>
      </c>
      <c r="B95" s="3627"/>
      <c r="C95" s="1153" t="s">
        <v>1572</v>
      </c>
      <c r="D95" s="1067" t="s">
        <v>1573</v>
      </c>
      <c r="E95" s="1138">
        <v>0.2</v>
      </c>
      <c r="F95" s="1153">
        <v>30</v>
      </c>
    </row>
    <row r="96" spans="1:6" s="1104" customFormat="1" ht="48">
      <c r="A96" s="1153">
        <v>36</v>
      </c>
      <c r="B96" s="3627"/>
      <c r="C96" s="1067" t="s">
        <v>1574</v>
      </c>
      <c r="D96" s="1067" t="s">
        <v>1575</v>
      </c>
      <c r="E96" s="1138">
        <v>0.2</v>
      </c>
      <c r="F96" s="1153">
        <v>30</v>
      </c>
    </row>
    <row r="97" spans="1:6" s="1104" customFormat="1" ht="36">
      <c r="A97" s="1153">
        <v>37</v>
      </c>
      <c r="B97" s="3627"/>
      <c r="C97" s="1153" t="s">
        <v>1576</v>
      </c>
      <c r="D97" s="1067" t="s">
        <v>1577</v>
      </c>
      <c r="E97" s="1138">
        <v>0.2</v>
      </c>
      <c r="F97" s="1153">
        <v>30</v>
      </c>
    </row>
    <row r="98" spans="1:6" s="1104" customFormat="1" ht="36">
      <c r="A98" s="1153">
        <v>38</v>
      </c>
      <c r="B98" s="3627"/>
      <c r="C98" s="1153" t="s">
        <v>1578</v>
      </c>
      <c r="D98" s="1067" t="s">
        <v>1579</v>
      </c>
      <c r="E98" s="1138">
        <v>0.2</v>
      </c>
      <c r="F98" s="1153">
        <v>30</v>
      </c>
    </row>
    <row r="99" spans="1:6" s="1104" customFormat="1" ht="36">
      <c r="A99" s="1153">
        <v>39</v>
      </c>
      <c r="B99" s="3627" t="s">
        <v>1580</v>
      </c>
      <c r="C99" s="1153" t="s">
        <v>1581</v>
      </c>
      <c r="D99" s="1067" t="s">
        <v>1582</v>
      </c>
      <c r="E99" s="1138">
        <v>0.3</v>
      </c>
      <c r="F99" s="1153">
        <v>50</v>
      </c>
    </row>
    <row r="100" spans="1:6" s="1104" customFormat="1" ht="24">
      <c r="A100" s="1153">
        <v>40</v>
      </c>
      <c r="B100" s="3627"/>
      <c r="C100" s="1153" t="s">
        <v>1583</v>
      </c>
      <c r="D100" s="1067" t="s">
        <v>1584</v>
      </c>
      <c r="E100" s="1138">
        <v>0.2</v>
      </c>
      <c r="F100" s="1153">
        <v>30</v>
      </c>
    </row>
    <row r="101" spans="1:6" s="1104" customFormat="1" ht="36">
      <c r="A101" s="1153">
        <v>41</v>
      </c>
      <c r="B101" s="362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627" t="s">
        <v>1595</v>
      </c>
      <c r="C105" s="1153" t="s">
        <v>1596</v>
      </c>
      <c r="D105" s="1067" t="s">
        <v>1597</v>
      </c>
      <c r="E105" s="1138">
        <v>0.2</v>
      </c>
      <c r="F105" s="1153">
        <v>30</v>
      </c>
    </row>
    <row r="106" spans="1:6" s="1104" customFormat="1" ht="36">
      <c r="A106" s="1153">
        <v>46</v>
      </c>
      <c r="B106" s="3627"/>
      <c r="C106" s="1153" t="s">
        <v>1598</v>
      </c>
      <c r="D106" s="1067" t="s">
        <v>1599</v>
      </c>
      <c r="E106" s="1138">
        <v>0.2</v>
      </c>
      <c r="F106" s="1153">
        <v>30</v>
      </c>
    </row>
    <row r="107" spans="1:6" s="1104" customFormat="1" ht="36">
      <c r="A107" s="1153">
        <v>47</v>
      </c>
      <c r="B107" s="3627" t="s">
        <v>1600</v>
      </c>
      <c r="C107" s="1153" t="s">
        <v>1601</v>
      </c>
      <c r="D107" s="1067" t="s">
        <v>1602</v>
      </c>
      <c r="E107" s="1138">
        <v>0.3</v>
      </c>
      <c r="F107" s="1153">
        <v>50</v>
      </c>
    </row>
    <row r="108" spans="1:6" s="1104" customFormat="1" ht="36">
      <c r="A108" s="1153">
        <v>48</v>
      </c>
      <c r="B108" s="362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627" t="s">
        <v>1611</v>
      </c>
      <c r="C111" s="1153" t="s">
        <v>1612</v>
      </c>
      <c r="D111" s="1067" t="s">
        <v>1613</v>
      </c>
      <c r="E111" s="1138">
        <v>0.2</v>
      </c>
      <c r="F111" s="1153">
        <v>30</v>
      </c>
    </row>
    <row r="112" spans="1:6" s="1104" customFormat="1" ht="24">
      <c r="A112" s="1153">
        <v>52</v>
      </c>
      <c r="B112" s="3627"/>
      <c r="C112" s="1153" t="s">
        <v>1614</v>
      </c>
      <c r="D112" s="1067" t="s">
        <v>1615</v>
      </c>
      <c r="E112" s="1138">
        <v>0.2</v>
      </c>
      <c r="F112" s="1153">
        <v>30</v>
      </c>
    </row>
    <row r="113" spans="1:14" s="1104" customFormat="1" ht="24">
      <c r="A113" s="1153">
        <v>53</v>
      </c>
      <c r="B113" s="362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627" t="s">
        <v>1624</v>
      </c>
      <c r="C116" s="1153" t="s">
        <v>1625</v>
      </c>
      <c r="D116" s="1067" t="s">
        <v>1626</v>
      </c>
      <c r="E116" s="1138">
        <v>0.2</v>
      </c>
      <c r="F116" s="1153">
        <v>30</v>
      </c>
    </row>
    <row r="117" spans="1:14" ht="36">
      <c r="A117" s="1153">
        <v>57</v>
      </c>
      <c r="B117" s="362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628" t="s">
        <v>1633</v>
      </c>
      <c r="B121" s="3628"/>
      <c r="C121" s="3628"/>
      <c r="D121" s="3628"/>
      <c r="E121" s="3628"/>
      <c r="F121" s="3628"/>
      <c r="G121" s="3628"/>
      <c r="H121" s="3628"/>
      <c r="I121" s="3628"/>
      <c r="J121" s="362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629" t="s">
        <v>1039</v>
      </c>
      <c r="B1" s="3629"/>
      <c r="C1" s="3629"/>
      <c r="D1" s="3629"/>
      <c r="E1" s="3629"/>
      <c r="F1" s="362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630" t="s">
        <v>1052</v>
      </c>
      <c r="B2" s="3630"/>
      <c r="C2" s="3630"/>
      <c r="D2" s="3630"/>
      <c r="E2" s="3630"/>
      <c r="F2" s="363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63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63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SUMPRODUCT((B5:B9='基准地价-55住宅'!I2)*(C3:F3='基准地价-55住宅'!E2)*(C5:F9))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SUMPRODUCT((B10:B28='基准地价-55住宅'!I2)*(C3:F3='基准地价-55住宅'!E2)*(C10:F28))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SUMPRODUCT((B29:B48='基准地价-55住宅'!I2)*(C3:F3='基准地价-55住宅'!E2)*(C29:F48))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SUMPRODUCT((B49:B75='基准地价-55住宅'!I2)*(C3:F3='基准地价-55住宅'!E2)*(C49:F75))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SUMPRODUCT((B76:B109='基准地价-55住宅'!I2)*(C3:F3='基准地价-55住宅'!E2)*(C76:F109))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SUMPRODUCT((B110:B157='基准地价-55住宅'!I2)*(C3:F3='基准地价-55住宅'!E2)*(C110:F157))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SUMPRODUCT((B158:B205='基准地价-55住宅'!I2)*(C3:F3='基准地价-55住宅'!E2)*(C158:F205))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SUMPRODUCT((B206:B244='基准地价-55住宅'!I2)*(C3:F3='基准地价-55住宅'!E2)*(C206:F244))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SUMPRODUCT((B245:B289='基准地价-55住宅'!I2)*(C3:F3='基准地价-55住宅'!E2)*(C245:F289))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SUMPRODUCT((B290:B316='基准地价-55住宅'!I2)*(C3:F3='基准地价-55住宅'!E2)*(C290:F316))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SUMPRODUCT((B317:B337='基准地价-55住宅'!I2)*(C3:F3='基准地价-55住宅'!E2)*(C317:F337))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SUMPRODUCT((B338:B344='基准地价-55住宅'!I2)*(C3:F3='基准地价-55住宅'!E2)*(C338:F344))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SUMPRODUCT((A105:A204=ROUNDDOWN('基准地价-55住宅'!G3,1))*(B104:M104='基准地价-55住宅'!G2)*(B105:M204))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633" t="s">
        <v>2079</v>
      </c>
      <c r="B1" s="3633"/>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90" zoomScaleNormal="90" workbookViewId="0">
      <selection activeCell="D2" sqref="D2"/>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t="s">
        <v>3016</v>
      </c>
      <c r="D1" s="2049"/>
      <c r="E1" s="2365" t="s">
        <v>2374</v>
      </c>
      <c r="F1" s="2366">
        <f ca="1">J54</f>
        <v>0</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1483</v>
      </c>
      <c r="C2" s="1350"/>
      <c r="D2" s="2054"/>
      <c r="E2" s="2055"/>
      <c r="F2" s="2055"/>
      <c r="G2" s="1589"/>
      <c r="H2" s="1362"/>
      <c r="I2" s="2056"/>
      <c r="J2" s="2056"/>
      <c r="K2" s="2057"/>
      <c r="L2" s="2056"/>
      <c r="M2" s="2056"/>
    </row>
    <row r="3" spans="1:25" ht="18" customHeight="1">
      <c r="A3" s="1644" t="s">
        <v>1686</v>
      </c>
      <c r="B3" s="1390">
        <f ca="1">ROUND(B2*10000/'数据-汇总表'!E3,0)</f>
        <v>135</v>
      </c>
      <c r="C3" s="1350"/>
      <c r="D3" s="2054"/>
      <c r="E3" s="2055"/>
      <c r="F3" s="2055"/>
      <c r="G3" s="1589"/>
      <c r="H3" s="776" t="s">
        <v>694</v>
      </c>
      <c r="I3" s="2056"/>
      <c r="J3" s="2056"/>
      <c r="K3" s="2057"/>
      <c r="L3" s="2056"/>
      <c r="M3" s="2056"/>
    </row>
    <row r="4" spans="1:25" ht="18" customHeight="1">
      <c r="A4" s="1645" t="s">
        <v>695</v>
      </c>
      <c r="B4" s="1351">
        <f ca="1">ROUND(B2*10000/'数据-汇总表'!D3,0)</f>
        <v>216</v>
      </c>
      <c r="C4" s="428"/>
      <c r="D4" s="2054"/>
      <c r="E4" s="2055"/>
      <c r="F4" s="2055"/>
      <c r="G4" s="1589"/>
      <c r="H4" s="776"/>
      <c r="I4" s="2056"/>
      <c r="J4" s="2056"/>
      <c r="K4" s="2057"/>
      <c r="L4" s="2056"/>
      <c r="M4" s="2056"/>
    </row>
    <row r="5" spans="1:25" ht="18" customHeight="1" thickBot="1">
      <c r="A5" s="1646"/>
      <c r="B5" s="430">
        <f ca="1">ROUND(B2/('数据-汇总表'!D3/666.67),0)</f>
        <v>14</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117</v>
      </c>
      <c r="D7" s="2474" t="s">
        <v>2461</v>
      </c>
      <c r="E7" s="2468"/>
      <c r="F7" s="2469"/>
      <c r="G7" s="1591"/>
      <c r="H7" s="781">
        <v>1</v>
      </c>
      <c r="I7" s="782" t="s">
        <v>2458</v>
      </c>
      <c r="J7" s="53">
        <f ca="1">J8+J12+J14</f>
        <v>0</v>
      </c>
      <c r="K7" s="2474" t="s">
        <v>2461</v>
      </c>
      <c r="L7" s="2468"/>
      <c r="M7" s="2469"/>
    </row>
    <row r="8" spans="1:25" ht="18" customHeight="1">
      <c r="A8" s="1829" t="s">
        <v>1824</v>
      </c>
      <c r="B8" s="3635" t="s">
        <v>2463</v>
      </c>
      <c r="C8" s="1824">
        <f ca="1">ROUND(F8*F10*F9*(1-F11)/10000,0)</f>
        <v>117</v>
      </c>
      <c r="D8" s="1821" t="s">
        <v>2534</v>
      </c>
      <c r="E8" s="61" t="s">
        <v>636</v>
      </c>
      <c r="F8" s="785">
        <f ca="1">INDIRECT("'数据-取费表'!u"&amp;$G$1)</f>
        <v>1.5</v>
      </c>
      <c r="G8" s="1591"/>
      <c r="H8" s="2482" t="s">
        <v>1824</v>
      </c>
      <c r="I8" s="3635" t="s">
        <v>2463</v>
      </c>
      <c r="J8" s="783">
        <f ca="1">ROUND(M8*M10*M9*(1-M11)/10000,0)</f>
        <v>0</v>
      </c>
      <c r="K8" s="341" t="s">
        <v>2534</v>
      </c>
      <c r="L8" s="784" t="s">
        <v>1738</v>
      </c>
      <c r="M8" s="785">
        <f ca="1">INDIRECT("'数据-取费表'!z"&amp;$G$1)</f>
        <v>0</v>
      </c>
    </row>
    <row r="9" spans="1:25" ht="18" customHeight="1">
      <c r="A9" s="2478"/>
      <c r="B9" s="3636"/>
      <c r="C9" s="1825"/>
      <c r="D9" s="1822"/>
      <c r="E9" s="61" t="s">
        <v>637</v>
      </c>
      <c r="F9" s="785">
        <f ca="1">IF(INDIRECT("'数据-取费表'!ah"&amp;$G$1)="",INDIRECT("'数据-取费表'!k"&amp;$G$1),INDIRECT("'数据-取费表'!ah"&amp;$G$1))</f>
        <v>2364.58</v>
      </c>
      <c r="G9" s="1591"/>
      <c r="H9" s="2467"/>
      <c r="I9" s="3636"/>
      <c r="J9" s="788"/>
      <c r="K9" s="789"/>
      <c r="L9" s="784" t="s">
        <v>1739</v>
      </c>
      <c r="M9" s="785">
        <f ca="1">F9</f>
        <v>2364.58</v>
      </c>
    </row>
    <row r="10" spans="1:25" ht="18" customHeight="1">
      <c r="A10" s="2471"/>
      <c r="B10" s="3637"/>
      <c r="C10" s="1825"/>
      <c r="D10" s="1822"/>
      <c r="E10" s="61" t="s">
        <v>638</v>
      </c>
      <c r="F10" s="785">
        <f ca="1">INDIRECT("'数据-取费表'!ai"&amp;$G$1)</f>
        <v>365</v>
      </c>
      <c r="G10" s="1591"/>
      <c r="H10" s="2467"/>
      <c r="I10" s="3637"/>
      <c r="J10" s="788"/>
      <c r="K10" s="789"/>
      <c r="L10" s="784" t="s">
        <v>1740</v>
      </c>
      <c r="M10" s="785">
        <f ca="1">INDIRECT("'数据-取费表'!ai"&amp;$G$1)</f>
        <v>365</v>
      </c>
    </row>
    <row r="11" spans="1:25" ht="18" customHeight="1">
      <c r="A11" s="786"/>
      <c r="B11" s="3638"/>
      <c r="C11" s="1825"/>
      <c r="D11" s="1822"/>
      <c r="E11" s="61" t="s">
        <v>639</v>
      </c>
      <c r="F11" s="794">
        <f ca="1">INDIRECT("'数据-取费表'!w"&amp;$G$1)</f>
        <v>0.1</v>
      </c>
      <c r="G11" s="1591"/>
      <c r="H11" s="2483"/>
      <c r="I11" s="3637"/>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615</v>
      </c>
      <c r="D15" s="1833" t="s">
        <v>641</v>
      </c>
      <c r="E15" s="795" t="s">
        <v>642</v>
      </c>
      <c r="F15" s="800">
        <f ca="1">INDIRECT("'数据-取费表'!y"&amp;$G$1)</f>
        <v>1</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425.62</v>
      </c>
      <c r="D16" s="1978" t="s">
        <v>645</v>
      </c>
      <c r="E16" s="1979"/>
      <c r="F16" s="805"/>
      <c r="G16" s="1591"/>
      <c r="H16" s="803" t="s">
        <v>2069</v>
      </c>
      <c r="I16" s="2230" t="s">
        <v>2824</v>
      </c>
      <c r="J16" s="53">
        <f ca="1">C31</f>
        <v>615</v>
      </c>
      <c r="K16" s="26"/>
      <c r="L16" s="801"/>
      <c r="M16" s="802"/>
    </row>
    <row r="17" spans="1:25" s="2063" customFormat="1" ht="18" customHeight="1">
      <c r="A17" s="803" t="s">
        <v>1849</v>
      </c>
      <c r="B17" s="784" t="s">
        <v>646</v>
      </c>
      <c r="C17" s="53">
        <f ca="1">ROUND(C16*F17,0)</f>
        <v>13</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11</v>
      </c>
      <c r="K18" s="26" t="s">
        <v>651</v>
      </c>
      <c r="L18" s="1981"/>
      <c r="M18" s="56"/>
    </row>
    <row r="19" spans="1:25" s="2063" customFormat="1" ht="18" customHeight="1">
      <c r="A19" s="803" t="s">
        <v>1851</v>
      </c>
      <c r="B19" s="784" t="s">
        <v>652</v>
      </c>
      <c r="C19" s="53">
        <f ca="1">ROUND(F19*(INDIRECT("'数据-取费表'!k"&amp;$G$1)+INDIRECT("'数据-取费表'!S"&amp;$G$1))/10000,0)</f>
        <v>47</v>
      </c>
      <c r="D19" s="784" t="s">
        <v>653</v>
      </c>
      <c r="E19" s="784" t="s">
        <v>654</v>
      </c>
      <c r="F19" s="56">
        <f>'数据-取费表'!B35</f>
        <v>200</v>
      </c>
      <c r="G19" s="1592"/>
      <c r="H19" s="803" t="s">
        <v>2069</v>
      </c>
      <c r="I19" s="784" t="s">
        <v>655</v>
      </c>
      <c r="J19" s="53">
        <f ca="1">ROUND(IF(项目基本情况!B11="自然人",J7*M19,J20+J21+J22),0)</f>
        <v>5</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6</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491.62</v>
      </c>
      <c r="D21" s="261" t="s">
        <v>662</v>
      </c>
      <c r="E21" s="1981"/>
      <c r="F21" s="56"/>
      <c r="G21" s="1591"/>
      <c r="H21" s="1829" t="s">
        <v>1849</v>
      </c>
      <c r="I21" s="784" t="s">
        <v>663</v>
      </c>
      <c r="J21" s="53">
        <f ca="1">IF(K21="按租金收入计税",ROUND(J7*M21,1),ROUND(C31*F35*0.7,1))</f>
        <v>5.2</v>
      </c>
      <c r="K21" s="811" t="s">
        <v>664</v>
      </c>
      <c r="L21" s="784" t="s">
        <v>648</v>
      </c>
      <c r="M21" s="809">
        <f>IF(K21="按租金收入计税",'数据-取费表'!B51,'数据-取费表'!B50)</f>
        <v>1.2E-2</v>
      </c>
    </row>
    <row r="22" spans="1:25" s="2063" customFormat="1" ht="18" customHeight="1">
      <c r="A22" s="803" t="s">
        <v>1877</v>
      </c>
      <c r="B22" s="784" t="s">
        <v>665</v>
      </c>
      <c r="C22" s="53">
        <f ca="1">ROUND(C21*F22,0)</f>
        <v>5</v>
      </c>
      <c r="D22" s="812" t="s">
        <v>666</v>
      </c>
      <c r="E22" s="784" t="s">
        <v>648</v>
      </c>
      <c r="F22" s="809">
        <f>'数据-取费表'!B37</f>
        <v>0.01</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0.01</v>
      </c>
      <c r="G23" s="1592"/>
      <c r="H23" s="1832"/>
      <c r="I23" s="1823"/>
      <c r="J23" s="69"/>
      <c r="K23" s="816"/>
      <c r="L23" s="784" t="s">
        <v>673</v>
      </c>
      <c r="M23" s="785">
        <f ca="1">INDIRECT("'数据-取费表'!r"&amp;$G$1)</f>
        <v>1478.79</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6</v>
      </c>
      <c r="K24" s="1976" t="s">
        <v>676</v>
      </c>
      <c r="L24" s="784" t="s">
        <v>648</v>
      </c>
      <c r="M24" s="817">
        <f ca="1">INDIRECT("'数据-取费表'!Ak"&amp;$G$1)</f>
        <v>0.01</v>
      </c>
    </row>
    <row r="25" spans="1:25" s="2063" customFormat="1" ht="18" customHeight="1">
      <c r="A25" s="803" t="s">
        <v>1875</v>
      </c>
      <c r="B25" s="784" t="s">
        <v>2437</v>
      </c>
      <c r="C25" s="53">
        <f ca="1">ROUND(IF('数据-取费表'!B22&lt;=1,(C21+C22)*F26*F25/2,(C21+C22)*(POWER((1+F26),F25/2)-1)),0)</f>
        <v>18</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1E-3</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4.0000000000000002E-4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0.01</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-11</v>
      </c>
      <c r="K27" s="1978" t="s">
        <v>699</v>
      </c>
      <c r="L27" s="1980"/>
      <c r="M27" s="820"/>
    </row>
    <row r="28" spans="1:25" ht="18" customHeight="1">
      <c r="A28" s="803" t="s">
        <v>1875</v>
      </c>
      <c r="B28" s="784" t="s">
        <v>2438</v>
      </c>
      <c r="C28" s="53">
        <f ca="1">ROUND((C21+C22)*F28,0)</f>
        <v>60</v>
      </c>
      <c r="D28" s="812" t="s">
        <v>700</v>
      </c>
      <c r="E28" s="795" t="s">
        <v>701</v>
      </c>
      <c r="F28" s="794">
        <f ca="1">INDIRECT("'数据-取费表'!q"&amp;$G$1)</f>
        <v>0.12</v>
      </c>
      <c r="G28" s="1591"/>
      <c r="H28" s="781" t="s">
        <v>1837</v>
      </c>
      <c r="I28" s="782" t="s">
        <v>702</v>
      </c>
      <c r="J28" s="783">
        <f ca="1">IF(J7&lt;&gt;0,ROUND(J27*(1-((1+M30)/(1+M28))^M29)/(M28-M30),0),0)</f>
        <v>0</v>
      </c>
      <c r="K28" s="814" t="s">
        <v>703</v>
      </c>
      <c r="L28" s="784" t="s">
        <v>704</v>
      </c>
      <c r="M28" s="794">
        <f ca="1">INDIRECT("'数据-取费表'!I"&amp;$G$1)</f>
        <v>3.5000000000000003E-2</v>
      </c>
    </row>
    <row r="29" spans="1:25" ht="18" customHeight="1">
      <c r="A29" s="803" t="s">
        <v>1849</v>
      </c>
      <c r="B29" s="784" t="s">
        <v>685</v>
      </c>
      <c r="C29" s="53">
        <f ca="1">ROUND(F23*F28,4)</f>
        <v>1.1999999999999999E-3</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615</v>
      </c>
      <c r="D31" s="2523"/>
      <c r="E31" s="2524"/>
      <c r="F31" s="2525"/>
      <c r="G31" s="1592"/>
      <c r="H31" s="823" t="s">
        <v>1872</v>
      </c>
      <c r="I31" s="2986" t="s">
        <v>2823</v>
      </c>
      <c r="J31" s="825">
        <f ca="1">ROUND(J28/(1+F45)^F46,0)</f>
        <v>0</v>
      </c>
      <c r="K31" s="826" t="s">
        <v>687</v>
      </c>
      <c r="L31" s="827"/>
      <c r="M31" s="828">
        <f ca="1">INDIRECT("'数据-取费表'!k"&amp;$G$1)</f>
        <v>2364.58</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20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11.6</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6.2</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5.2</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0.2</v>
      </c>
      <c r="D36" s="814" t="s">
        <v>668</v>
      </c>
      <c r="E36" s="784" t="s">
        <v>669</v>
      </c>
      <c r="F36" s="640">
        <f>'数据-取费表'!B52</f>
        <v>1.5</v>
      </c>
      <c r="G36" s="2061"/>
      <c r="H36" s="2064"/>
      <c r="I36" s="3634"/>
      <c r="J36" s="2078"/>
      <c r="K36" s="2079"/>
      <c r="L36" s="2078"/>
      <c r="M36" s="2078"/>
    </row>
    <row r="37" spans="1:18" ht="18" customHeight="1">
      <c r="A37" s="815"/>
      <c r="B37" s="793"/>
      <c r="C37" s="69"/>
      <c r="D37" s="816"/>
      <c r="E37" s="784" t="s">
        <v>673</v>
      </c>
      <c r="F37" s="785">
        <f ca="1">INDIRECT("'数据-取费表'!r"&amp;$G$1)</f>
        <v>1478.79</v>
      </c>
      <c r="G37" s="2061"/>
      <c r="H37" s="2064"/>
      <c r="I37" s="3634"/>
      <c r="J37" s="2076"/>
      <c r="K37" s="2077"/>
      <c r="L37" s="2076"/>
      <c r="M37" s="2076"/>
    </row>
    <row r="38" spans="1:18" ht="18" customHeight="1">
      <c r="A38" s="803" t="s">
        <v>1877</v>
      </c>
      <c r="B38" s="784" t="s">
        <v>675</v>
      </c>
      <c r="C38" s="53">
        <f ca="1">ROUND(C31*F38,1)</f>
        <v>6.2</v>
      </c>
      <c r="D38" s="1976" t="s">
        <v>690</v>
      </c>
      <c r="E38" s="784" t="s">
        <v>648</v>
      </c>
      <c r="F38" s="817">
        <f ca="1">INDIRECT("'数据-取费表'!Ak"&amp;$G$1)</f>
        <v>0.01</v>
      </c>
      <c r="G38" s="2061"/>
      <c r="H38" s="2076"/>
      <c r="I38" s="2080"/>
      <c r="J38" s="1987"/>
      <c r="K38" s="2081"/>
      <c r="L38" s="2076"/>
      <c r="M38" s="2076"/>
    </row>
    <row r="39" spans="1:18" ht="18" customHeight="1">
      <c r="A39" s="803" t="s">
        <v>1878</v>
      </c>
      <c r="B39" s="784" t="s">
        <v>678</v>
      </c>
      <c r="C39" s="53">
        <f ca="1">ROUND(C15*F39,1)</f>
        <v>0.6</v>
      </c>
      <c r="D39" s="1976" t="s">
        <v>679</v>
      </c>
      <c r="E39" s="784" t="s">
        <v>648</v>
      </c>
      <c r="F39" s="818">
        <f ca="1">INDIRECT("'数据-取费表'!Al"&amp;$G$1)</f>
        <v>1E-3</v>
      </c>
      <c r="G39" s="2061"/>
      <c r="H39" s="2076"/>
      <c r="I39" s="2080"/>
      <c r="J39" s="1987"/>
      <c r="K39" s="2081"/>
      <c r="L39" s="2076"/>
      <c r="M39" s="2076"/>
    </row>
    <row r="40" spans="1:18" ht="18" customHeight="1" thickBot="1">
      <c r="A40" s="2538" t="s">
        <v>1879</v>
      </c>
      <c r="B40" s="2524" t="s">
        <v>665</v>
      </c>
      <c r="C40" s="2522">
        <f ca="1">ROUND(C7*F40,1)</f>
        <v>1.2</v>
      </c>
      <c r="D40" s="2523" t="s">
        <v>682</v>
      </c>
      <c r="E40" s="2524" t="s">
        <v>648</v>
      </c>
      <c r="F40" s="2520">
        <f ca="1">INDIRECT("'数据-取费表'!Am"&amp;$G$1)</f>
        <v>0.01</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97</v>
      </c>
      <c r="D42" s="1978" t="s">
        <v>693</v>
      </c>
      <c r="E42" s="1980"/>
      <c r="F42" s="820"/>
      <c r="G42" s="2061"/>
      <c r="H42" s="2061"/>
      <c r="I42" s="2061"/>
      <c r="J42" s="2061"/>
      <c r="K42" s="2082"/>
      <c r="L42" s="2061"/>
      <c r="M42" s="2061"/>
    </row>
    <row r="43" spans="1:18" ht="18" customHeight="1">
      <c r="A43" s="803" t="s">
        <v>1877</v>
      </c>
      <c r="B43" s="835" t="s">
        <v>710</v>
      </c>
      <c r="C43" s="836">
        <f ca="1">ROUND(C15*F43,0)</f>
        <v>28</v>
      </c>
      <c r="D43" s="1355" t="s">
        <v>711</v>
      </c>
      <c r="E43" s="3096" t="s">
        <v>2958</v>
      </c>
      <c r="F43" s="3097">
        <f ca="1">INDIRECT("'数据-取费表'!j"&amp;$G$1)</f>
        <v>4.4999999999999998E-2</v>
      </c>
      <c r="G43" s="2061"/>
      <c r="H43" s="2061"/>
      <c r="I43" s="2061"/>
      <c r="J43" s="2061"/>
      <c r="K43" s="2082"/>
      <c r="L43" s="2061"/>
      <c r="M43" s="2061"/>
    </row>
    <row r="44" spans="1:18" ht="18" customHeight="1">
      <c r="A44" s="803" t="s">
        <v>1878</v>
      </c>
      <c r="B44" s="835" t="s">
        <v>712</v>
      </c>
      <c r="C44" s="1356">
        <f ca="1">C42-C43</f>
        <v>69</v>
      </c>
      <c r="D44" s="463" t="s">
        <v>713</v>
      </c>
      <c r="E44" s="464"/>
      <c r="F44" s="465"/>
      <c r="G44" s="2061"/>
      <c r="H44" s="2061"/>
      <c r="I44" s="2061"/>
      <c r="J44" s="2061"/>
      <c r="K44" s="2082"/>
      <c r="L44" s="2061"/>
      <c r="M44" s="2061"/>
    </row>
    <row r="45" spans="1:18" ht="18" customHeight="1">
      <c r="A45" s="803" t="s">
        <v>1879</v>
      </c>
      <c r="B45" s="1355" t="s">
        <v>714</v>
      </c>
      <c r="C45" s="3012">
        <f ca="1">ROUND(-PV(F45,F46,C44,0),0)</f>
        <v>1483</v>
      </c>
      <c r="D45" s="1357" t="s">
        <v>715</v>
      </c>
      <c r="E45" s="806" t="s">
        <v>716</v>
      </c>
      <c r="F45" s="830">
        <f ca="1">INDIRECT("'数据-取费表'!h"&amp;$G$1)</f>
        <v>0.03</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35.03</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e">
        <f ca="1">IF(M48="住宅",0,IF(L49&gt;J52,L61,J61))</f>
        <v>#DIV/0!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50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35.03</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615</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26</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0</v>
      </c>
      <c r="K54" s="3639"/>
      <c r="L54" s="3640"/>
      <c r="O54" s="2379" t="s">
        <v>2388</v>
      </c>
      <c r="P54" s="2377" t="s">
        <v>2389</v>
      </c>
      <c r="Q54" s="2378">
        <f ca="1">J54</f>
        <v>0</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35.03</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26</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26</v>
      </c>
      <c r="R69" s="2384" t="s">
        <v>2416</v>
      </c>
    </row>
    <row r="70" spans="1:18" s="2058" customFormat="1" ht="20.25" thickBot="1">
      <c r="A70" s="2095"/>
      <c r="B70" s="2096"/>
      <c r="C70" s="2096"/>
      <c r="K70" s="2085"/>
      <c r="O70" s="2379" t="s">
        <v>2384</v>
      </c>
      <c r="P70" s="2385" t="s">
        <v>2398</v>
      </c>
      <c r="Q70" s="2378">
        <f ca="1">ROUND(Q71-Q72*Q73,0)</f>
        <v>69</v>
      </c>
      <c r="R70" s="2381"/>
    </row>
    <row r="71" spans="1:18" s="2058" customFormat="1" ht="15.75" thickBot="1">
      <c r="A71" s="2095"/>
      <c r="B71" s="2096"/>
      <c r="C71" s="2096"/>
      <c r="K71" s="2085"/>
      <c r="O71" s="2379" t="s">
        <v>2399</v>
      </c>
      <c r="P71" s="2385" t="s">
        <v>2400</v>
      </c>
      <c r="Q71" s="2378">
        <f ca="1">C42</f>
        <v>97</v>
      </c>
      <c r="R71" s="2377" t="s">
        <v>2380</v>
      </c>
    </row>
    <row r="72" spans="1:18" s="2058" customFormat="1" ht="15.75" thickBot="1">
      <c r="A72" s="2095"/>
      <c r="B72" s="2096"/>
      <c r="C72" s="2096"/>
      <c r="K72" s="2085"/>
      <c r="O72" s="2379" t="s">
        <v>2401</v>
      </c>
      <c r="P72" s="2385" t="s">
        <v>2402</v>
      </c>
      <c r="Q72" s="2378">
        <f ca="1">C15</f>
        <v>615</v>
      </c>
      <c r="R72" s="2377" t="s">
        <v>2380</v>
      </c>
    </row>
    <row r="73" spans="1:18" s="2058" customFormat="1" ht="15.75" thickBot="1">
      <c r="A73" s="2095"/>
      <c r="B73" s="2096"/>
      <c r="C73" s="2096"/>
      <c r="K73" s="2085"/>
      <c r="O73" s="2379" t="s">
        <v>2403</v>
      </c>
      <c r="P73" s="2385" t="s">
        <v>2404</v>
      </c>
      <c r="Q73" s="2380">
        <f ca="1">F43</f>
        <v>4.4999999999999998E-2</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648" t="s">
        <v>2576</v>
      </c>
      <c r="C1" s="3648"/>
      <c r="D1" s="3648"/>
      <c r="E1" s="3648"/>
      <c r="F1" s="3648"/>
      <c r="G1" s="3647" t="s">
        <v>2577</v>
      </c>
      <c r="H1" s="3647"/>
      <c r="I1" s="3647"/>
      <c r="J1" s="3647"/>
      <c r="K1" s="3647"/>
      <c r="L1" s="3647"/>
      <c r="N1" s="3647" t="s">
        <v>2578</v>
      </c>
      <c r="O1" s="3647"/>
      <c r="P1" s="3647"/>
      <c r="Q1" s="3647"/>
      <c r="R1" s="2632"/>
      <c r="S1" s="3647" t="s">
        <v>2579</v>
      </c>
      <c r="T1" s="3647"/>
      <c r="U1" s="3647"/>
      <c r="V1" s="3647"/>
      <c r="X1" s="3646" t="s">
        <v>2639</v>
      </c>
      <c r="Y1" s="3647"/>
      <c r="Z1" s="3647"/>
      <c r="AA1" s="3647"/>
      <c r="AB1" s="3647"/>
      <c r="AD1" s="3646" t="s">
        <v>2643</v>
      </c>
      <c r="AE1" s="3647"/>
      <c r="AF1" s="3647"/>
      <c r="AG1" s="3647"/>
      <c r="AH1" s="3647"/>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642">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642"/>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642"/>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643"/>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641">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642"/>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642"/>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643"/>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641">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642"/>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642"/>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645"/>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644">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642"/>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642"/>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645"/>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644">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642"/>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642"/>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645"/>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649">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650"/>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650"/>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651"/>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644">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642"/>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642"/>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645"/>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644">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642">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642">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645">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644">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642">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642">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645">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644">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642">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642">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645">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644">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642">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642">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645">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644">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642">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642">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645">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644">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642">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642">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645">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644">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642">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642">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645">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644">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642">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642">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645">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644">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642">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642">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645">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644">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642">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642">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645">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AE38"/>
  <sheetViews>
    <sheetView zoomScale="90" zoomScaleNormal="90" workbookViewId="0">
      <selection activeCell="B43" sqref="B43"/>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3016</v>
      </c>
      <c r="C1" s="2103"/>
      <c r="D1" s="2103"/>
      <c r="E1" s="2103"/>
      <c r="F1" s="2103"/>
      <c r="G1" s="2103"/>
      <c r="H1" s="2103"/>
      <c r="I1" s="2103"/>
      <c r="J1" s="2103"/>
      <c r="K1" s="422">
        <f>MATCH(B1,'数据-取费表'!A6:A16,0)+5</f>
        <v>8</v>
      </c>
    </row>
    <row r="2" spans="1:31" s="2040" customFormat="1" ht="18" customHeight="1">
      <c r="A2" s="2100" t="s">
        <v>466</v>
      </c>
      <c r="B2" s="2104">
        <f ca="1">C36</f>
        <v>1040.0899999999999</v>
      </c>
      <c r="C2" s="2103"/>
      <c r="D2" s="2103"/>
      <c r="E2" s="2103"/>
      <c r="F2" s="2103"/>
      <c r="G2" s="2103"/>
      <c r="H2" s="2103"/>
      <c r="I2" s="2103"/>
      <c r="J2" s="2103"/>
      <c r="K2" s="2103"/>
    </row>
    <row r="3" spans="1:31" s="2040" customFormat="1" ht="18" customHeight="1">
      <c r="A3" s="2105" t="s">
        <v>1684</v>
      </c>
      <c r="B3" s="2106">
        <f ca="1">ROUND(B2*10000/IF(B1="",'数据-汇总表'!E3,INDIRECT("'数据-取费表'!K"&amp;$K$1)),0)</f>
        <v>4399</v>
      </c>
      <c r="C3" s="2103"/>
      <c r="D3" s="2103"/>
      <c r="E3" s="2103"/>
      <c r="F3" s="2103"/>
      <c r="G3" s="2103"/>
      <c r="H3" s="2103"/>
      <c r="I3" s="2103"/>
      <c r="J3" s="2103"/>
      <c r="K3" s="2103"/>
    </row>
    <row r="4" spans="1:31" s="2040" customFormat="1" ht="18" customHeight="1">
      <c r="A4" s="426" t="s">
        <v>467</v>
      </c>
      <c r="B4" s="427">
        <f ca="1">ROUND(B2*10000/IF(B1="",'数据-汇总表'!D3,INDIRECT("'数据-取费表'!R"&amp;$K$1)),0)</f>
        <v>7033</v>
      </c>
      <c r="C4" s="428"/>
      <c r="D4" s="422"/>
      <c r="E4" s="422"/>
      <c r="F4" s="422"/>
      <c r="G4" s="422"/>
      <c r="H4" s="422"/>
      <c r="I4" s="422"/>
      <c r="J4" s="422"/>
      <c r="K4" s="422"/>
    </row>
    <row r="5" spans="1:31" s="2040" customFormat="1" ht="18" customHeight="1" thickBot="1">
      <c r="A5" s="429"/>
      <c r="B5" s="430">
        <f ca="1">ROUND(B2/(IF(B1="",'数据-汇总表'!D3,INDIRECT("'数据-取费表'!R"&amp;$K$1))/666.67),0)</f>
        <v>469</v>
      </c>
      <c r="C5" s="431" t="s">
        <v>468</v>
      </c>
      <c r="D5" s="422"/>
      <c r="E5" s="422"/>
      <c r="F5" s="422"/>
      <c r="G5" s="422"/>
      <c r="H5" s="422"/>
      <c r="I5" s="422"/>
      <c r="J5" s="422"/>
      <c r="K5" s="422"/>
    </row>
    <row r="6" spans="1:31" s="2110" customFormat="1" ht="16.5" customHeight="1">
      <c r="A6" s="2805" t="s">
        <v>1842</v>
      </c>
      <c r="B6" s="2806"/>
      <c r="C6" s="2807">
        <f ca="1">SUM(C10:K10)</f>
        <v>2037.48</v>
      </c>
      <c r="D6" s="2806"/>
      <c r="E6" s="2806"/>
      <c r="F6" s="2806"/>
      <c r="G6" s="2806"/>
      <c r="H6" s="2806"/>
      <c r="I6" s="2806"/>
      <c r="J6" s="2806"/>
      <c r="K6" s="2808"/>
    </row>
    <row r="7" spans="1:31" s="2112" customFormat="1" ht="15">
      <c r="A7" s="2809" t="s">
        <v>469</v>
      </c>
      <c r="B7" s="2810" t="s">
        <v>470</v>
      </c>
      <c r="C7" s="436" t="s">
        <v>3016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 ca="1">不动产收益法!C43</f>
        <v>8617</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SUMIF('数据-汇总表'!$C19:$C33,'剩余法-待开发仓储'!C7,'数据-汇总表'!$E19:$E33)</f>
        <v>2364.58</v>
      </c>
      <c r="D9" s="441">
        <f>SUMIF('数据-汇总表'!$C19:$C33,'剩余法-待开发仓储'!D7,'数据-汇总表'!$E19:$E33)</f>
        <v>0</v>
      </c>
      <c r="E9" s="441">
        <f>SUMIF('数据-汇总表'!$C19:$C33,'剩余法-待开发仓储'!E7,'数据-汇总表'!$E19:$E33)</f>
        <v>0</v>
      </c>
      <c r="F9" s="441">
        <f>SUMIF('数据-汇总表'!$C19:$C33,'剩余法-待开发仓储'!F7,'数据-汇总表'!$E19:$E33)</f>
        <v>0</v>
      </c>
      <c r="G9" s="441">
        <f>SUMIF('数据-汇总表'!$C19:$C33,'剩余法-待开发仓储'!G7,'数据-汇总表'!$E19:$E33)</f>
        <v>0</v>
      </c>
      <c r="H9" s="441">
        <f>SUMIF('数据-汇总表'!$C19:$C33,'剩余法-待开发仓储'!H7,'数据-汇总表'!$E19:$E33)</f>
        <v>0</v>
      </c>
      <c r="I9" s="441">
        <f>SUMIF('数据-汇总表'!$C19:$C33,'剩余法-待开发仓储'!I7,'数据-汇总表'!$E19:$E33)</f>
        <v>0</v>
      </c>
      <c r="J9" s="441">
        <f>SUMIF('数据-汇总表'!$C19:$C33,'剩余法-待开发仓储'!J7,'数据-汇总表'!$E19:$E33)</f>
        <v>0</v>
      </c>
      <c r="K9" s="442">
        <f>SUMIF('数据-汇总表'!$C19:$C33,'剩余法-待开发仓储'!K7,'数据-汇总表'!$E19:$E33)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319">
        <f ca="1">不动产收益法!C40</f>
        <v>2037.48</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273" t="s">
        <v>475</v>
      </c>
      <c r="E12" s="3273" t="s">
        <v>476</v>
      </c>
      <c r="F12" s="3273" t="s">
        <v>477</v>
      </c>
      <c r="G12" s="2789"/>
      <c r="H12" s="2790"/>
      <c r="I12" s="2790"/>
      <c r="J12" s="2790"/>
      <c r="K12" s="2791"/>
    </row>
    <row r="13" spans="1:31" s="2115" customFormat="1" ht="13.5" customHeight="1">
      <c r="A13" s="2819" t="s">
        <v>1848</v>
      </c>
      <c r="B13" s="2820" t="s">
        <v>478</v>
      </c>
      <c r="C13" s="3320">
        <f ca="1">IF(B1="",'数据-取费表'!P16,INDIRECT("'数据-取费表'!p"&amp;$K$1)+INDIRECT("'数据-取费表'!t"&amp;$K$1))</f>
        <v>425.62</v>
      </c>
      <c r="D13" s="2821"/>
      <c r="E13" s="2822"/>
      <c r="F13" s="2823"/>
      <c r="G13" s="2789"/>
      <c r="H13" s="2790"/>
      <c r="I13" s="2790"/>
      <c r="J13" s="2790"/>
      <c r="K13" s="2791"/>
    </row>
    <row r="14" spans="1:31" s="2115" customFormat="1" ht="13.5" customHeight="1">
      <c r="A14" s="2819" t="s">
        <v>1849</v>
      </c>
      <c r="B14" s="2820" t="s">
        <v>479</v>
      </c>
      <c r="C14" s="3320">
        <f ca="1">ROUND(C13*F14,2)</f>
        <v>12.77</v>
      </c>
      <c r="D14" s="2821"/>
      <c r="E14" s="2822"/>
      <c r="F14" s="2824">
        <f>'数据-取费表'!B33</f>
        <v>0.03</v>
      </c>
      <c r="G14" s="2789" t="s">
        <v>480</v>
      </c>
      <c r="H14" s="2790"/>
      <c r="I14" s="2790"/>
      <c r="J14" s="2790"/>
      <c r="K14" s="2791"/>
    </row>
    <row r="15" spans="1:31" s="2115" customFormat="1" ht="13.5" customHeight="1">
      <c r="A15" s="2819" t="s">
        <v>1850</v>
      </c>
      <c r="B15" s="2820" t="s">
        <v>481</v>
      </c>
      <c r="C15" s="3320">
        <f ca="1">ROUND(IF(B1="",SUMIF('数据-取费表'!C:C,"住宅",'数据-取费表'!P:P)*F15,IF(INDIRECT("'数据-取费表'!c"&amp;$K$1)="住宅",INDIRECT("'数据-取费表'!P"&amp;$K$1)*F15,0)),2)</f>
        <v>0</v>
      </c>
      <c r="D15" s="2821"/>
      <c r="E15" s="2822"/>
      <c r="F15" s="2824">
        <f>'数据-取费表'!B34</f>
        <v>0.1</v>
      </c>
      <c r="G15" s="2789" t="s">
        <v>482</v>
      </c>
      <c r="H15" s="2790"/>
      <c r="I15" s="2790"/>
      <c r="J15" s="2790"/>
      <c r="K15" s="2791"/>
    </row>
    <row r="16" spans="1:31" s="2116" customFormat="1" ht="13.5" customHeight="1">
      <c r="A16" s="2819" t="s">
        <v>1851</v>
      </c>
      <c r="B16" s="2820" t="s">
        <v>483</v>
      </c>
      <c r="C16" s="3320">
        <f ca="1">ROUND(D16*E16/10000,2)</f>
        <v>47.29</v>
      </c>
      <c r="D16" s="2821">
        <f ca="1">IF(B1="",'数据-汇总表'!E3,INDIRECT("'数据-取费表'!K"&amp;$K$1)+INDIRECT("'数据-取费表'!S"&amp;$K$1))</f>
        <v>2364.58</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3321">
        <f ca="1">ROUND(C13*F17,2)</f>
        <v>6.38</v>
      </c>
      <c r="D17" s="475"/>
      <c r="E17" s="2825"/>
      <c r="F17" s="2826">
        <f>'数据-取费表'!B36</f>
        <v>1.4999999999999999E-2</v>
      </c>
      <c r="G17" s="261" t="s">
        <v>485</v>
      </c>
      <c r="H17" s="2792"/>
      <c r="I17" s="2792"/>
      <c r="J17" s="2792"/>
      <c r="K17" s="279"/>
    </row>
    <row r="18" spans="1:14" s="2115" customFormat="1" ht="13.5" customHeight="1">
      <c r="A18" s="2827" t="s">
        <v>1853</v>
      </c>
      <c r="B18" s="2828" t="s">
        <v>486</v>
      </c>
      <c r="C18" s="3322">
        <f ca="1">SUM(C13:C17)</f>
        <v>492.06</v>
      </c>
      <c r="D18" s="2830"/>
      <c r="E18" s="468"/>
      <c r="F18" s="468"/>
      <c r="G18" s="2793" t="s">
        <v>2430</v>
      </c>
      <c r="H18" s="2794"/>
      <c r="I18" s="2794"/>
      <c r="J18" s="2794"/>
      <c r="K18" s="2795"/>
    </row>
    <row r="19" spans="1:14" s="2115" customFormat="1" ht="13.5" customHeight="1">
      <c r="A19" s="2827" t="s">
        <v>1854</v>
      </c>
      <c r="B19" s="2828" t="s">
        <v>487</v>
      </c>
      <c r="C19" s="3323">
        <f ca="1">ROUND(D19*E19/10000,2)</f>
        <v>0</v>
      </c>
      <c r="D19" s="2831">
        <f ca="1">D16</f>
        <v>2364.58</v>
      </c>
      <c r="E19" s="3273">
        <f>'数据-取费表'!B32</f>
        <v>0</v>
      </c>
      <c r="F19" s="468"/>
      <c r="G19" s="2789" t="s">
        <v>488</v>
      </c>
      <c r="H19" s="2790"/>
      <c r="I19" s="2794"/>
      <c r="J19" s="2794"/>
      <c r="K19" s="2795"/>
    </row>
    <row r="20" spans="1:14" s="2115" customFormat="1" ht="13.5" customHeight="1">
      <c r="A20" s="2827" t="s">
        <v>1855</v>
      </c>
      <c r="B20" s="2828" t="s">
        <v>489</v>
      </c>
      <c r="C20" s="3323">
        <f ca="1">C21+C22-IF(B1="",'数据-取费表'!B29,IF(G20="已全部缴纳",C21+C22,H20))</f>
        <v>47.29</v>
      </c>
      <c r="D20" s="2831"/>
      <c r="E20" s="3273"/>
      <c r="F20" s="2832"/>
      <c r="G20" s="3062"/>
      <c r="H20" s="2787"/>
      <c r="I20" s="2788" t="s">
        <v>2651</v>
      </c>
      <c r="J20" s="2794"/>
      <c r="K20" s="2795"/>
    </row>
    <row r="21" spans="1:14" s="2115" customFormat="1" ht="13.5" customHeight="1">
      <c r="A21" s="2819" t="s">
        <v>1856</v>
      </c>
      <c r="B21" s="2820" t="s">
        <v>490</v>
      </c>
      <c r="C21" s="3320">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3320">
        <f ca="1">ROUND(D22*E22/10000,2)</f>
        <v>47.29</v>
      </c>
      <c r="D22" s="2821">
        <f ca="1">IF(B1="",'数据-汇总表'!E6,IF(INDIRECT("'数据-取费表'!c"&amp;$K$1)="住宅",INDIRECT("'数据-取费表'!s"&amp;$K$1),INDIRECT("'数据-取费表'!k"&amp;$K$1)+INDIRECT("'数据-取费表'!s"&amp;$K$1)))</f>
        <v>2364.58</v>
      </c>
      <c r="E22" s="53">
        <f>'数据-取费表'!B28</f>
        <v>200</v>
      </c>
      <c r="F22" s="2824"/>
      <c r="G22" s="26"/>
      <c r="H22" s="51"/>
      <c r="I22" s="51"/>
      <c r="J22" s="51"/>
      <c r="K22" s="2796"/>
    </row>
    <row r="23" spans="1:14" s="2115" customFormat="1" ht="13.5" customHeight="1">
      <c r="A23" s="2827" t="s">
        <v>1858</v>
      </c>
      <c r="B23" s="3009" t="s">
        <v>2833</v>
      </c>
      <c r="C23" s="3322">
        <f ca="1">ROUND((C18+C19+C20)*F23,2)</f>
        <v>5.39</v>
      </c>
      <c r="D23" s="468"/>
      <c r="E23" s="468"/>
      <c r="F23" s="2833">
        <f>'数据-取费表'!B37</f>
        <v>0.01</v>
      </c>
      <c r="G23" s="2789" t="s">
        <v>2431</v>
      </c>
      <c r="H23" s="2790"/>
      <c r="I23" s="2790"/>
      <c r="J23" s="2790"/>
      <c r="K23" s="2791"/>
      <c r="L23" s="2117"/>
      <c r="M23" s="2117"/>
      <c r="N23" s="2117"/>
    </row>
    <row r="24" spans="1:14" s="2115" customFormat="1" ht="13.5" customHeight="1">
      <c r="A24" s="2827" t="s">
        <v>1859</v>
      </c>
      <c r="B24" s="3009" t="s">
        <v>2836</v>
      </c>
      <c r="C24" s="3322">
        <f ca="1">ROUND(C6*F24,2)</f>
        <v>20.37</v>
      </c>
      <c r="D24" s="475"/>
      <c r="E24" s="473"/>
      <c r="F24" s="2833">
        <f>'数据-取费表'!B38</f>
        <v>0.01</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3324">
        <f ca="1">C28</f>
        <v>20.010000000000002</v>
      </c>
      <c r="D26" s="467">
        <f ca="1">C27</f>
        <v>7.4200000000000002E-2</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58">
        <f ca="1">ROUND(IF('数据-取费表'!B22&lt;=1,(C18+C19+C20+C23+C24)*F26*'数据-取费表'!B24/2,(C18+C19+C20+C23+C24)*(POWER((1+F26),'数据-取费表'!B24/2)-1)),2)</f>
        <v>20.010000000000002</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31">
        <f ca="1">ROUND(C6*F29/(1+'数据-取费表'!C42),2)</f>
        <v>108.67</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3324">
        <f ca="1">C31</f>
        <v>693.79</v>
      </c>
      <c r="D30" s="477">
        <f ca="1">C32</f>
        <v>0.1032</v>
      </c>
      <c r="E30" s="469" t="s">
        <v>494</v>
      </c>
      <c r="F30" s="471"/>
      <c r="G30" s="2797" t="s">
        <v>2968</v>
      </c>
      <c r="H30" s="2790"/>
      <c r="I30" s="2790"/>
      <c r="J30" s="2790"/>
      <c r="K30" s="2791"/>
    </row>
    <row r="31" spans="1:14" s="2119" customFormat="1" ht="13.5" customHeight="1">
      <c r="A31" s="803" t="s">
        <v>1856</v>
      </c>
      <c r="B31" s="2835"/>
      <c r="C31" s="79">
        <f ca="1">C18+C19+C20+C23+C24+C26+C29</f>
        <v>693.79</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2832</v>
      </c>
      <c r="B33" s="3006" t="s">
        <v>2830</v>
      </c>
      <c r="C33" s="3325">
        <f ca="1">C35</f>
        <v>67.81</v>
      </c>
      <c r="D33" s="467">
        <f ca="1">C34</f>
        <v>0.1235</v>
      </c>
      <c r="E33" s="469" t="s">
        <v>494</v>
      </c>
      <c r="F33" s="479">
        <f ca="1">IF(B1="",'数据-取费表'!Q16,INDIRECT("'数据-取费表'!q"&amp;$K$1))</f>
        <v>0.12</v>
      </c>
      <c r="G33" s="2793"/>
      <c r="H33" s="2794"/>
      <c r="I33" s="2794"/>
      <c r="J33" s="2794"/>
      <c r="K33" s="2795"/>
    </row>
    <row r="34" spans="1:11" s="2122" customFormat="1" ht="13.5" customHeight="1">
      <c r="A34" s="375" t="s">
        <v>1856</v>
      </c>
      <c r="B34" s="2840" t="s">
        <v>500</v>
      </c>
      <c r="C34" s="472">
        <f ca="1">ROUND((1+C25)*F33,4)</f>
        <v>0.1235</v>
      </c>
      <c r="D34" s="472"/>
      <c r="E34" s="473"/>
      <c r="F34" s="480"/>
      <c r="G34" s="261" t="s">
        <v>2290</v>
      </c>
      <c r="H34" s="2792"/>
      <c r="I34" s="2792"/>
      <c r="J34" s="2792"/>
      <c r="K34" s="279"/>
    </row>
    <row r="35" spans="1:11" s="2122" customFormat="1" ht="13.5" customHeight="1" thickBot="1">
      <c r="A35" s="1635" t="s">
        <v>1857</v>
      </c>
      <c r="B35" s="3007" t="s">
        <v>2838</v>
      </c>
      <c r="C35" s="3326">
        <f ca="1">ROUND((C18+C19+C20+C23+C24)*F33,2)</f>
        <v>67.81</v>
      </c>
      <c r="D35" s="1628"/>
      <c r="E35" s="2841"/>
      <c r="F35" s="1629"/>
      <c r="G35" s="2799"/>
      <c r="H35" s="2800"/>
      <c r="I35" s="2800"/>
      <c r="J35" s="2800"/>
      <c r="K35" s="2801"/>
    </row>
    <row r="36" spans="1:11" s="2084" customFormat="1" ht="13.5" customHeight="1" thickBot="1">
      <c r="A36" s="284" t="s">
        <v>1844</v>
      </c>
      <c r="B36" s="2803"/>
      <c r="C36" s="3327">
        <f ca="1">ROUND((C6-C30-C33)/(1+D30+D33),2)</f>
        <v>1040.0899999999999</v>
      </c>
      <c r="D36" s="2803"/>
      <c r="E36" s="2803"/>
      <c r="F36" s="2803"/>
      <c r="G36" s="2802" t="s">
        <v>2839</v>
      </c>
      <c r="H36" s="2803"/>
      <c r="I36" s="2803"/>
      <c r="J36" s="2803"/>
      <c r="K36" s="2804"/>
    </row>
    <row r="38" spans="1:11" ht="12.75" customHeight="1"/>
  </sheetData>
  <sheetProtection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90" fitToHeight="0" orientation="landscape"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3月6日、商业2044年3月6日地下车库2054年3月6日、地下仓储2054年3月6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3" zoomScaleNormal="100" workbookViewId="0">
      <selection activeCell="D3" sqref="D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3016</v>
      </c>
      <c r="D1" s="3099" t="s">
        <v>951</v>
      </c>
      <c r="E1" s="2365" t="s">
        <v>2374</v>
      </c>
      <c r="F1" s="2366">
        <f ca="1">J53</f>
        <v>35.03</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2037.48</v>
      </c>
      <c r="C2" s="2056"/>
      <c r="D2" s="2054"/>
      <c r="E2" s="2055"/>
      <c r="F2" s="2055"/>
      <c r="G2" s="1589"/>
      <c r="H2" s="2056"/>
      <c r="I2" s="2056"/>
      <c r="J2" s="2056"/>
      <c r="K2" s="2057"/>
      <c r="L2" s="2056"/>
      <c r="M2" s="2056"/>
    </row>
    <row r="3" spans="1:33" ht="18" customHeight="1" thickBot="1">
      <c r="A3" s="833" t="s">
        <v>1727</v>
      </c>
      <c r="B3" s="834">
        <f ca="1">IF(ISERROR(B2*10000/F43),0,ROUND(B2*10000/F43,0))</f>
        <v>8617</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116.95</v>
      </c>
      <c r="D5" s="2474" t="s">
        <v>2461</v>
      </c>
      <c r="E5" s="2468"/>
      <c r="F5" s="2469"/>
      <c r="G5" s="1591"/>
      <c r="H5" s="781">
        <v>1</v>
      </c>
      <c r="I5" s="782" t="s">
        <v>2458</v>
      </c>
      <c r="J5" s="55">
        <f ca="1">J6+J10+J12</f>
        <v>0</v>
      </c>
      <c r="K5" s="2474" t="s">
        <v>2461</v>
      </c>
      <c r="L5" s="2468"/>
      <c r="M5" s="2469"/>
    </row>
    <row r="6" spans="1:33" ht="18" customHeight="1">
      <c r="A6" s="1829" t="s">
        <v>1824</v>
      </c>
      <c r="B6" s="3635" t="s">
        <v>2463</v>
      </c>
      <c r="C6" s="783">
        <f ca="1">ROUND(F6*F8*F7*(1-F9)/10000,2)</f>
        <v>116.51</v>
      </c>
      <c r="D6" s="2475" t="s">
        <v>2462</v>
      </c>
      <c r="E6" s="784" t="s">
        <v>1738</v>
      </c>
      <c r="F6" s="785">
        <f ca="1">INDIRECT("'数据-取费表'!u"&amp;$G$1)</f>
        <v>1.5</v>
      </c>
      <c r="G6" s="1591"/>
      <c r="H6" s="2482" t="s">
        <v>2468</v>
      </c>
      <c r="I6" s="3635" t="s">
        <v>2463</v>
      </c>
      <c r="J6" s="783">
        <f ca="1">ROUND(M6*M8*M7*(1-M9)/10000,0)</f>
        <v>0</v>
      </c>
      <c r="K6" s="341" t="s">
        <v>1737</v>
      </c>
      <c r="L6" s="784" t="s">
        <v>1738</v>
      </c>
      <c r="M6" s="785">
        <f ca="1">INDIRECT("'数据-取费表'!z"&amp;$G$1)</f>
        <v>0</v>
      </c>
    </row>
    <row r="7" spans="1:33" ht="18" customHeight="1">
      <c r="A7" s="2478"/>
      <c r="B7" s="3636"/>
      <c r="C7" s="788"/>
      <c r="D7" s="789"/>
      <c r="E7" s="784" t="s">
        <v>1739</v>
      </c>
      <c r="F7" s="785">
        <f ca="1">IF(INDIRECT("'数据-取费表'!ah"&amp;$G$1)="",INDIRECT("'数据-取费表'!k"&amp;$G$1),INDIRECT("'数据-取费表'!ah"&amp;$G$1))</f>
        <v>2364.58</v>
      </c>
      <c r="G7" s="1591"/>
      <c r="H7" s="2467"/>
      <c r="I7" s="3636"/>
      <c r="J7" s="788"/>
      <c r="K7" s="789"/>
      <c r="L7" s="784" t="s">
        <v>1739</v>
      </c>
      <c r="M7" s="785">
        <f ca="1">F7</f>
        <v>2364.58</v>
      </c>
    </row>
    <row r="8" spans="1:33" ht="18" customHeight="1">
      <c r="A8" s="2471"/>
      <c r="B8" s="3637"/>
      <c r="C8" s="788"/>
      <c r="D8" s="789"/>
      <c r="E8" s="784" t="s">
        <v>1740</v>
      </c>
      <c r="F8" s="785">
        <f ca="1">INDIRECT("'数据-取费表'!ai"&amp;$G$1)</f>
        <v>365</v>
      </c>
      <c r="G8" s="1591"/>
      <c r="H8" s="2467"/>
      <c r="I8" s="3637"/>
      <c r="J8" s="788"/>
      <c r="K8" s="789"/>
      <c r="L8" s="784" t="s">
        <v>1740</v>
      </c>
      <c r="M8" s="785">
        <f ca="1">INDIRECT("'数据-取费表'!ai"&amp;$G$1)</f>
        <v>365</v>
      </c>
    </row>
    <row r="9" spans="1:33" ht="18" customHeight="1">
      <c r="A9" s="786"/>
      <c r="B9" s="3638"/>
      <c r="C9" s="788"/>
      <c r="D9" s="789"/>
      <c r="E9" s="784" t="s">
        <v>1741</v>
      </c>
      <c r="F9" s="794">
        <f ca="1">INDIRECT("'数据-取费表'!w"&amp;$G$1)</f>
        <v>0.1</v>
      </c>
      <c r="G9" s="1591"/>
      <c r="H9" s="2483"/>
      <c r="I9" s="3637"/>
      <c r="J9" s="788"/>
      <c r="K9" s="789"/>
      <c r="L9" s="795" t="s">
        <v>1741</v>
      </c>
      <c r="M9" s="796">
        <f ca="1">INDIRECT("'数据-取费表'!ab"&amp;$G$1)</f>
        <v>0</v>
      </c>
    </row>
    <row r="10" spans="1:33" ht="18" customHeight="1">
      <c r="A10" s="1829" t="s">
        <v>2466</v>
      </c>
      <c r="B10" s="2472" t="s">
        <v>2459</v>
      </c>
      <c r="C10" s="799">
        <f ca="1">ROUND(IF(F10="押一",C6/12*F11,IF(F10="押二",C6/12*2*F11,IF(F10="押三",C6/12*3*F11,C11*F11))),2)</f>
        <v>0.44</v>
      </c>
      <c r="D10" s="2479" t="s">
        <v>2970</v>
      </c>
      <c r="E10" s="2476" t="s">
        <v>2464</v>
      </c>
      <c r="F10" s="2599" t="s">
        <v>3196</v>
      </c>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ROUND(C29*F13,2)</f>
        <v>614.07000000000005</v>
      </c>
      <c r="D13" s="1833" t="s">
        <v>2297</v>
      </c>
      <c r="E13" s="1833" t="s">
        <v>1744</v>
      </c>
      <c r="F13" s="2514">
        <f ca="1">INDIRECT("'数据-取费表'!y"&amp;$G$1)</f>
        <v>1</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425.62</v>
      </c>
      <c r="D14" s="1978" t="s">
        <v>1745</v>
      </c>
      <c r="E14" s="1979"/>
      <c r="F14" s="805"/>
      <c r="G14" s="1591"/>
      <c r="H14" s="1648" t="s">
        <v>1830</v>
      </c>
      <c r="I14" s="2230" t="s">
        <v>2825</v>
      </c>
      <c r="J14" s="53">
        <f ca="1">C29</f>
        <v>614.07000000000005</v>
      </c>
      <c r="K14" s="26"/>
      <c r="L14" s="801"/>
      <c r="M14" s="802"/>
    </row>
    <row r="15" spans="1:33" s="2063" customFormat="1" ht="18" customHeight="1" thickBot="1">
      <c r="A15" s="1647" t="s">
        <v>1885</v>
      </c>
      <c r="B15" s="784" t="s">
        <v>646</v>
      </c>
      <c r="C15" s="53">
        <f ca="1">ROUND(C14*F15,2)</f>
        <v>12.77</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ROUND(INDIRECT("'数据-取费表'!m"&amp;$G$1)*F16,2)</f>
        <v>0</v>
      </c>
      <c r="D16" s="784" t="s">
        <v>1746</v>
      </c>
      <c r="E16" s="784" t="s">
        <v>1747</v>
      </c>
      <c r="F16" s="809">
        <f ca="1">IF(INDIRECT("'数据-取费表'!c"&amp;$G$1)="住宅",'数据-取费表'!B34,0)</f>
        <v>0</v>
      </c>
      <c r="G16" s="1591"/>
      <c r="H16" s="1828" t="s">
        <v>1748</v>
      </c>
      <c r="I16" s="1826" t="s">
        <v>1749</v>
      </c>
      <c r="J16" s="792">
        <f ca="1">ROUND(J17+J22+J23+J24,0)</f>
        <v>58</v>
      </c>
      <c r="K16" s="1820" t="s">
        <v>1750</v>
      </c>
      <c r="L16" s="2464"/>
      <c r="M16" s="2469"/>
    </row>
    <row r="17" spans="1:33" s="2063" customFormat="1" ht="18" customHeight="1">
      <c r="A17" s="1647" t="s">
        <v>1887</v>
      </c>
      <c r="B17" s="784" t="s">
        <v>652</v>
      </c>
      <c r="C17" s="53">
        <f ca="1">ROUND(F17*(F43+INDIRECT("'数据-取费表'!S"&amp;$G$1))/10000,2)</f>
        <v>47.29</v>
      </c>
      <c r="D17" s="784" t="s">
        <v>1751</v>
      </c>
      <c r="E17" s="784" t="s">
        <v>1752</v>
      </c>
      <c r="F17" s="56">
        <f>'数据-取费表'!B35</f>
        <v>200</v>
      </c>
      <c r="G17" s="1592"/>
      <c r="H17" s="1648" t="s">
        <v>1830</v>
      </c>
      <c r="I17" s="784" t="s">
        <v>655</v>
      </c>
      <c r="J17" s="53">
        <f ca="1">ROUND(IF(项目基本情况!B11="自然人",J5*M17,J18+J19+J20),0)</f>
        <v>52</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ROUND(C14*F18,2)</f>
        <v>6.38</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492.06</v>
      </c>
      <c r="D19" s="261" t="s">
        <v>1757</v>
      </c>
      <c r="E19" s="1981"/>
      <c r="F19" s="56"/>
      <c r="G19" s="1591"/>
      <c r="H19" s="1647" t="s">
        <v>1885</v>
      </c>
      <c r="I19" s="784" t="s">
        <v>1758</v>
      </c>
      <c r="J19" s="53">
        <f ca="1">IF(K19="按租金收入计税",ROUND(J5*M19,1),ROUND(C29*F33*0.7,1))</f>
        <v>51.6</v>
      </c>
      <c r="K19" s="811" t="s">
        <v>664</v>
      </c>
      <c r="L19" s="784" t="s">
        <v>1747</v>
      </c>
      <c r="M19" s="809">
        <f>IF(K19="按租金收入计税",'数据-取费表'!B51,'数据-取费表'!B50)</f>
        <v>1.2E-2</v>
      </c>
    </row>
    <row r="20" spans="1:33" s="2063" customFormat="1" ht="18" customHeight="1">
      <c r="A20" s="1648" t="s">
        <v>1889</v>
      </c>
      <c r="B20" s="784" t="s">
        <v>665</v>
      </c>
      <c r="C20" s="53">
        <f ca="1">ROUND(C19*F20,2)</f>
        <v>4.92</v>
      </c>
      <c r="D20" s="812" t="s">
        <v>1759</v>
      </c>
      <c r="E20" s="784" t="s">
        <v>1747</v>
      </c>
      <c r="F20" s="809">
        <f>'数据-取费表'!B37</f>
        <v>0.01</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0.01</v>
      </c>
      <c r="G21" s="1592"/>
      <c r="H21" s="2484"/>
      <c r="I21" s="793"/>
      <c r="J21" s="69"/>
      <c r="K21" s="816"/>
      <c r="L21" s="784" t="s">
        <v>1766</v>
      </c>
      <c r="M21" s="785">
        <f ca="1">INDIRECT("'数据-取费表'!r"&amp;$G$1)</f>
        <v>1478.79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6</v>
      </c>
      <c r="K22" s="2462" t="s">
        <v>1769</v>
      </c>
      <c r="L22" s="784" t="s">
        <v>1747</v>
      </c>
      <c r="M22" s="817">
        <f ca="1">INDIRECT("'数据-取费表'!Ak"&amp;$G$1)</f>
        <v>0.01</v>
      </c>
    </row>
    <row r="23" spans="1:33" s="2063" customFormat="1" ht="18" customHeight="1">
      <c r="A23" s="1647" t="s">
        <v>1831</v>
      </c>
      <c r="B23" s="784" t="s">
        <v>2535</v>
      </c>
      <c r="C23" s="53">
        <f ca="1">ROUND(IF('数据-取费表'!B22&lt;=1,(C19+C20)*F24*F23/2,(C19+C20)*(POWER((1+F24),F23/2)-1)),2)</f>
        <v>17.600000000000001</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1E-3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4.0000000000000002E-4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-58</v>
      </c>
      <c r="K25" s="2526" t="s">
        <v>1777</v>
      </c>
      <c r="L25" s="2527"/>
      <c r="M25" s="2528"/>
    </row>
    <row r="26" spans="1:33" ht="18" customHeight="1">
      <c r="A26" s="1647" t="s">
        <v>1831</v>
      </c>
      <c r="B26" s="784" t="s">
        <v>2438</v>
      </c>
      <c r="C26" s="53">
        <f ca="1">ROUND((C19+C20)*F26,2)</f>
        <v>59.64</v>
      </c>
      <c r="D26" s="812" t="s">
        <v>1778</v>
      </c>
      <c r="E26" s="795" t="s">
        <v>1779</v>
      </c>
      <c r="F26" s="794">
        <f ca="1">INDIRECT("'数据-取费表'!q"&amp;$G$1)</f>
        <v>0.12</v>
      </c>
      <c r="G26" s="1591"/>
      <c r="H26" s="2480" t="s">
        <v>1780</v>
      </c>
      <c r="I26" s="2231" t="s">
        <v>2826</v>
      </c>
      <c r="J26" s="783">
        <f ca="1">IF(J5&lt;&gt;0,ROUND(J25*(1-((1+M28)/(1+M26))^M27)/(M26-M28),0),0)</f>
        <v>0</v>
      </c>
      <c r="K26" s="814" t="s">
        <v>1781</v>
      </c>
      <c r="L26" s="784" t="s">
        <v>2419</v>
      </c>
      <c r="M26" s="794">
        <f ca="1">INDIRECT("'数据-取费表'!I"&amp;$G$1)</f>
        <v>3.5000000000000003E-2</v>
      </c>
    </row>
    <row r="27" spans="1:33" ht="18" customHeight="1">
      <c r="A27" s="1647" t="s">
        <v>1832</v>
      </c>
      <c r="B27" s="784" t="s">
        <v>685</v>
      </c>
      <c r="C27" s="53">
        <f ca="1">ROUND(F21*F26,4)</f>
        <v>1.1999999999999999E-3</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ROUND((C19+C20+C23+C26)/(1-F21-C24-C27-C28),2)</f>
        <v>614.07000000000005</v>
      </c>
      <c r="D29" s="2523"/>
      <c r="E29" s="2524"/>
      <c r="F29" s="2525"/>
      <c r="G29" s="1592"/>
      <c r="H29" s="823" t="s">
        <v>1787</v>
      </c>
      <c r="I29" s="824" t="s">
        <v>1788</v>
      </c>
      <c r="J29" s="825">
        <f ca="1">ROUND(J26/(1+F40)^F41,0)</f>
        <v>0</v>
      </c>
      <c r="K29" s="826" t="s">
        <v>1789</v>
      </c>
      <c r="L29" s="827"/>
      <c r="M29" s="828">
        <f ca="1">INDIRECT("'数据-取费表'!k"&amp;$G$1)</f>
        <v>2364.58</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3315">
        <f ca="1">ROUND(C31+C36+C37+C38,2)</f>
        <v>28.42</v>
      </c>
      <c r="D30" s="1820" t="s">
        <v>1791</v>
      </c>
      <c r="E30" s="2464"/>
      <c r="F30" s="2469"/>
      <c r="G30" s="2061"/>
      <c r="H30" s="2064"/>
      <c r="I30" s="2065"/>
      <c r="J30" s="2066"/>
      <c r="K30" s="2067"/>
      <c r="L30" s="2068"/>
      <c r="M30" s="2069"/>
    </row>
    <row r="31" spans="1:33" ht="18" customHeight="1">
      <c r="A31" s="1648" t="s">
        <v>1830</v>
      </c>
      <c r="B31" s="784" t="s">
        <v>655</v>
      </c>
      <c r="C31" s="79">
        <f ca="1">ROUND(IF(项目基本情况!B11="自然人",C5*F31,C32+C33+C34),1)</f>
        <v>20.5</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79">
        <f ca="1">ROUND(C5*F32/1.05,2)</f>
        <v>6.24</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79">
        <f ca="1">IF(D33="按租金收入计税",ROUND(C5*F33,2),IF(D33="按房产原值计税",ROUND(C29*F33*0.7,2),INDIRECT("'数据-取费表'!Aj"&amp;$G$1)))</f>
        <v>14.03</v>
      </c>
      <c r="D33" s="811" t="s">
        <v>3195</v>
      </c>
      <c r="E33" s="784" t="s">
        <v>1796</v>
      </c>
      <c r="F33" s="809">
        <f>IF(D33="按租金收入计税",'数据-取费表'!B51,'数据-取费表'!B50)</f>
        <v>0.12</v>
      </c>
      <c r="G33" s="2061"/>
      <c r="H33" s="2076"/>
      <c r="I33" s="2076"/>
      <c r="J33" s="2076"/>
      <c r="K33" s="2077"/>
      <c r="L33" s="2076"/>
      <c r="M33" s="2076"/>
    </row>
    <row r="34" spans="1:18" ht="18" customHeight="1">
      <c r="A34" s="1650" t="s">
        <v>1833</v>
      </c>
      <c r="B34" s="341" t="s">
        <v>1798</v>
      </c>
      <c r="C34" s="3316">
        <f ca="1">ROUND(F34*F35/10000,2)</f>
        <v>0.22</v>
      </c>
      <c r="D34" s="814" t="s">
        <v>1799</v>
      </c>
      <c r="E34" s="784" t="s">
        <v>1800</v>
      </c>
      <c r="F34" s="640">
        <f>'数据-取费表'!B52</f>
        <v>1.5</v>
      </c>
      <c r="G34" s="2061"/>
      <c r="H34" s="2064"/>
      <c r="I34" s="835" t="s">
        <v>1813</v>
      </c>
      <c r="J34" s="836"/>
      <c r="K34" s="2079"/>
      <c r="L34" s="2078"/>
      <c r="M34" s="2078"/>
    </row>
    <row r="35" spans="1:18" ht="18" customHeight="1">
      <c r="A35" s="815"/>
      <c r="B35" s="793"/>
      <c r="C35" s="3317"/>
      <c r="D35" s="816"/>
      <c r="E35" s="784" t="s">
        <v>1801</v>
      </c>
      <c r="F35" s="785">
        <f ca="1">INDIRECT("'数据-取费表'!r"&amp;$G$1)</f>
        <v>1478.79</v>
      </c>
      <c r="G35" s="2061"/>
      <c r="H35" s="2064"/>
      <c r="I35" s="837" t="s">
        <v>1814</v>
      </c>
      <c r="J35" s="838">
        <f ca="1">ROUND(C13*J36,0)</f>
        <v>28</v>
      </c>
      <c r="K35" s="2077"/>
      <c r="L35" s="2076"/>
      <c r="M35" s="2076"/>
    </row>
    <row r="36" spans="1:18" ht="18" customHeight="1">
      <c r="A36" s="1648" t="s">
        <v>1889</v>
      </c>
      <c r="B36" s="784" t="s">
        <v>1802</v>
      </c>
      <c r="C36" s="79">
        <f ca="1">ROUND(C29*F36,2)</f>
        <v>6.14</v>
      </c>
      <c r="D36" s="1976" t="s">
        <v>1803</v>
      </c>
      <c r="E36" s="784" t="s">
        <v>1796</v>
      </c>
      <c r="F36" s="817">
        <f ca="1">INDIRECT("'数据-取费表'!Ak"&amp;$G$1)</f>
        <v>0.01</v>
      </c>
      <c r="G36" s="2061"/>
      <c r="H36" s="2076"/>
      <c r="I36" s="839" t="s">
        <v>1815</v>
      </c>
      <c r="J36" s="840">
        <f ca="1">INDIRECT("'数据-取费表'!j"&amp;$G$1)</f>
        <v>4.4999999999999998E-2</v>
      </c>
      <c r="K36" s="2081"/>
      <c r="L36" s="2076"/>
      <c r="M36" s="2076"/>
    </row>
    <row r="37" spans="1:18" ht="18" customHeight="1">
      <c r="A37" s="1648" t="s">
        <v>1890</v>
      </c>
      <c r="B37" s="784" t="s">
        <v>678</v>
      </c>
      <c r="C37" s="79">
        <f ca="1">ROUND(C13*F37,2)</f>
        <v>0.61</v>
      </c>
      <c r="D37" s="1976" t="s">
        <v>1804</v>
      </c>
      <c r="E37" s="784" t="s">
        <v>1796</v>
      </c>
      <c r="F37" s="818">
        <f ca="1">INDIRECT("'数据-取费表'!Al"&amp;$G$1)</f>
        <v>1E-3</v>
      </c>
      <c r="G37" s="2061"/>
      <c r="H37" s="2076"/>
      <c r="I37" s="841" t="s">
        <v>1816</v>
      </c>
      <c r="J37" s="842"/>
      <c r="K37" s="2081"/>
      <c r="L37" s="2076"/>
      <c r="M37" s="2076"/>
    </row>
    <row r="38" spans="1:18" ht="18" customHeight="1" thickBot="1">
      <c r="A38" s="2529" t="s">
        <v>1891</v>
      </c>
      <c r="B38" s="2524" t="s">
        <v>665</v>
      </c>
      <c r="C38" s="3318">
        <f ca="1">ROUND(C5*F38,2)</f>
        <v>1.17</v>
      </c>
      <c r="D38" s="2523" t="s">
        <v>1805</v>
      </c>
      <c r="E38" s="2524" t="s">
        <v>1796</v>
      </c>
      <c r="F38" s="2520">
        <f ca="1">INDIRECT("'数据-取费表'!Am"&amp;$G$1)</f>
        <v>0.01</v>
      </c>
      <c r="G38" s="2061"/>
      <c r="H38" s="2076"/>
      <c r="I38" s="843" t="s">
        <v>1817</v>
      </c>
      <c r="J38" s="844"/>
      <c r="K38" s="2082"/>
      <c r="L38" s="2076"/>
      <c r="M38" s="2076"/>
    </row>
    <row r="39" spans="1:18" ht="24.6" customHeight="1" thickTop="1">
      <c r="A39" s="1828" t="s">
        <v>1894</v>
      </c>
      <c r="B39" s="2984" t="s">
        <v>2821</v>
      </c>
      <c r="C39" s="792">
        <f ca="1">C5-C30</f>
        <v>88.53</v>
      </c>
      <c r="D39" s="2526" t="s">
        <v>1806</v>
      </c>
      <c r="E39" s="2527"/>
      <c r="F39" s="2528"/>
      <c r="G39" s="2061"/>
      <c r="H39" s="2076"/>
      <c r="I39" s="837" t="s">
        <v>1818</v>
      </c>
      <c r="J39" s="845">
        <f ca="1">ROUND(J35/C39,3)</f>
        <v>0.316</v>
      </c>
      <c r="K39" s="2082"/>
      <c r="L39" s="2076"/>
      <c r="M39" s="2076"/>
    </row>
    <row r="40" spans="1:18" ht="18" customHeight="1">
      <c r="A40" s="781" t="s">
        <v>1895</v>
      </c>
      <c r="B40" s="2231" t="s">
        <v>2301</v>
      </c>
      <c r="C40" s="783">
        <f ca="1">ROUND(C39*(1-((1+F42)/(1+F40))^F41)/(F40-F42),2)</f>
        <v>2037.48</v>
      </c>
      <c r="D40" s="814" t="s">
        <v>1807</v>
      </c>
      <c r="E40" s="784" t="s">
        <v>2419</v>
      </c>
      <c r="F40" s="794">
        <f ca="1">INDIRECT("'数据-取费表'!I"&amp;$G$1)</f>
        <v>3.5000000000000003E-2</v>
      </c>
      <c r="G40" s="2061"/>
      <c r="H40" s="2061"/>
      <c r="I40" s="837" t="s">
        <v>1819</v>
      </c>
      <c r="J40" s="845">
        <f ca="1">1-J39</f>
        <v>0.68399999999999994</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35.03</v>
      </c>
      <c r="G41" s="2061"/>
      <c r="H41" s="1987"/>
      <c r="I41" s="843" t="s">
        <v>1820</v>
      </c>
      <c r="J41" s="846"/>
      <c r="K41" s="2081"/>
      <c r="L41" s="1987"/>
      <c r="M41" s="1987"/>
    </row>
    <row r="42" spans="1:18" ht="18" customHeight="1">
      <c r="A42" s="790"/>
      <c r="B42" s="791"/>
      <c r="C42" s="792"/>
      <c r="D42" s="816"/>
      <c r="E42" s="784" t="s">
        <v>1809</v>
      </c>
      <c r="F42" s="794">
        <f ca="1">INDIRECT("'数据-取费表'!v"&amp;$G$1)</f>
        <v>0.01</v>
      </c>
      <c r="G42" s="2061"/>
      <c r="H42" s="1987"/>
      <c r="I42" s="847" t="s">
        <v>1821</v>
      </c>
      <c r="J42" s="845">
        <f ca="1">ROUND(C13/C40,3)</f>
        <v>0.30099999999999999</v>
      </c>
      <c r="K42" s="2081"/>
      <c r="L42" s="1987"/>
      <c r="M42" s="1987"/>
    </row>
    <row r="43" spans="1:18" ht="18" customHeight="1" thickBot="1">
      <c r="A43" s="823" t="s">
        <v>1787</v>
      </c>
      <c r="B43" s="824" t="s">
        <v>1810</v>
      </c>
      <c r="C43" s="825">
        <f ca="1">ROUND(C40*10000/F43,0)</f>
        <v>8617</v>
      </c>
      <c r="D43" s="826" t="s">
        <v>1811</v>
      </c>
      <c r="E43" s="827" t="s">
        <v>1812</v>
      </c>
      <c r="F43" s="828">
        <f ca="1">INDIRECT("'数据-取费表'!k"&amp;$G$1)</f>
        <v>2364.58</v>
      </c>
      <c r="G43" s="2061"/>
      <c r="H43" s="1987"/>
      <c r="I43" s="847" t="s">
        <v>1822</v>
      </c>
      <c r="J43" s="848">
        <f ca="1">1-J42</f>
        <v>0.69900000000000007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f ca="1">C67-C40</f>
        <v>-2177.48</v>
      </c>
      <c r="D46" s="2084"/>
      <c r="E46" s="2084"/>
      <c r="F46" s="2084"/>
      <c r="I46" s="2356" t="s">
        <v>2343</v>
      </c>
      <c r="J46" s="2357"/>
      <c r="K46" s="2358"/>
      <c r="L46" s="3131" t="str">
        <f ca="1">IF(OR(M47="住宅",D1="土地（套用方法）"),0,IF(L48&gt;J51,L60,J60))</f>
        <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t="s">
        <v>3175</v>
      </c>
      <c r="K47" s="3128" t="s">
        <v>2349</v>
      </c>
      <c r="L47" s="3132">
        <f ca="1">INDIRECT("'数据-取费表'!d"&amp;$G$1)</f>
        <v>50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t="s">
        <v>2350</v>
      </c>
      <c r="K48" s="3129" t="s">
        <v>2351</v>
      </c>
      <c r="L48" s="1907">
        <f ca="1">INDIRECT("'数据-取费表'!f"&amp;$G$1)</f>
        <v>35.03</v>
      </c>
      <c r="O48" s="2376" t="s">
        <v>2379</v>
      </c>
      <c r="P48" s="2377" t="s">
        <v>2405</v>
      </c>
      <c r="Q48" s="2378">
        <f ca="1">C40+J29</f>
        <v>2037.48</v>
      </c>
      <c r="R48" s="2377" t="s">
        <v>2380</v>
      </c>
    </row>
    <row r="49" spans="1:18" s="2058" customFormat="1" ht="18" customHeight="1" thickBot="1">
      <c r="A49" s="786"/>
      <c r="B49" s="787"/>
      <c r="C49" s="788"/>
      <c r="D49" s="789"/>
      <c r="E49" s="784" t="s">
        <v>1739</v>
      </c>
      <c r="F49" s="785">
        <f ca="1">F7</f>
        <v>2364.58</v>
      </c>
      <c r="G49" s="2089"/>
      <c r="H49" s="2092"/>
      <c r="I49" s="3100" t="s">
        <v>2346</v>
      </c>
      <c r="J49" s="2361"/>
      <c r="K49" s="3130" t="s">
        <v>2352</v>
      </c>
      <c r="L49" s="2362"/>
      <c r="O49" s="2376" t="s">
        <v>2381</v>
      </c>
      <c r="P49" s="2377" t="s">
        <v>2406</v>
      </c>
      <c r="Q49" s="2378" t="str">
        <f ca="1">J60</f>
        <v>0</v>
      </c>
      <c r="R49" s="2377" t="s">
        <v>2382</v>
      </c>
    </row>
    <row r="50" spans="1:18" s="2058" customFormat="1" ht="18" customHeight="1" thickBot="1">
      <c r="A50" s="786"/>
      <c r="B50" s="787"/>
      <c r="C50" s="788"/>
      <c r="D50" s="789"/>
      <c r="E50" s="784" t="s">
        <v>1740</v>
      </c>
      <c r="F50" s="785">
        <f ca="1">F8</f>
        <v>365</v>
      </c>
      <c r="G50" s="2094"/>
      <c r="H50" s="2092"/>
      <c r="I50" s="3100" t="s">
        <v>2347</v>
      </c>
      <c r="J50" s="3125">
        <f>SUMPRODUCT((I63:I65=J47)*(J62:L62=J48)*(J63:L65))</f>
        <v>60</v>
      </c>
      <c r="K50" s="3130" t="s">
        <v>2353</v>
      </c>
      <c r="L50" s="2362"/>
      <c r="O50" s="2379" t="s">
        <v>2383</v>
      </c>
      <c r="P50" s="2377" t="s">
        <v>2407</v>
      </c>
      <c r="Q50" s="2378">
        <f ca="1">C29</f>
        <v>614.07000000000005</v>
      </c>
      <c r="R50" s="2377" t="s">
        <v>2380</v>
      </c>
    </row>
    <row r="51" spans="1:18" s="2058" customFormat="1" ht="18" customHeight="1" thickBot="1">
      <c r="A51" s="786"/>
      <c r="B51" s="787"/>
      <c r="C51" s="788"/>
      <c r="D51" s="789"/>
      <c r="E51" s="784" t="s">
        <v>639</v>
      </c>
      <c r="F51" s="2349"/>
      <c r="H51" s="2092"/>
      <c r="I51" s="3122" t="s">
        <v>2348</v>
      </c>
      <c r="J51" s="3126">
        <f>IF(J49="",J50,J49+J50-YEAR('数据-取费表'!B2))</f>
        <v>60</v>
      </c>
      <c r="K51" s="3100" t="s">
        <v>2354</v>
      </c>
      <c r="L51" s="3133">
        <f ca="1">ROUND(-PV(INDIRECT("'数据-取费表'!h"&amp;$G$1),L48,(C39-C13*J36),0),0)</f>
        <v>1309</v>
      </c>
      <c r="O51" s="2379" t="s">
        <v>2384</v>
      </c>
      <c r="P51" s="2377" t="s">
        <v>2385</v>
      </c>
      <c r="Q51" s="2380" t="e">
        <f ca="1">J58</f>
        <v>#VALUE!</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35.03</v>
      </c>
      <c r="K53" s="3652" t="s">
        <v>2962</v>
      </c>
      <c r="L53" s="3653"/>
      <c r="O53" s="2379" t="s">
        <v>2388</v>
      </c>
      <c r="P53" s="2377" t="s">
        <v>2389</v>
      </c>
      <c r="Q53" s="2378">
        <f ca="1">J53</f>
        <v>35.03</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2391</v>
      </c>
      <c r="P54" s="2377" t="s">
        <v>2408</v>
      </c>
      <c r="Q54" s="2378">
        <f ca="1">Q48+Q49</f>
        <v>2037.48</v>
      </c>
      <c r="R54" s="2381" t="s">
        <v>2392</v>
      </c>
    </row>
    <row r="55" spans="1:18" s="2058" customFormat="1" ht="18" customHeight="1" thickTop="1" thickBot="1">
      <c r="A55" s="797">
        <v>2</v>
      </c>
      <c r="B55" s="798" t="s">
        <v>643</v>
      </c>
      <c r="C55" s="799">
        <f ca="1">C13</f>
        <v>614.07000000000005</v>
      </c>
      <c r="D55" s="795"/>
      <c r="E55" s="795"/>
      <c r="F55" s="800"/>
      <c r="I55" s="3136" t="s">
        <v>2355</v>
      </c>
      <c r="J55" s="3075" t="e">
        <f ca="1">ROUND(IF(J47="钢混",J57/J50,1-(1-2%)*(J50-J57)/J50),3)</f>
        <v>#VALUE!</v>
      </c>
      <c r="K55" s="3137" t="s">
        <v>2356</v>
      </c>
      <c r="L55" s="2364"/>
      <c r="O55" s="2382" t="s">
        <v>2411</v>
      </c>
      <c r="P55" s="1591"/>
      <c r="Q55" s="1603"/>
      <c r="R55" s="1591"/>
    </row>
    <row r="56" spans="1:18" s="2058" customFormat="1" ht="42.75" customHeight="1" thickBot="1">
      <c r="A56" s="1649"/>
      <c r="B56" s="2230" t="s">
        <v>2302</v>
      </c>
      <c r="C56" s="53">
        <f ca="1">C29</f>
        <v>614.07000000000005</v>
      </c>
      <c r="D56" s="2617"/>
      <c r="E56" s="784"/>
      <c r="F56" s="809"/>
      <c r="I56" s="3138" t="s">
        <v>2357</v>
      </c>
      <c r="J56" s="3148" t="s">
        <v>1678</v>
      </c>
      <c r="K56" s="3100" t="s">
        <v>2362</v>
      </c>
      <c r="L56" s="1907" t="str">
        <f ca="1">IF(L48&lt;J51,"——",L48-J51)</f>
        <v>——</v>
      </c>
      <c r="O56" s="2373" t="s">
        <v>2375</v>
      </c>
      <c r="P56" s="2374" t="s">
        <v>2376</v>
      </c>
      <c r="Q56" s="2375" t="s">
        <v>2377</v>
      </c>
      <c r="R56" s="2374" t="s">
        <v>2378</v>
      </c>
    </row>
    <row r="57" spans="1:18" s="2058" customFormat="1" ht="28.5" customHeight="1" thickBot="1">
      <c r="A57" s="797" t="s">
        <v>1748</v>
      </c>
      <c r="B57" s="798" t="s">
        <v>650</v>
      </c>
      <c r="C57" s="799">
        <f ca="1">ROUND(C58+C63+C64+C65,0)</f>
        <v>7</v>
      </c>
      <c r="D57" s="26" t="s">
        <v>1750</v>
      </c>
      <c r="E57" s="2618"/>
      <c r="F57" s="56"/>
      <c r="I57" s="3139" t="s">
        <v>2358</v>
      </c>
      <c r="J57" s="3140" t="str">
        <f ca="1">IF(OR(M47="住宅",J51&lt;L48,J56="是"),"——",J51-L48)</f>
        <v>——</v>
      </c>
      <c r="K57" s="3100" t="s">
        <v>2363</v>
      </c>
      <c r="L57" s="1907" t="str">
        <f ca="1">IF(L48&lt;J51,"——",IF(L55="比较法",L49,IF(L55="基准地价",L50,L51)))</f>
        <v>——</v>
      </c>
      <c r="O57" s="2376" t="s">
        <v>2379</v>
      </c>
      <c r="P57" s="2377" t="s">
        <v>2409</v>
      </c>
      <c r="Q57" s="2378">
        <f ca="1">C40+J29</f>
        <v>2037.48</v>
      </c>
      <c r="R57" s="2377" t="s">
        <v>2380</v>
      </c>
    </row>
    <row r="58" spans="1:18" s="2058" customFormat="1" ht="28.5" customHeight="1" thickBot="1">
      <c r="A58" s="1648" t="s">
        <v>1824</v>
      </c>
      <c r="B58" s="784" t="s">
        <v>655</v>
      </c>
      <c r="C58" s="53">
        <f ca="1">ROUND(IF(项目基本情况!B11="自然人",C47*F58,C59+C60+C61),1)</f>
        <v>0.2</v>
      </c>
      <c r="D58" s="2616" t="s">
        <v>656</v>
      </c>
      <c r="E58" s="2617" t="s">
        <v>689</v>
      </c>
      <c r="F58" s="810" t="str">
        <f ca="1">IF(项目基本情况!B11="企业","",IF(INDIRECT("'数据-取费表'!c"&amp;$G$1)="住宅",5%,IF(F48*F49*F50/12/(1+'数据-取费表'!C42)&gt;20000,12%,7%)))</f>
        <v/>
      </c>
      <c r="I58" s="3139" t="s">
        <v>2359</v>
      </c>
      <c r="J58" s="3076" t="e">
        <f ca="1">IF(J55&lt;0.4,0.4,J55)</f>
        <v>#VALUE!</v>
      </c>
      <c r="K58" s="3100" t="s">
        <v>2364</v>
      </c>
      <c r="L58" s="1907" t="e">
        <f ca="1">ROUND(POWER(1+L52,L47-L48)*(POWER(1+L52,L48)-1)/(POWER(1+L52,L47)-1),4)</f>
        <v>#DIV/0!</v>
      </c>
      <c r="O58" s="2376" t="s">
        <v>2381</v>
      </c>
      <c r="P58" s="2377" t="s">
        <v>2412</v>
      </c>
      <c r="Q58" s="2378">
        <f ca="1">L60</f>
        <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str">
        <f ca="1">IF(OR(M47="住宅",J51&lt;L48,J56="是"),"——",ROUND(C29*J58,0))</f>
        <v>——</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1" t="s">
        <v>2361</v>
      </c>
      <c r="J60" s="3142" t="str">
        <f ca="1">IF(OR(M47="住宅",J51&lt;L48,J56="是"),"0",ROUND(J59/(1+J52)^J53,0))</f>
        <v>0</v>
      </c>
      <c r="K60" s="3143" t="s">
        <v>2366</v>
      </c>
      <c r="L60" s="3142">
        <f ca="1">IF(OR(M47="住宅",L48&lt;J51),0,ROUND(L57*(L58/L59-1),0))</f>
        <v>0</v>
      </c>
      <c r="O60" s="2379" t="s">
        <v>2384</v>
      </c>
      <c r="P60" s="2377" t="s">
        <v>2393</v>
      </c>
      <c r="Q60" s="2380">
        <f>L52</f>
        <v>0</v>
      </c>
      <c r="R60" s="2381"/>
    </row>
    <row r="61" spans="1:18" s="2058" customFormat="1" ht="18" customHeight="1" thickBot="1">
      <c r="A61" s="1650" t="s">
        <v>1833</v>
      </c>
      <c r="B61" s="341" t="s">
        <v>667</v>
      </c>
      <c r="C61" s="54">
        <f ca="1">ROUND(F61*F62/10000,1)</f>
        <v>0.2</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1478.79</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6.1</v>
      </c>
      <c r="D63" s="2617" t="s">
        <v>1803</v>
      </c>
      <c r="E63" s="784" t="s">
        <v>1747</v>
      </c>
      <c r="F63" s="817">
        <f t="shared" ca="1" si="0"/>
        <v>0.01</v>
      </c>
      <c r="I63" s="3144" t="s">
        <v>2370</v>
      </c>
      <c r="J63" s="3145">
        <v>70</v>
      </c>
      <c r="K63" s="3145">
        <v>50</v>
      </c>
      <c r="L63" s="3145">
        <v>80</v>
      </c>
      <c r="M63" s="3147">
        <v>0.02</v>
      </c>
      <c r="O63" s="2376" t="s">
        <v>2391</v>
      </c>
      <c r="P63" s="2377" t="s">
        <v>2408</v>
      </c>
      <c r="Q63" s="2378">
        <f ca="1">Q57+Q58</f>
        <v>2037.48</v>
      </c>
      <c r="R63" s="2381" t="s">
        <v>2392</v>
      </c>
    </row>
    <row r="64" spans="1:18" s="2058" customFormat="1" ht="16.5" thickBot="1">
      <c r="A64" s="1648" t="s">
        <v>1890</v>
      </c>
      <c r="B64" s="784" t="s">
        <v>678</v>
      </c>
      <c r="C64" s="53">
        <f ca="1">ROUND(C55*F64,1)</f>
        <v>0.6</v>
      </c>
      <c r="D64" s="2617" t="s">
        <v>679</v>
      </c>
      <c r="E64" s="784" t="s">
        <v>1747</v>
      </c>
      <c r="F64" s="818">
        <f t="shared" ca="1" si="0"/>
        <v>1E-3</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0.01</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-7</v>
      </c>
      <c r="D66" s="2616" t="s">
        <v>699</v>
      </c>
      <c r="E66" s="2615"/>
      <c r="F66" s="820"/>
      <c r="K66" s="2085"/>
      <c r="O66" s="2376" t="s">
        <v>2379</v>
      </c>
      <c r="P66" s="2377" t="s">
        <v>2409</v>
      </c>
      <c r="Q66" s="2378">
        <f ca="1">C40+J29</f>
        <v>2037.48</v>
      </c>
      <c r="R66" s="2377" t="s">
        <v>2380</v>
      </c>
    </row>
    <row r="67" spans="1:18" s="2058" customFormat="1" ht="20.25" thickBot="1">
      <c r="A67" s="781" t="s">
        <v>1780</v>
      </c>
      <c r="B67" s="2231" t="s">
        <v>2301</v>
      </c>
      <c r="C67" s="783">
        <f ca="1">ROUND(C66*(1-((1+F69)/(1+F67))^F68)/(F67-F69),0)</f>
        <v>-140</v>
      </c>
      <c r="D67" s="814" t="s">
        <v>703</v>
      </c>
      <c r="E67" s="784" t="s">
        <v>704</v>
      </c>
      <c r="F67" s="794">
        <f ca="1">F40</f>
        <v>3.5000000000000003E-2</v>
      </c>
      <c r="K67" s="2085"/>
      <c r="O67" s="2376" t="s">
        <v>2381</v>
      </c>
      <c r="P67" s="2377" t="s">
        <v>2412</v>
      </c>
      <c r="Q67" s="2378">
        <f ca="1">L60</f>
        <v>0</v>
      </c>
      <c r="R67" s="2381" t="s">
        <v>2414</v>
      </c>
    </row>
    <row r="68" spans="1:18" ht="21.75" thickBot="1">
      <c r="A68" s="786"/>
      <c r="B68" s="787"/>
      <c r="C68" s="788"/>
      <c r="D68" s="821" t="s">
        <v>1808</v>
      </c>
      <c r="E68" s="784" t="s">
        <v>1784</v>
      </c>
      <c r="F68" s="822">
        <f ca="1">F41</f>
        <v>35.03</v>
      </c>
      <c r="O68" s="2379" t="s">
        <v>2383</v>
      </c>
      <c r="P68" s="2377" t="s">
        <v>2413</v>
      </c>
      <c r="Q68" s="2383">
        <f ca="1">L51</f>
        <v>1309</v>
      </c>
      <c r="R68" s="2384" t="s">
        <v>2416</v>
      </c>
    </row>
    <row r="69" spans="1:18" ht="20.25" thickBot="1">
      <c r="A69" s="790"/>
      <c r="B69" s="791"/>
      <c r="C69" s="792"/>
      <c r="D69" s="816"/>
      <c r="E69" s="784" t="s">
        <v>709</v>
      </c>
      <c r="F69" s="2349"/>
      <c r="O69" s="2379" t="s">
        <v>2384</v>
      </c>
      <c r="P69" s="2385" t="s">
        <v>2398</v>
      </c>
      <c r="Q69" s="2378">
        <f ca="1">ROUND(Q70-Q71*Q72,0)</f>
        <v>61</v>
      </c>
      <c r="R69" s="2381"/>
    </row>
    <row r="70" spans="1:18" ht="15.75" thickBot="1">
      <c r="A70" s="823" t="s">
        <v>1787</v>
      </c>
      <c r="B70" s="824" t="s">
        <v>1810</v>
      </c>
      <c r="C70" s="825">
        <f ca="1">ROUND(C67*10000/F70,0)</f>
        <v>-592</v>
      </c>
      <c r="D70" s="826" t="s">
        <v>1811</v>
      </c>
      <c r="E70" s="827" t="s">
        <v>1812</v>
      </c>
      <c r="F70" s="828">
        <f ca="1">F43</f>
        <v>2364.58</v>
      </c>
      <c r="O70" s="2379" t="s">
        <v>2399</v>
      </c>
      <c r="P70" s="2385" t="s">
        <v>2400</v>
      </c>
      <c r="Q70" s="2378">
        <f ca="1">C39</f>
        <v>88.53</v>
      </c>
      <c r="R70" s="2377" t="s">
        <v>2380</v>
      </c>
    </row>
    <row r="71" spans="1:18" ht="15.75" thickBot="1">
      <c r="O71" s="2379" t="s">
        <v>2401</v>
      </c>
      <c r="P71" s="2385" t="s">
        <v>2402</v>
      </c>
      <c r="Q71" s="2378">
        <f ca="1">C13</f>
        <v>614.07000000000005</v>
      </c>
      <c r="R71" s="2377" t="s">
        <v>2380</v>
      </c>
    </row>
    <row r="72" spans="1:18" ht="15.75" thickBot="1">
      <c r="O72" s="2379" t="s">
        <v>2403</v>
      </c>
      <c r="P72" s="2385" t="s">
        <v>2404</v>
      </c>
      <c r="Q72" s="2380">
        <f ca="1">J36</f>
        <v>4.4999999999999998E-2</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f ca="1">Q66+Q67</f>
        <v>2037.48</v>
      </c>
      <c r="R76" s="2381" t="s">
        <v>2392</v>
      </c>
    </row>
  </sheetData>
  <sheetProtection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0866141732283472" right="0.70866141732283472" top="0.74803149606299213" bottom="0.74803149606299213" header="0.31496062992125984" footer="0.31496062992125984"/>
  <pageSetup paperSize="9" scale="82" orientation="portrait"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4" t="s">
        <v>2471</v>
      </c>
      <c r="B1" s="3655"/>
      <c r="C1" s="3656"/>
      <c r="D1" s="3657">
        <f>SUM(I10,I15,I20,I21,I23)</f>
        <v>0</v>
      </c>
      <c r="E1" s="3657"/>
      <c r="F1" s="3657"/>
      <c r="G1" s="3657"/>
      <c r="H1" s="3657"/>
      <c r="I1" s="3658"/>
    </row>
    <row r="2" spans="1:9">
      <c r="A2" s="3659" t="s">
        <v>2472</v>
      </c>
      <c r="B2" s="3660" t="s">
        <v>2473</v>
      </c>
      <c r="C2" s="3660"/>
      <c r="D2" s="2485" t="s">
        <v>2474</v>
      </c>
      <c r="E2" s="2485" t="s">
        <v>2475</v>
      </c>
      <c r="F2" s="2485" t="s">
        <v>2476</v>
      </c>
      <c r="G2" s="2485" t="s">
        <v>2477</v>
      </c>
      <c r="H2" s="2485" t="s">
        <v>2478</v>
      </c>
      <c r="I2" s="2486" t="s">
        <v>2479</v>
      </c>
    </row>
    <row r="3" spans="1:9">
      <c r="A3" s="3659"/>
      <c r="B3" s="3660" t="s">
        <v>2480</v>
      </c>
      <c r="C3" s="3660"/>
      <c r="D3" s="2487"/>
      <c r="E3" s="2485"/>
      <c r="F3" s="2488"/>
      <c r="G3" s="2488"/>
      <c r="H3" s="2489"/>
      <c r="I3" s="2490">
        <f>ROUND(D3*E3*F3*G3*H3/10000,0)</f>
        <v>0</v>
      </c>
    </row>
    <row r="4" spans="1:9">
      <c r="A4" s="3659"/>
      <c r="B4" s="3660" t="s">
        <v>2481</v>
      </c>
      <c r="C4" s="3660"/>
      <c r="D4" s="2487"/>
      <c r="E4" s="2485"/>
      <c r="F4" s="2488"/>
      <c r="G4" s="2488"/>
      <c r="H4" s="2489"/>
      <c r="I4" s="2490">
        <f t="shared" ref="I4:I9" si="0">ROUND(D4*E4*F4*G4*H4/10000,0)</f>
        <v>0</v>
      </c>
    </row>
    <row r="5" spans="1:9">
      <c r="A5" s="3659"/>
      <c r="B5" s="3660" t="s">
        <v>2482</v>
      </c>
      <c r="C5" s="3660"/>
      <c r="D5" s="2487"/>
      <c r="E5" s="2485"/>
      <c r="F5" s="2488"/>
      <c r="G5" s="2488"/>
      <c r="H5" s="2489"/>
      <c r="I5" s="2490">
        <f t="shared" si="0"/>
        <v>0</v>
      </c>
    </row>
    <row r="6" spans="1:9">
      <c r="A6" s="3659"/>
      <c r="B6" s="3660" t="s">
        <v>2483</v>
      </c>
      <c r="C6" s="3660"/>
      <c r="D6" s="2487"/>
      <c r="E6" s="2485"/>
      <c r="F6" s="2488"/>
      <c r="G6" s="2488"/>
      <c r="H6" s="2489"/>
      <c r="I6" s="2490">
        <f t="shared" si="0"/>
        <v>0</v>
      </c>
    </row>
    <row r="7" spans="1:9">
      <c r="A7" s="3659"/>
      <c r="B7" s="3660" t="s">
        <v>2484</v>
      </c>
      <c r="C7" s="3660"/>
      <c r="D7" s="2487"/>
      <c r="E7" s="2485"/>
      <c r="F7" s="2488"/>
      <c r="G7" s="2488"/>
      <c r="H7" s="2489"/>
      <c r="I7" s="2490">
        <f t="shared" si="0"/>
        <v>0</v>
      </c>
    </row>
    <row r="8" spans="1:9">
      <c r="A8" s="3659"/>
      <c r="B8" s="3660" t="s">
        <v>2485</v>
      </c>
      <c r="C8" s="3660"/>
      <c r="D8" s="2487"/>
      <c r="E8" s="2485"/>
      <c r="F8" s="2488"/>
      <c r="G8" s="2488"/>
      <c r="H8" s="2489"/>
      <c r="I8" s="2490">
        <f t="shared" si="0"/>
        <v>0</v>
      </c>
    </row>
    <row r="9" spans="1:9">
      <c r="A9" s="3659"/>
      <c r="B9" s="3660" t="s">
        <v>2486</v>
      </c>
      <c r="C9" s="3660"/>
      <c r="D9" s="2487"/>
      <c r="E9" s="2485"/>
      <c r="F9" s="2488"/>
      <c r="G9" s="2488"/>
      <c r="H9" s="2489"/>
      <c r="I9" s="2490">
        <f t="shared" si="0"/>
        <v>0</v>
      </c>
    </row>
    <row r="10" spans="1:9">
      <c r="A10" s="3659"/>
      <c r="B10" s="3661" t="s">
        <v>2487</v>
      </c>
      <c r="C10" s="3661"/>
      <c r="D10" s="2491">
        <v>527</v>
      </c>
      <c r="E10" s="2491" t="e">
        <f>ROUND(D1*10000/D10/H9,0)</f>
        <v>#DIV/0!</v>
      </c>
      <c r="F10" s="2492"/>
      <c r="G10" s="2492"/>
      <c r="H10" s="2493"/>
      <c r="I10" s="2494">
        <f>SUM(I3:I9)</f>
        <v>0</v>
      </c>
    </row>
    <row r="11" spans="1:9" ht="14.25">
      <c r="A11" s="3659" t="s">
        <v>2488</v>
      </c>
      <c r="B11" s="3660" t="s">
        <v>2489</v>
      </c>
      <c r="C11" s="3660"/>
      <c r="D11" s="2487" t="s">
        <v>2490</v>
      </c>
      <c r="E11" s="2487" t="s">
        <v>2491</v>
      </c>
      <c r="F11" s="2488" t="s">
        <v>2492</v>
      </c>
      <c r="G11" s="2488" t="s">
        <v>2493</v>
      </c>
      <c r="H11" s="2495" t="s">
        <v>2494</v>
      </c>
      <c r="I11" s="2486" t="s">
        <v>2495</v>
      </c>
    </row>
    <row r="12" spans="1:9">
      <c r="A12" s="3659"/>
      <c r="B12" s="3660" t="s">
        <v>2496</v>
      </c>
      <c r="C12" s="3660"/>
      <c r="D12" s="2487"/>
      <c r="E12" s="2487"/>
      <c r="F12" s="2488"/>
      <c r="G12" s="2489"/>
      <c r="H12" s="2496"/>
      <c r="I12" s="2486">
        <f>ROUND(D12*E12*F12*G12/10000,0)</f>
        <v>0</v>
      </c>
    </row>
    <row r="13" spans="1:9">
      <c r="A13" s="3659"/>
      <c r="B13" s="3660" t="s">
        <v>2497</v>
      </c>
      <c r="C13" s="3660"/>
      <c r="D13" s="2487"/>
      <c r="E13" s="2487"/>
      <c r="F13" s="2488"/>
      <c r="G13" s="2489"/>
      <c r="H13" s="2496"/>
      <c r="I13" s="2486">
        <f>ROUND(D13*E13*F13*G13/10000,0)</f>
        <v>0</v>
      </c>
    </row>
    <row r="14" spans="1:9">
      <c r="A14" s="3659"/>
      <c r="B14" s="3660" t="s">
        <v>2498</v>
      </c>
      <c r="C14" s="3660"/>
      <c r="D14" s="2487"/>
      <c r="E14" s="2487"/>
      <c r="F14" s="2488"/>
      <c r="G14" s="2489"/>
      <c r="H14" s="2496"/>
      <c r="I14" s="2486">
        <f>ROUND(D14*E14*F14*G14/10000,0)</f>
        <v>0</v>
      </c>
    </row>
    <row r="15" spans="1:9">
      <c r="A15" s="3659"/>
      <c r="B15" s="3661" t="s">
        <v>2487</v>
      </c>
      <c r="C15" s="3661"/>
      <c r="D15" s="2491"/>
      <c r="E15" s="2491">
        <f>SUM(E12:E14)</f>
        <v>0</v>
      </c>
      <c r="F15" s="2492"/>
      <c r="G15" s="2489"/>
      <c r="H15" s="2496"/>
      <c r="I15" s="2497">
        <f>SUM(I12:I14)</f>
        <v>0</v>
      </c>
    </row>
    <row r="16" spans="1:9" ht="24">
      <c r="A16" s="3659" t="s">
        <v>2499</v>
      </c>
      <c r="B16" s="3660" t="s">
        <v>2500</v>
      </c>
      <c r="C16" s="3660"/>
      <c r="D16" s="2487" t="s">
        <v>2501</v>
      </c>
      <c r="E16" s="2498" t="s">
        <v>2502</v>
      </c>
      <c r="F16" s="2488" t="s">
        <v>2503</v>
      </c>
      <c r="G16" s="2489" t="s">
        <v>2493</v>
      </c>
      <c r="H16" s="2495" t="s">
        <v>2494</v>
      </c>
      <c r="I16" s="2486" t="s">
        <v>2495</v>
      </c>
    </row>
    <row r="17" spans="1:9" ht="14.25">
      <c r="A17" s="3659"/>
      <c r="B17" s="3660" t="s">
        <v>2504</v>
      </c>
      <c r="C17" s="3660"/>
      <c r="D17" s="2487"/>
      <c r="E17" s="2487"/>
      <c r="F17" s="2488"/>
      <c r="G17" s="2489"/>
      <c r="H17" s="2499"/>
      <c r="I17" s="2500">
        <f>ROUND(D17*E17*F17*G17/10000,0)</f>
        <v>0</v>
      </c>
    </row>
    <row r="18" spans="1:9" ht="14.25">
      <c r="A18" s="3659"/>
      <c r="B18" s="3660" t="s">
        <v>2505</v>
      </c>
      <c r="C18" s="3660"/>
      <c r="D18" s="2487"/>
      <c r="E18" s="2487"/>
      <c r="F18" s="2488"/>
      <c r="G18" s="2489"/>
      <c r="H18" s="2499"/>
      <c r="I18" s="2500">
        <f>ROUND(D18*E18*F18*G18/10000,0)</f>
        <v>0</v>
      </c>
    </row>
    <row r="19" spans="1:9" ht="14.25">
      <c r="A19" s="3659"/>
      <c r="B19" s="3660" t="s">
        <v>2506</v>
      </c>
      <c r="C19" s="3660"/>
      <c r="D19" s="2487"/>
      <c r="E19" s="2487"/>
      <c r="F19" s="2488"/>
      <c r="G19" s="2489"/>
      <c r="H19" s="2499"/>
      <c r="I19" s="2500">
        <f>ROUND(D19*E19*F19*G19/10000,0)</f>
        <v>0</v>
      </c>
    </row>
    <row r="20" spans="1:9">
      <c r="A20" s="3659"/>
      <c r="B20" s="3661" t="s">
        <v>2487</v>
      </c>
      <c r="C20" s="3661"/>
      <c r="D20" s="2491">
        <f>SUM(D17:D19)</f>
        <v>0</v>
      </c>
      <c r="E20" s="2491"/>
      <c r="F20" s="2492"/>
      <c r="G20" s="2489"/>
      <c r="H20" s="2496"/>
      <c r="I20" s="2497">
        <f>SUM(I17:I19)</f>
        <v>0</v>
      </c>
    </row>
    <row r="21" spans="1:9">
      <c r="A21" s="3659" t="s">
        <v>2507</v>
      </c>
      <c r="B21" s="3663"/>
      <c r="C21" s="3663"/>
      <c r="D21" s="3663"/>
      <c r="E21" s="3663"/>
      <c r="F21" s="3663"/>
      <c r="G21" s="3663"/>
      <c r="H21" s="2501">
        <v>0.1</v>
      </c>
      <c r="I21" s="2494">
        <f>ROUND(I10*H21,0)</f>
        <v>0</v>
      </c>
    </row>
    <row r="22" spans="1:9" ht="14.25">
      <c r="A22" s="3664" t="s">
        <v>2508</v>
      </c>
      <c r="B22" s="3665"/>
      <c r="C22" s="3666"/>
      <c r="D22" s="2502" t="s">
        <v>2509</v>
      </c>
      <c r="E22" s="2502" t="s">
        <v>2510</v>
      </c>
      <c r="F22" s="2503" t="s">
        <v>2511</v>
      </c>
      <c r="G22" s="2503" t="s">
        <v>2512</v>
      </c>
      <c r="H22" s="2495" t="s">
        <v>2513</v>
      </c>
      <c r="I22" s="2486" t="s">
        <v>2514</v>
      </c>
    </row>
    <row r="23" spans="1:9" ht="14.25" thickBot="1">
      <c r="A23" s="3667"/>
      <c r="B23" s="3668"/>
      <c r="C23" s="3669"/>
      <c r="D23" s="2504"/>
      <c r="E23" s="2504"/>
      <c r="F23" s="2504"/>
      <c r="G23" s="2505"/>
      <c r="H23" s="2506"/>
      <c r="I23" s="2507">
        <f>ROUND(E23*D23*F23*(1-G23)/10000,0)</f>
        <v>0</v>
      </c>
    </row>
    <row r="26" spans="1:9">
      <c r="A26" s="2508" t="s">
        <v>2515</v>
      </c>
      <c r="B26" s="2508"/>
      <c r="C26" s="2508"/>
      <c r="D26" s="2508"/>
      <c r="E26" s="3670">
        <f>C27-C30-C31-C32</f>
        <v>0</v>
      </c>
      <c r="F26" s="3670"/>
      <c r="G26" s="3670"/>
      <c r="H26" s="3018" t="s">
        <v>2842</v>
      </c>
    </row>
    <row r="27" spans="1:9">
      <c r="A27" s="2509">
        <v>1</v>
      </c>
      <c r="B27" s="2510" t="s">
        <v>2516</v>
      </c>
      <c r="C27" s="2510"/>
      <c r="D27" s="2510"/>
      <c r="E27" s="3671"/>
      <c r="F27" s="3671"/>
      <c r="G27" s="3671"/>
    </row>
    <row r="28" spans="1:9">
      <c r="A28" s="2511" t="s">
        <v>2517</v>
      </c>
      <c r="B28" s="2510" t="s">
        <v>2518</v>
      </c>
      <c r="C28" s="2510"/>
      <c r="D28" s="2510"/>
      <c r="E28" s="3671"/>
      <c r="F28" s="3671"/>
      <c r="G28" s="3671"/>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662"/>
      <c r="F32" s="3662"/>
      <c r="G32" s="3662"/>
    </row>
    <row r="33" spans="1:7" hidden="1">
      <c r="A33" s="3672" t="s">
        <v>2526</v>
      </c>
      <c r="B33" s="3673"/>
      <c r="C33" s="3673"/>
      <c r="D33" s="3674"/>
      <c r="E33" s="3670"/>
      <c r="F33" s="3670"/>
      <c r="G33" s="3670"/>
    </row>
    <row r="34" spans="1:7" hidden="1">
      <c r="A34" s="2513">
        <v>1</v>
      </c>
      <c r="B34" s="2510" t="s">
        <v>2527</v>
      </c>
      <c r="C34" s="2510"/>
      <c r="D34" s="2510"/>
      <c r="E34" s="3671"/>
      <c r="F34" s="3671"/>
      <c r="G34" s="3671"/>
    </row>
    <row r="35" spans="1:7" hidden="1">
      <c r="A35" s="2513">
        <v>2</v>
      </c>
      <c r="B35" s="2510" t="s">
        <v>2528</v>
      </c>
      <c r="C35" s="2510"/>
      <c r="D35" s="2510"/>
      <c r="E35" s="3671"/>
      <c r="F35" s="3671"/>
      <c r="G35" s="3671"/>
    </row>
    <row r="36" spans="1:7" hidden="1">
      <c r="A36" s="2513">
        <v>3</v>
      </c>
      <c r="B36" s="2510" t="s">
        <v>2529</v>
      </c>
      <c r="C36" s="2510"/>
      <c r="D36" s="2510"/>
      <c r="E36" s="3671"/>
      <c r="F36" s="3671"/>
      <c r="G36" s="3671"/>
    </row>
    <row r="37" spans="1:7" hidden="1">
      <c r="A37" s="2513">
        <v>4</v>
      </c>
      <c r="B37" s="2510" t="s">
        <v>2530</v>
      </c>
      <c r="C37" s="2510"/>
      <c r="D37" s="2510"/>
      <c r="E37" s="3671"/>
      <c r="F37" s="3671"/>
      <c r="G37" s="3671"/>
    </row>
    <row r="38" spans="1:7" hidden="1">
      <c r="A38" s="3672" t="s">
        <v>2531</v>
      </c>
      <c r="B38" s="3673"/>
      <c r="C38" s="3673"/>
      <c r="D38" s="3674"/>
      <c r="E38" s="3670"/>
      <c r="F38" s="3670"/>
      <c r="G38" s="36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109920</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1332</v>
      </c>
      <c r="D12" s="758">
        <f>'数据-汇总表'!E5</f>
        <v>83247.820000000007</v>
      </c>
      <c r="E12" s="757">
        <f>'数据-取费表'!B27</f>
        <v>160</v>
      </c>
      <c r="F12" s="755"/>
      <c r="G12" s="759"/>
    </row>
    <row r="13" spans="1:25" s="2182" customFormat="1" ht="13.5" customHeight="1">
      <c r="A13" s="2454" t="s">
        <v>2447</v>
      </c>
      <c r="B13" s="756" t="s">
        <v>611</v>
      </c>
      <c r="C13" s="757">
        <f>ROUND(D13*E13/10000,0)</f>
        <v>533</v>
      </c>
      <c r="D13" s="758">
        <f>'数据-汇总表'!E6</f>
        <v>26672.179999999993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0.83399999999999996</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sheetPr>
    <tabColor rgb="FF92D050"/>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26985</v>
      </c>
      <c r="C2" s="2103"/>
      <c r="D2" s="2103"/>
      <c r="E2" s="2103"/>
      <c r="F2" s="2103"/>
      <c r="G2" s="2103"/>
      <c r="H2" s="2103"/>
      <c r="I2" s="2103"/>
      <c r="J2" s="2103"/>
      <c r="K2" s="2103"/>
    </row>
    <row r="3" spans="1:31" s="2040" customFormat="1" ht="18" customHeight="1">
      <c r="A3" s="2105" t="s">
        <v>1684</v>
      </c>
      <c r="B3" s="2106">
        <f ca="1">ROUND(B2*10000/IF(B1="",'数据-汇总表'!E3,INDIRECT("'数据-取费表'!K"&amp;$K$1)),0)</f>
        <v>17492</v>
      </c>
      <c r="C3" s="2103"/>
      <c r="D3" s="2103"/>
      <c r="E3" s="2103"/>
      <c r="F3" s="2103"/>
      <c r="G3" s="2103"/>
      <c r="H3" s="2103"/>
      <c r="I3" s="2103"/>
      <c r="J3" s="2103"/>
      <c r="K3" s="2103"/>
    </row>
    <row r="4" spans="1:31" s="2040" customFormat="1" ht="18" customHeight="1">
      <c r="A4" s="426" t="s">
        <v>467</v>
      </c>
      <c r="B4" s="427">
        <f ca="1">ROUND(B2*10000/IF(B1="",'数据-汇总表'!D3,INDIRECT("'数据-取费表'!R"&amp;$K$1)),0)</f>
        <v>27970</v>
      </c>
      <c r="C4" s="428"/>
      <c r="D4" s="422"/>
      <c r="E4" s="422"/>
      <c r="F4" s="422"/>
      <c r="G4" s="422"/>
      <c r="H4" s="422"/>
      <c r="I4" s="422"/>
      <c r="J4" s="422"/>
      <c r="K4" s="422"/>
    </row>
    <row r="5" spans="1:31" s="2040" customFormat="1" ht="18" customHeight="1" thickBot="1">
      <c r="A5" s="429"/>
      <c r="B5" s="430">
        <f ca="1">ROUND(B2/(IF(B1="",'数据-汇总表'!D3,INDIRECT("'数据-取费表'!R"&amp;$K$1))/666.67),0)</f>
        <v>1865</v>
      </c>
      <c r="C5" s="431" t="s">
        <v>468</v>
      </c>
      <c r="D5" s="422"/>
      <c r="E5" s="422"/>
      <c r="F5" s="422"/>
      <c r="G5" s="422"/>
      <c r="H5" s="422"/>
      <c r="I5" s="422"/>
      <c r="J5" s="422"/>
      <c r="K5" s="422"/>
    </row>
    <row r="6" spans="1:31" s="2110" customFormat="1" ht="16.5" customHeight="1">
      <c r="A6" s="2805" t="s">
        <v>1842</v>
      </c>
      <c r="B6" s="2806"/>
      <c r="C6" s="2807">
        <f>SUM(C10:K10)</f>
        <v>48239.2909</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15426.7</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C8*'数据-基础表'!K14/10000</f>
        <v>48239.2909</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4319</v>
      </c>
      <c r="D13" s="2821"/>
      <c r="E13" s="2822"/>
      <c r="F13" s="2823"/>
      <c r="G13" s="2789"/>
      <c r="H13" s="2790"/>
      <c r="I13" s="2790"/>
      <c r="J13" s="2790"/>
      <c r="K13" s="2791"/>
    </row>
    <row r="14" spans="1:31" s="2115" customFormat="1" ht="13.5" customHeight="1">
      <c r="A14" s="2819" t="s">
        <v>1849</v>
      </c>
      <c r="B14" s="2820" t="s">
        <v>479</v>
      </c>
      <c r="C14" s="53">
        <f ca="1">ROUND(C13*F14,0)</f>
        <v>130</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309</v>
      </c>
      <c r="D16" s="2821">
        <f ca="1">IF(B1="",'数据-汇总表'!E3,INDIRECT("'数据-取费表'!K"&amp;$K$1)+INDIRECT("'数据-取费表'!S"&amp;$K$1))</f>
        <v>15426.7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65</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4823</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15426.7</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309</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309</v>
      </c>
      <c r="D22" s="2821">
        <f ca="1">IF(B1="",'数据-汇总表'!E6,IF(INDIRECT("'数据-取费表'!c"&amp;$K$1)="住宅",INDIRECT("'数据-取费表'!s"&amp;$K$1),INDIRECT("'数据-取费表'!k"&amp;$K$1)+INDIRECT("'数据-取费表'!s"&amp;$K$1)))</f>
        <v>15426.7</v>
      </c>
      <c r="E22" s="53">
        <f>'数据-取费表'!B28</f>
        <v>200</v>
      </c>
      <c r="F22" s="2824"/>
      <c r="G22" s="26"/>
      <c r="H22" s="51"/>
      <c r="I22" s="51"/>
      <c r="J22" s="51"/>
      <c r="K22" s="2796"/>
    </row>
    <row r="23" spans="1:14" s="2115" customFormat="1" ht="13.5" customHeight="1">
      <c r="A23" s="2827" t="s">
        <v>1858</v>
      </c>
      <c r="B23" s="3009" t="s">
        <v>2833</v>
      </c>
      <c r="C23" s="2829">
        <f ca="1">ROUND((C18+C19+C20)*F23,0)</f>
        <v>51</v>
      </c>
      <c r="D23" s="468"/>
      <c r="E23" s="468"/>
      <c r="F23" s="2833">
        <f>'数据-取费表'!B37</f>
        <v>0.01</v>
      </c>
      <c r="G23" s="2789" t="s">
        <v>2431</v>
      </c>
      <c r="H23" s="2790"/>
      <c r="I23" s="2790"/>
      <c r="J23" s="2790"/>
      <c r="K23" s="2791"/>
      <c r="L23" s="2117"/>
      <c r="M23" s="2117"/>
      <c r="N23" s="2117"/>
    </row>
    <row r="24" spans="1:14" s="2115" customFormat="1" ht="13.5" customHeight="1">
      <c r="A24" s="2827" t="s">
        <v>1859</v>
      </c>
      <c r="B24" s="3009" t="s">
        <v>2836</v>
      </c>
      <c r="C24" s="2829">
        <f>ROUND(C6*F24,0)</f>
        <v>482</v>
      </c>
      <c r="D24" s="475"/>
      <c r="E24" s="473"/>
      <c r="F24" s="2833">
        <f>'数据-取费表'!B38</f>
        <v>0.01</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201</v>
      </c>
      <c r="D26" s="467">
        <f ca="1">C27</f>
        <v>7.4200000000000002E-2</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7.4200000000000002E-2</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201</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2573</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8439</v>
      </c>
      <c r="D30" s="477">
        <f ca="1">C32</f>
        <v>0.1032</v>
      </c>
      <c r="E30" s="469" t="s">
        <v>494</v>
      </c>
      <c r="F30" s="471"/>
      <c r="G30" s="2797" t="s">
        <v>2968</v>
      </c>
      <c r="H30" s="2790"/>
      <c r="I30" s="2790"/>
      <c r="J30" s="2790"/>
      <c r="K30" s="2791"/>
    </row>
    <row r="31" spans="1:14" s="2119" customFormat="1" ht="13.5" customHeight="1">
      <c r="A31" s="803" t="s">
        <v>1856</v>
      </c>
      <c r="B31" s="2835"/>
      <c r="C31" s="450">
        <f ca="1">C18+C19+C20+C23+C24+C26+C29</f>
        <v>8439</v>
      </c>
      <c r="D31" s="472"/>
      <c r="E31" s="473"/>
      <c r="F31" s="474"/>
      <c r="G31" s="261"/>
      <c r="H31" s="2792"/>
      <c r="I31" s="2792"/>
      <c r="J31" s="2792"/>
      <c r="K31" s="279"/>
    </row>
    <row r="32" spans="1:14" s="2119" customFormat="1" ht="13.5" customHeight="1">
      <c r="A32" s="803" t="s">
        <v>1857</v>
      </c>
      <c r="B32" s="2835"/>
      <c r="C32" s="53">
        <f ca="1">ROUND(C25+D26,4)</f>
        <v>0.1032</v>
      </c>
      <c r="D32" s="472"/>
      <c r="E32" s="473"/>
      <c r="F32" s="474"/>
      <c r="G32" s="261"/>
      <c r="H32" s="2792"/>
      <c r="I32" s="2792"/>
      <c r="J32" s="2792"/>
      <c r="K32" s="279"/>
    </row>
    <row r="33" spans="1:11" s="2121" customFormat="1" ht="13.5" customHeight="1">
      <c r="A33" s="3008" t="s">
        <v>2832</v>
      </c>
      <c r="B33" s="3006" t="s">
        <v>2830</v>
      </c>
      <c r="C33" s="478">
        <f ca="1">C35</f>
        <v>1700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1700</v>
      </c>
      <c r="D35" s="1628"/>
      <c r="E35" s="2841"/>
      <c r="F35" s="1629"/>
      <c r="G35" s="2799"/>
      <c r="H35" s="2800"/>
      <c r="I35" s="2800"/>
      <c r="J35" s="2800"/>
      <c r="K35" s="2801"/>
    </row>
    <row r="36" spans="1:11" s="2084" customFormat="1" ht="13.5" customHeight="1" thickBot="1">
      <c r="A36" s="284" t="s">
        <v>1844</v>
      </c>
      <c r="B36" s="2803"/>
      <c r="C36" s="2842">
        <f ca="1">ROUND((C6-C30-C33)/(1+D30+D33),0)</f>
        <v>26985</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scale="85" fitToHeight="0" orientation="landscape"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5" zoomScale="80" zoomScaleNormal="80" workbookViewId="0">
      <selection activeCell="C26" sqref="C2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3058</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387086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83247.820000000007</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584" t="s">
        <v>521</v>
      </c>
      <c r="D4" s="3585"/>
      <c r="E4" s="3618" t="s">
        <v>522</v>
      </c>
      <c r="F4" s="3619"/>
      <c r="G4" s="3584" t="s">
        <v>523</v>
      </c>
      <c r="H4" s="3585"/>
      <c r="I4" s="3584" t="s">
        <v>524</v>
      </c>
      <c r="J4" s="3585"/>
      <c r="K4" s="853" t="s">
        <v>525</v>
      </c>
      <c r="L4" s="2132"/>
      <c r="M4" s="2133"/>
      <c r="N4" s="2133"/>
      <c r="O4" s="2133"/>
      <c r="P4" s="3586" t="s">
        <v>526</v>
      </c>
      <c r="Q4" s="3587"/>
      <c r="R4" s="3592" t="s">
        <v>522</v>
      </c>
      <c r="S4" s="3593"/>
      <c r="T4" s="3592" t="s">
        <v>523</v>
      </c>
      <c r="U4" s="3593"/>
      <c r="V4" s="3579" t="s">
        <v>524</v>
      </c>
      <c r="W4" s="3579"/>
      <c r="X4" s="1566"/>
      <c r="Y4" s="3592" t="s">
        <v>526</v>
      </c>
      <c r="Z4" s="3593"/>
      <c r="AA4" s="3581" t="s">
        <v>522</v>
      </c>
      <c r="AB4" s="3581" t="s">
        <v>523</v>
      </c>
      <c r="AC4" s="3581" t="s">
        <v>524</v>
      </c>
    </row>
    <row r="5" spans="1:29" ht="36.75" customHeight="1">
      <c r="A5" s="515"/>
      <c r="B5" s="516"/>
      <c r="C5" s="3679" t="s">
        <v>3026</v>
      </c>
      <c r="D5" s="3601"/>
      <c r="E5" s="3678" t="s">
        <v>3027</v>
      </c>
      <c r="F5" s="3621"/>
      <c r="G5" s="3678" t="s">
        <v>3027</v>
      </c>
      <c r="H5" s="3621"/>
      <c r="I5" s="3678" t="s">
        <v>3027</v>
      </c>
      <c r="J5" s="3621"/>
      <c r="K5" s="854"/>
      <c r="L5" s="2132"/>
      <c r="M5" s="2133"/>
      <c r="N5" s="2133"/>
      <c r="O5" s="2133"/>
      <c r="P5" s="3588"/>
      <c r="Q5" s="3589"/>
      <c r="R5" s="3594"/>
      <c r="S5" s="3595"/>
      <c r="T5" s="3594"/>
      <c r="U5" s="3595"/>
      <c r="V5" s="3579"/>
      <c r="W5" s="3579"/>
      <c r="X5" s="1566"/>
      <c r="Y5" s="3594"/>
      <c r="Z5" s="3595"/>
      <c r="AA5" s="3582"/>
      <c r="AB5" s="3582"/>
      <c r="AC5" s="3582"/>
    </row>
    <row r="6" spans="1:29" ht="15.75" thickBot="1">
      <c r="A6" s="517"/>
      <c r="B6" s="518"/>
      <c r="C6" s="3598" t="s">
        <v>2929</v>
      </c>
      <c r="D6" s="3599"/>
      <c r="E6" s="3616" t="s">
        <v>2929</v>
      </c>
      <c r="F6" s="3617"/>
      <c r="G6" s="3598" t="s">
        <v>2929</v>
      </c>
      <c r="H6" s="3599"/>
      <c r="I6" s="3598" t="s">
        <v>2929</v>
      </c>
      <c r="J6" s="3599"/>
      <c r="K6" s="854" t="s">
        <v>527</v>
      </c>
      <c r="L6" s="2132"/>
      <c r="M6" s="2133"/>
      <c r="N6" s="2133"/>
      <c r="O6" s="2133"/>
      <c r="P6" s="3590"/>
      <c r="Q6" s="3591"/>
      <c r="R6" s="3594"/>
      <c r="S6" s="3595"/>
      <c r="T6" s="3596"/>
      <c r="U6" s="3597"/>
      <c r="V6" s="3579"/>
      <c r="W6" s="3579"/>
      <c r="X6" s="1566"/>
      <c r="Y6" s="3596"/>
      <c r="Z6" s="3597"/>
      <c r="AA6" s="3583"/>
      <c r="AB6" s="3583"/>
      <c r="AC6" s="3583"/>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609" t="s">
        <v>529</v>
      </c>
      <c r="Q7" s="3611"/>
      <c r="R7" s="1567" t="s">
        <v>13</v>
      </c>
      <c r="S7" s="1568">
        <f t="shared" ref="S7:S15" si="0">F7</f>
        <v>100</v>
      </c>
      <c r="T7" s="1567" t="s">
        <v>13</v>
      </c>
      <c r="U7" s="1568">
        <f t="shared" ref="U7:U15" si="1">H7</f>
        <v>99.8</v>
      </c>
      <c r="V7" s="1567" t="s">
        <v>13</v>
      </c>
      <c r="W7" s="1568">
        <f t="shared" ref="W7:W15" si="2">J7</f>
        <v>100</v>
      </c>
      <c r="X7" s="1569"/>
      <c r="Y7" s="3609" t="s">
        <v>529</v>
      </c>
      <c r="Z7" s="3610"/>
      <c r="AA7" s="1570">
        <f>D7/F7</f>
        <v>1</v>
      </c>
      <c r="AB7" s="1570">
        <f>D7/H7</f>
        <v>1.0020040080160322</v>
      </c>
      <c r="AC7" s="1570">
        <f>D7/J7</f>
        <v>1</v>
      </c>
    </row>
    <row r="8" spans="1:29" s="1219" customFormat="1" ht="15.75" thickBot="1">
      <c r="A8" s="2890"/>
      <c r="B8" s="2897" t="s">
        <v>530</v>
      </c>
      <c r="C8" s="525" t="s">
        <v>575</v>
      </c>
      <c r="D8" s="520">
        <v>100</v>
      </c>
      <c r="E8" s="856" t="s">
        <v>3030</v>
      </c>
      <c r="F8" s="522">
        <f>SUMIF(61:61,E8,62:62)-SUMIF(61:61,C8,62:62)+100</f>
        <v>100</v>
      </c>
      <c r="G8" s="525" t="s">
        <v>3030</v>
      </c>
      <c r="H8" s="520">
        <f>SUMIF(61:61,G8,62:62)-SUMIF(61:61,C8,62:62)+100</f>
        <v>100</v>
      </c>
      <c r="I8" s="856" t="s">
        <v>3030</v>
      </c>
      <c r="J8" s="520">
        <f>SUMIF(61:61,I8,62:62)-SUMIF(61:61,C8,62:62)+100</f>
        <v>100</v>
      </c>
      <c r="K8" s="855"/>
      <c r="L8" s="2134"/>
      <c r="M8" s="2135"/>
      <c r="N8" s="2135"/>
      <c r="O8" s="2135"/>
      <c r="P8" s="3609" t="s">
        <v>532</v>
      </c>
      <c r="Q8" s="3610"/>
      <c r="R8" s="1567" t="s">
        <v>13</v>
      </c>
      <c r="S8" s="1568">
        <f t="shared" si="0"/>
        <v>100</v>
      </c>
      <c r="T8" s="1567" t="s">
        <v>13</v>
      </c>
      <c r="U8" s="1568">
        <f t="shared" si="1"/>
        <v>100</v>
      </c>
      <c r="V8" s="1567" t="s">
        <v>13</v>
      </c>
      <c r="W8" s="1568">
        <f t="shared" si="2"/>
        <v>100</v>
      </c>
      <c r="X8" s="1569"/>
      <c r="Y8" s="3609" t="s">
        <v>532</v>
      </c>
      <c r="Z8" s="3610"/>
      <c r="AA8" s="1570">
        <f t="shared" ref="AA8:AA46" si="3">D8/F8</f>
        <v>1</v>
      </c>
      <c r="AB8" s="1570">
        <f t="shared" ref="AB8:AB46" si="4">D8/H8</f>
        <v>1</v>
      </c>
      <c r="AC8" s="1570">
        <f t="shared" ref="AC8:AC46" si="5">D8/J8</f>
        <v>1</v>
      </c>
    </row>
    <row r="9" spans="1:29" s="1219" customFormat="1" ht="15">
      <c r="A9" s="2891"/>
      <c r="B9" s="2898" t="s">
        <v>2756</v>
      </c>
      <c r="C9" s="3194" t="s">
        <v>3028</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578" t="s">
        <v>534</v>
      </c>
      <c r="Q9" s="1150" t="str">
        <f t="shared" ref="Q9:Q15" si="6">B9</f>
        <v>用途</v>
      </c>
      <c r="R9" s="1567" t="s">
        <v>8</v>
      </c>
      <c r="S9" s="1568">
        <f t="shared" si="0"/>
        <v>100</v>
      </c>
      <c r="T9" s="1567" t="s">
        <v>8</v>
      </c>
      <c r="U9" s="1568">
        <f t="shared" si="1"/>
        <v>100</v>
      </c>
      <c r="V9" s="1567" t="s">
        <v>8</v>
      </c>
      <c r="W9" s="1568">
        <f t="shared" si="2"/>
        <v>100</v>
      </c>
      <c r="X9" s="1569"/>
      <c r="Y9" s="3442" t="s">
        <v>535</v>
      </c>
      <c r="Z9" s="1149" t="str">
        <f t="shared" ref="Z9:Z15" si="7">Q9</f>
        <v>用途</v>
      </c>
      <c r="AA9" s="1570">
        <f t="shared" si="3"/>
        <v>1</v>
      </c>
      <c r="AB9" s="1570">
        <f t="shared" si="4"/>
        <v>1</v>
      </c>
      <c r="AC9" s="1570">
        <f t="shared" si="5"/>
        <v>1</v>
      </c>
    </row>
    <row r="10" spans="1:29" s="1337" customFormat="1" ht="27.75" thickBot="1">
      <c r="A10" s="2892"/>
      <c r="B10" s="2897" t="s">
        <v>2757</v>
      </c>
      <c r="C10" s="3223" t="s">
        <v>3029</v>
      </c>
      <c r="D10" s="255">
        <v>100</v>
      </c>
      <c r="E10" s="862" t="s">
        <v>3029</v>
      </c>
      <c r="F10" s="863">
        <f>SUMIF(65:65,E10,66:66)-SUMIF(65:65,C10,66:66)+100</f>
        <v>100</v>
      </c>
      <c r="G10" s="861" t="s">
        <v>3029</v>
      </c>
      <c r="H10" s="255">
        <f>SUMIF(65:65,G10,66:66)-SUMIF(65:65,C10,66:66)+100</f>
        <v>100</v>
      </c>
      <c r="I10" s="861" t="s">
        <v>3029</v>
      </c>
      <c r="J10" s="255">
        <f>SUMIF(65:65,I10,66:66)-SUMIF(65:65,C10,66:66)+100</f>
        <v>100</v>
      </c>
      <c r="K10" s="864">
        <v>0.25</v>
      </c>
      <c r="L10" s="2137"/>
      <c r="M10" s="2177"/>
      <c r="N10" s="2177"/>
      <c r="O10" s="2138"/>
      <c r="P10" s="3578"/>
      <c r="Q10" s="1150" t="str">
        <f t="shared" si="6"/>
        <v>土地使用年限（年）</v>
      </c>
      <c r="R10" s="1567" t="s">
        <v>8</v>
      </c>
      <c r="S10" s="1568">
        <f t="shared" si="0"/>
        <v>100</v>
      </c>
      <c r="T10" s="1567" t="s">
        <v>8</v>
      </c>
      <c r="U10" s="1568">
        <f t="shared" si="1"/>
        <v>100</v>
      </c>
      <c r="V10" s="1567" t="s">
        <v>8</v>
      </c>
      <c r="W10" s="1568">
        <f t="shared" si="2"/>
        <v>100</v>
      </c>
      <c r="X10" s="1569"/>
      <c r="Y10" s="3442"/>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578"/>
      <c r="Q11" s="1150" t="str">
        <f t="shared" si="6"/>
        <v>容积率</v>
      </c>
      <c r="R11" s="1567" t="s">
        <v>11</v>
      </c>
      <c r="S11" s="1568">
        <f t="shared" si="0"/>
        <v>100</v>
      </c>
      <c r="T11" s="1567" t="s">
        <v>11</v>
      </c>
      <c r="U11" s="1568">
        <f t="shared" si="1"/>
        <v>100</v>
      </c>
      <c r="V11" s="1567" t="s">
        <v>11</v>
      </c>
      <c r="W11" s="1568">
        <f t="shared" si="2"/>
        <v>100</v>
      </c>
      <c r="X11" s="1569"/>
      <c r="Y11" s="3442"/>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578"/>
      <c r="Q12" s="1150">
        <f t="shared" si="6"/>
        <v>111</v>
      </c>
      <c r="R12" s="1567" t="s">
        <v>11</v>
      </c>
      <c r="S12" s="1568">
        <f t="shared" si="0"/>
        <v>100</v>
      </c>
      <c r="T12" s="1567" t="s">
        <v>11</v>
      </c>
      <c r="U12" s="1568">
        <f t="shared" si="1"/>
        <v>100</v>
      </c>
      <c r="V12" s="1567" t="s">
        <v>11</v>
      </c>
      <c r="W12" s="1568">
        <f t="shared" si="2"/>
        <v>100</v>
      </c>
      <c r="X12" s="1569"/>
      <c r="Y12" s="3442"/>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578"/>
      <c r="Q13" s="1150">
        <f t="shared" si="6"/>
        <v>111</v>
      </c>
      <c r="R13" s="1567" t="s">
        <v>11</v>
      </c>
      <c r="S13" s="1568">
        <f t="shared" si="0"/>
        <v>100</v>
      </c>
      <c r="T13" s="1567" t="s">
        <v>11</v>
      </c>
      <c r="U13" s="1568">
        <f t="shared" si="1"/>
        <v>100</v>
      </c>
      <c r="V13" s="1567" t="s">
        <v>11</v>
      </c>
      <c r="W13" s="1568">
        <f t="shared" si="2"/>
        <v>100</v>
      </c>
      <c r="X13" s="1569"/>
      <c r="Y13" s="3442"/>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578"/>
      <c r="Q14" s="1150">
        <f t="shared" si="6"/>
        <v>111</v>
      </c>
      <c r="R14" s="1567" t="s">
        <v>11</v>
      </c>
      <c r="S14" s="1568">
        <f t="shared" si="0"/>
        <v>100</v>
      </c>
      <c r="T14" s="1567" t="s">
        <v>11</v>
      </c>
      <c r="U14" s="1568">
        <f t="shared" si="1"/>
        <v>100</v>
      </c>
      <c r="V14" s="1567" t="s">
        <v>11</v>
      </c>
      <c r="W14" s="1568">
        <f t="shared" si="2"/>
        <v>100</v>
      </c>
      <c r="X14" s="1569"/>
      <c r="Y14" s="3442"/>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612" t="s">
        <v>539</v>
      </c>
      <c r="Q15" s="1571" t="str">
        <f t="shared" si="6"/>
        <v>居住社区成熟度</v>
      </c>
      <c r="R15" s="1572" t="s">
        <v>11</v>
      </c>
      <c r="S15" s="1573">
        <f t="shared" si="0"/>
        <v>100</v>
      </c>
      <c r="T15" s="1572" t="s">
        <v>11</v>
      </c>
      <c r="U15" s="1573">
        <f t="shared" si="1"/>
        <v>100</v>
      </c>
      <c r="V15" s="1572" t="s">
        <v>11</v>
      </c>
      <c r="W15" s="1573">
        <f t="shared" si="2"/>
        <v>100</v>
      </c>
      <c r="X15" s="1566"/>
      <c r="Y15" s="3612" t="s">
        <v>539</v>
      </c>
      <c r="Z15" s="1574" t="str">
        <f t="shared" si="7"/>
        <v>居住社区成熟度</v>
      </c>
      <c r="AA15" s="1575">
        <f t="shared" si="3"/>
        <v>1</v>
      </c>
      <c r="AB15" s="1575">
        <f t="shared" si="4"/>
        <v>1</v>
      </c>
      <c r="AC15" s="1575">
        <f t="shared" si="5"/>
        <v>1</v>
      </c>
    </row>
    <row r="16" spans="1:29" ht="15">
      <c r="A16" s="532"/>
      <c r="B16" s="869"/>
      <c r="C16" s="576" t="s">
        <v>3031</v>
      </c>
      <c r="D16" s="555"/>
      <c r="E16" s="556" t="s">
        <v>3031</v>
      </c>
      <c r="F16" s="557"/>
      <c r="G16" s="558" t="s">
        <v>3031</v>
      </c>
      <c r="H16" s="559"/>
      <c r="I16" s="556" t="s">
        <v>3031</v>
      </c>
      <c r="J16" s="555"/>
      <c r="K16" s="870"/>
      <c r="L16" s="2141"/>
      <c r="M16" s="2133"/>
      <c r="N16" s="2133"/>
      <c r="O16" s="2140"/>
      <c r="P16" s="3613"/>
      <c r="Q16" s="1571"/>
      <c r="R16" s="1572"/>
      <c r="S16" s="1573"/>
      <c r="T16" s="1572"/>
      <c r="U16" s="1573"/>
      <c r="V16" s="1572"/>
      <c r="W16" s="1573"/>
      <c r="X16" s="1566"/>
      <c r="Y16" s="3613"/>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613"/>
      <c r="Q17" s="1571" t="str">
        <f>B17</f>
        <v>交通便捷度</v>
      </c>
      <c r="R17" s="1572" t="s">
        <v>11</v>
      </c>
      <c r="S17" s="1573">
        <f>F17</f>
        <v>100</v>
      </c>
      <c r="T17" s="1572" t="s">
        <v>11</v>
      </c>
      <c r="U17" s="1573">
        <f>H17</f>
        <v>100</v>
      </c>
      <c r="V17" s="1572" t="s">
        <v>11</v>
      </c>
      <c r="W17" s="1573">
        <f>J17</f>
        <v>100</v>
      </c>
      <c r="X17" s="1566"/>
      <c r="Y17" s="3613"/>
      <c r="Z17" s="1574" t="str">
        <f>Q17</f>
        <v>交通便捷度</v>
      </c>
      <c r="AA17" s="1575">
        <f t="shared" si="3"/>
        <v>1</v>
      </c>
      <c r="AB17" s="1575">
        <f t="shared" si="4"/>
        <v>1</v>
      </c>
      <c r="AC17" s="1575">
        <f t="shared" si="5"/>
        <v>1</v>
      </c>
    </row>
    <row r="18" spans="1:29" ht="15">
      <c r="A18" s="532"/>
      <c r="B18" s="595"/>
      <c r="C18" s="3246" t="s">
        <v>3031</v>
      </c>
      <c r="D18" s="559"/>
      <c r="E18" s="568" t="s">
        <v>3031</v>
      </c>
      <c r="F18" s="563"/>
      <c r="G18" s="569" t="s">
        <v>3031</v>
      </c>
      <c r="H18" s="555"/>
      <c r="I18" s="568" t="s">
        <v>3031</v>
      </c>
      <c r="J18" s="555"/>
      <c r="K18" s="870"/>
      <c r="L18" s="2141"/>
      <c r="M18" s="2133"/>
      <c r="N18" s="2133"/>
      <c r="O18" s="2140"/>
      <c r="P18" s="3613"/>
      <c r="Q18" s="1571"/>
      <c r="R18" s="1572"/>
      <c r="S18" s="1573"/>
      <c r="T18" s="1572"/>
      <c r="U18" s="1573"/>
      <c r="V18" s="1572"/>
      <c r="W18" s="1573"/>
      <c r="X18" s="1566"/>
      <c r="Y18" s="3613"/>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613"/>
      <c r="Q19" s="1571" t="str">
        <f>B19</f>
        <v>公共配套设施</v>
      </c>
      <c r="R19" s="1572" t="s">
        <v>11</v>
      </c>
      <c r="S19" s="1573">
        <f>F19</f>
        <v>100</v>
      </c>
      <c r="T19" s="1572" t="s">
        <v>11</v>
      </c>
      <c r="U19" s="1573">
        <f>H19</f>
        <v>100</v>
      </c>
      <c r="V19" s="1572" t="s">
        <v>11</v>
      </c>
      <c r="W19" s="1573">
        <f>J19</f>
        <v>100</v>
      </c>
      <c r="X19" s="1566"/>
      <c r="Y19" s="3613"/>
      <c r="Z19" s="1574" t="str">
        <f>Q19</f>
        <v>公共配套设施</v>
      </c>
      <c r="AA19" s="1575">
        <f t="shared" si="3"/>
        <v>1</v>
      </c>
      <c r="AB19" s="1575">
        <f t="shared" si="4"/>
        <v>1</v>
      </c>
      <c r="AC19" s="1575">
        <f t="shared" si="5"/>
        <v>1</v>
      </c>
    </row>
    <row r="20" spans="1:29" ht="15">
      <c r="A20" s="532"/>
      <c r="B20" s="595"/>
      <c r="C20" s="576" t="s">
        <v>3031</v>
      </c>
      <c r="D20" s="555"/>
      <c r="E20" s="556" t="s">
        <v>3031</v>
      </c>
      <c r="F20" s="557"/>
      <c r="G20" s="558" t="s">
        <v>3031</v>
      </c>
      <c r="H20" s="555"/>
      <c r="I20" s="556" t="s">
        <v>3031</v>
      </c>
      <c r="J20" s="555"/>
      <c r="K20" s="870"/>
      <c r="L20" s="2141"/>
      <c r="M20" s="2133"/>
      <c r="N20" s="2133"/>
      <c r="O20" s="2140"/>
      <c r="P20" s="3613"/>
      <c r="Q20" s="1571"/>
      <c r="R20" s="1572"/>
      <c r="S20" s="1573"/>
      <c r="T20" s="1572"/>
      <c r="U20" s="1573"/>
      <c r="V20" s="1572"/>
      <c r="W20" s="1573"/>
      <c r="X20" s="1566"/>
      <c r="Y20" s="3613"/>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613"/>
      <c r="Q21" s="2557" t="str">
        <f>B21</f>
        <v>基础设施水平</v>
      </c>
      <c r="R21" s="1572" t="s">
        <v>11</v>
      </c>
      <c r="S21" s="1573">
        <f>F21</f>
        <v>100</v>
      </c>
      <c r="T21" s="1572" t="s">
        <v>11</v>
      </c>
      <c r="U21" s="1573">
        <f>H21</f>
        <v>100</v>
      </c>
      <c r="V21" s="1572" t="s">
        <v>11</v>
      </c>
      <c r="W21" s="1573">
        <f>J21</f>
        <v>100</v>
      </c>
      <c r="X21" s="2559"/>
      <c r="Y21" s="3613"/>
      <c r="Z21" s="2558" t="str">
        <f>Q21</f>
        <v>基础设施水平</v>
      </c>
      <c r="AA21" s="1575">
        <f t="shared" ref="AA21" si="8">D21/F21</f>
        <v>1</v>
      </c>
      <c r="AB21" s="1575">
        <f t="shared" ref="AB21" si="9">D21/H21</f>
        <v>1</v>
      </c>
      <c r="AC21" s="1575">
        <f t="shared" ref="AC21" si="10">D21/J21</f>
        <v>1</v>
      </c>
    </row>
    <row r="22" spans="1:29" ht="15">
      <c r="A22" s="532"/>
      <c r="B22" s="921"/>
      <c r="C22" s="873" t="s">
        <v>3033</v>
      </c>
      <c r="D22" s="555"/>
      <c r="E22" s="576" t="s">
        <v>3033</v>
      </c>
      <c r="F22" s="557"/>
      <c r="G22" s="576" t="s">
        <v>3033</v>
      </c>
      <c r="H22" s="555"/>
      <c r="I22" s="576" t="s">
        <v>3033</v>
      </c>
      <c r="J22" s="555"/>
      <c r="K22" s="2577"/>
      <c r="L22" s="2141"/>
      <c r="M22" s="2133"/>
      <c r="N22" s="2133"/>
      <c r="O22" s="2140"/>
      <c r="P22" s="3613"/>
      <c r="Q22" s="2557"/>
      <c r="R22" s="1572"/>
      <c r="S22" s="1573"/>
      <c r="T22" s="1572"/>
      <c r="U22" s="1573"/>
      <c r="V22" s="1572"/>
      <c r="W22" s="1573"/>
      <c r="X22" s="2559"/>
      <c r="Y22" s="3613"/>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613"/>
      <c r="Q23" s="1571" t="str">
        <f>B23</f>
        <v>自然及人文环境</v>
      </c>
      <c r="R23" s="1572" t="s">
        <v>11</v>
      </c>
      <c r="S23" s="1573">
        <f>F23</f>
        <v>100</v>
      </c>
      <c r="T23" s="1572" t="s">
        <v>11</v>
      </c>
      <c r="U23" s="1573">
        <f>H23</f>
        <v>100</v>
      </c>
      <c r="V23" s="1572" t="s">
        <v>11</v>
      </c>
      <c r="W23" s="1573">
        <f>J23</f>
        <v>100</v>
      </c>
      <c r="X23" s="1566"/>
      <c r="Y23" s="3613"/>
      <c r="Z23" s="1574" t="str">
        <f>Q23</f>
        <v>自然及人文环境</v>
      </c>
      <c r="AA23" s="1575">
        <f t="shared" si="3"/>
        <v>1</v>
      </c>
      <c r="AB23" s="1575">
        <f t="shared" si="4"/>
        <v>1</v>
      </c>
      <c r="AC23" s="1575">
        <f t="shared" si="5"/>
        <v>1</v>
      </c>
    </row>
    <row r="24" spans="1:29" ht="15">
      <c r="A24" s="532"/>
      <c r="B24" s="595"/>
      <c r="C24" s="576" t="s">
        <v>3031</v>
      </c>
      <c r="D24" s="555"/>
      <c r="E24" s="556" t="s">
        <v>3031</v>
      </c>
      <c r="F24" s="557"/>
      <c r="G24" s="558" t="s">
        <v>3031</v>
      </c>
      <c r="H24" s="555"/>
      <c r="I24" s="556" t="s">
        <v>3031</v>
      </c>
      <c r="J24" s="555"/>
      <c r="K24" s="870"/>
      <c r="L24" s="2141"/>
      <c r="M24" s="2133"/>
      <c r="N24" s="2133"/>
      <c r="O24" s="2140"/>
      <c r="P24" s="3613"/>
      <c r="Q24" s="1571"/>
      <c r="R24" s="1572"/>
      <c r="S24" s="1573"/>
      <c r="T24" s="1572"/>
      <c r="U24" s="1573"/>
      <c r="V24" s="1572"/>
      <c r="W24" s="1573"/>
      <c r="X24" s="1566"/>
      <c r="Y24" s="3613"/>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613"/>
      <c r="Q25" s="1571" t="str">
        <f t="shared" ref="Q25:Q46" si="11">B25</f>
        <v>楼层-1</v>
      </c>
      <c r="R25" s="1572" t="s">
        <v>11</v>
      </c>
      <c r="S25" s="1573">
        <f>F25</f>
        <v>100</v>
      </c>
      <c r="T25" s="1572" t="s">
        <v>11</v>
      </c>
      <c r="U25" s="1573">
        <f>H25</f>
        <v>100</v>
      </c>
      <c r="V25" s="1572" t="s">
        <v>11</v>
      </c>
      <c r="W25" s="1573">
        <f>J25</f>
        <v>100</v>
      </c>
      <c r="X25" s="1566"/>
      <c r="Y25" s="3613"/>
      <c r="Z25" s="1574" t="str">
        <f>Q25</f>
        <v>楼层-1</v>
      </c>
      <c r="AA25" s="1575">
        <f t="shared" si="3"/>
        <v>1</v>
      </c>
      <c r="AB25" s="1575">
        <f t="shared" si="4"/>
        <v>1</v>
      </c>
      <c r="AC25" s="1575">
        <f t="shared" si="5"/>
        <v>1</v>
      </c>
    </row>
    <row r="26" spans="1:29" ht="15">
      <c r="A26" s="532"/>
      <c r="B26" s="527" t="s">
        <v>722</v>
      </c>
      <c r="C26" s="574" t="s">
        <v>3035</v>
      </c>
      <c r="D26" s="540">
        <v>100</v>
      </c>
      <c r="E26" s="874" t="s">
        <v>3035</v>
      </c>
      <c r="F26" s="575">
        <f>SUMIF(88:88,E26,89:89)-SUMIF(88:88,C26,89:89)+100</f>
        <v>100</v>
      </c>
      <c r="G26" s="599" t="s">
        <v>3035</v>
      </c>
      <c r="H26" s="540">
        <f>SUMIF(88:88,G26,89:89)-SUMIF(88:88,C26,89:89)+100</f>
        <v>100</v>
      </c>
      <c r="I26" s="874" t="s">
        <v>3035</v>
      </c>
      <c r="J26" s="540">
        <f>SUMIF(88:88,I26,89:89)-SUMIF(88:88,C26,89:89)+100</f>
        <v>100</v>
      </c>
      <c r="K26" s="864">
        <v>1</v>
      </c>
      <c r="L26" s="2141"/>
      <c r="M26" s="2133"/>
      <c r="N26" s="2133"/>
      <c r="O26" s="2140"/>
      <c r="P26" s="3613"/>
      <c r="Q26" s="1571" t="str">
        <f t="shared" si="11"/>
        <v>朝向</v>
      </c>
      <c r="R26" s="1572" t="s">
        <v>11</v>
      </c>
      <c r="S26" s="1573">
        <f>F26</f>
        <v>100</v>
      </c>
      <c r="T26" s="1572" t="s">
        <v>11</v>
      </c>
      <c r="U26" s="1573">
        <f>H26</f>
        <v>100</v>
      </c>
      <c r="V26" s="1572" t="s">
        <v>11</v>
      </c>
      <c r="W26" s="1573">
        <f>J26</f>
        <v>100</v>
      </c>
      <c r="X26" s="1566"/>
      <c r="Y26" s="3613"/>
      <c r="Z26" s="1574" t="str">
        <f>Q26</f>
        <v>朝向</v>
      </c>
      <c r="AA26" s="1575">
        <f t="shared" si="3"/>
        <v>1</v>
      </c>
      <c r="AB26" s="1575">
        <f t="shared" si="4"/>
        <v>1</v>
      </c>
      <c r="AC26" s="1575">
        <f t="shared" si="5"/>
        <v>1</v>
      </c>
    </row>
    <row r="27" spans="1:29" s="1219" customFormat="1" ht="27">
      <c r="A27" s="536"/>
      <c r="B27" s="537" t="s">
        <v>723</v>
      </c>
      <c r="C27" s="3197" t="s">
        <v>3149</v>
      </c>
      <c r="D27" s="875">
        <v>100</v>
      </c>
      <c r="E27" s="3197" t="s">
        <v>3037</v>
      </c>
      <c r="F27" s="876">
        <f>SUMIF(90:90,E27,91:91)-SUMIF(90:90,C27,91:91)+100</f>
        <v>100</v>
      </c>
      <c r="G27" s="3197" t="s">
        <v>3037</v>
      </c>
      <c r="H27" s="875">
        <f>SUMIF(90:90,G27,91:91)-SUMIF(90:90,C27,91:91)+100</f>
        <v>100</v>
      </c>
      <c r="I27" s="3197" t="s">
        <v>3037</v>
      </c>
      <c r="J27" s="875">
        <f>SUMIF(90:90,I27,91:91)-SUMIF(90:90,C27,91:91)+100</f>
        <v>100</v>
      </c>
      <c r="K27" s="865"/>
      <c r="L27" s="2134"/>
      <c r="M27" s="2135"/>
      <c r="N27" s="2135"/>
      <c r="O27" s="2136"/>
      <c r="P27" s="3613"/>
      <c r="Q27" s="1150" t="str">
        <f t="shared" si="11"/>
        <v>道路级别</v>
      </c>
      <c r="R27" s="1567" t="s">
        <v>11</v>
      </c>
      <c r="S27" s="1568">
        <f>F27</f>
        <v>100</v>
      </c>
      <c r="T27" s="1567" t="s">
        <v>11</v>
      </c>
      <c r="U27" s="1568">
        <f>H27</f>
        <v>100</v>
      </c>
      <c r="V27" s="1567" t="s">
        <v>11</v>
      </c>
      <c r="W27" s="1568">
        <f>J27</f>
        <v>100</v>
      </c>
      <c r="X27" s="1569"/>
      <c r="Y27" s="3613"/>
      <c r="Z27" s="1149" t="str">
        <f>Q27</f>
        <v>道路级别</v>
      </c>
      <c r="AA27" s="1575">
        <f>D27/F27</f>
        <v>1</v>
      </c>
      <c r="AB27" s="1575">
        <f>D27/H27</f>
        <v>1</v>
      </c>
      <c r="AC27" s="1575">
        <f>D27/J27</f>
        <v>1</v>
      </c>
    </row>
    <row r="28" spans="1:29" ht="15.75" thickBot="1">
      <c r="A28" s="532"/>
      <c r="B28" s="3198" t="s">
        <v>3038</v>
      </c>
      <c r="C28" s="539" t="s">
        <v>3039</v>
      </c>
      <c r="D28" s="540">
        <v>100</v>
      </c>
      <c r="E28" s="539" t="s">
        <v>3039</v>
      </c>
      <c r="F28" s="575">
        <f>SUMIF(92:92,E28,93:93)-SUMIF(92:92,C28,93:93)+100</f>
        <v>100</v>
      </c>
      <c r="G28" s="539" t="s">
        <v>3040</v>
      </c>
      <c r="H28" s="540">
        <f>SUMIF(92:92,G28,93:93)-SUMIF(92:92,C28,93:93)+100</f>
        <v>98.5</v>
      </c>
      <c r="I28" s="539" t="s">
        <v>3041</v>
      </c>
      <c r="J28" s="540">
        <f>SUMIF(92:92,I28,93:93)-SUMIF(92:92,C28,93:93)+100</f>
        <v>98.5</v>
      </c>
      <c r="K28" s="865"/>
      <c r="L28" s="2141"/>
      <c r="M28" s="2133"/>
      <c r="N28" s="2133"/>
      <c r="O28" s="2140"/>
      <c r="P28" s="3613"/>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613"/>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613"/>
      <c r="Q29" s="1571">
        <f t="shared" si="11"/>
        <v>111</v>
      </c>
      <c r="R29" s="1572" t="s">
        <v>11</v>
      </c>
      <c r="S29" s="1573">
        <f t="shared" si="12"/>
        <v>100</v>
      </c>
      <c r="T29" s="1572" t="s">
        <v>11</v>
      </c>
      <c r="U29" s="1573">
        <f t="shared" si="13"/>
        <v>100</v>
      </c>
      <c r="V29" s="1572" t="s">
        <v>11</v>
      </c>
      <c r="W29" s="1573">
        <f t="shared" si="14"/>
        <v>100</v>
      </c>
      <c r="X29" s="1566"/>
      <c r="Y29" s="3613"/>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613"/>
      <c r="Q30" s="1571">
        <f t="shared" si="11"/>
        <v>111</v>
      </c>
      <c r="R30" s="1572" t="s">
        <v>11</v>
      </c>
      <c r="S30" s="1573">
        <f t="shared" si="12"/>
        <v>100</v>
      </c>
      <c r="T30" s="1572" t="s">
        <v>11</v>
      </c>
      <c r="U30" s="1573">
        <f t="shared" si="13"/>
        <v>100</v>
      </c>
      <c r="V30" s="1572" t="s">
        <v>11</v>
      </c>
      <c r="W30" s="1573">
        <f t="shared" si="14"/>
        <v>100</v>
      </c>
      <c r="X30" s="1566"/>
      <c r="Y30" s="3613"/>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613"/>
      <c r="Q31" s="1571">
        <f t="shared" si="11"/>
        <v>111</v>
      </c>
      <c r="R31" s="1572" t="s">
        <v>11</v>
      </c>
      <c r="S31" s="1573">
        <f t="shared" si="12"/>
        <v>100</v>
      </c>
      <c r="T31" s="1572" t="s">
        <v>11</v>
      </c>
      <c r="U31" s="1573">
        <f t="shared" si="13"/>
        <v>100</v>
      </c>
      <c r="V31" s="1572" t="s">
        <v>11</v>
      </c>
      <c r="W31" s="1573">
        <f t="shared" si="14"/>
        <v>100</v>
      </c>
      <c r="X31" s="1566"/>
      <c r="Y31" s="3613"/>
      <c r="Z31" s="1574">
        <f t="shared" si="15"/>
        <v>111</v>
      </c>
      <c r="AA31" s="1575">
        <f t="shared" si="3"/>
        <v>1</v>
      </c>
      <c r="AB31" s="1575">
        <f t="shared" si="4"/>
        <v>1</v>
      </c>
      <c r="AC31" s="1575">
        <f t="shared" si="5"/>
        <v>1</v>
      </c>
    </row>
    <row r="32" spans="1:29" ht="15">
      <c r="A32" s="2884" t="s">
        <v>2755</v>
      </c>
      <c r="B32" s="172" t="s">
        <v>724</v>
      </c>
      <c r="C32" s="878" t="s">
        <v>3046</v>
      </c>
      <c r="D32" s="597">
        <v>100</v>
      </c>
      <c r="E32" s="878" t="s">
        <v>3046</v>
      </c>
      <c r="F32" s="575">
        <f>SUMIF(100:100,E32,101:101)-SUMIF(100:100,C32,101:101)+100</f>
        <v>100</v>
      </c>
      <c r="G32" s="878" t="s">
        <v>3046</v>
      </c>
      <c r="H32" s="597">
        <f>SUMIF(100:100,G32,101:101)-SUMIF(100:100,C32,101:101)+100</f>
        <v>100</v>
      </c>
      <c r="I32" s="878" t="s">
        <v>3046</v>
      </c>
      <c r="J32" s="540">
        <f>SUMIF(100:100,I32,101:101)-SUMIF(100:100,C32,101:101)+100</f>
        <v>100</v>
      </c>
      <c r="K32" s="864"/>
      <c r="L32" s="2141"/>
      <c r="M32" s="2133"/>
      <c r="N32" s="2133"/>
      <c r="O32" s="2140"/>
      <c r="P32" s="3614" t="s">
        <v>549</v>
      </c>
      <c r="Q32" s="1571" t="str">
        <f t="shared" si="11"/>
        <v>建筑类型</v>
      </c>
      <c r="R32" s="1572" t="s">
        <v>11</v>
      </c>
      <c r="S32" s="1573">
        <f t="shared" si="12"/>
        <v>100</v>
      </c>
      <c r="T32" s="1572" t="s">
        <v>11</v>
      </c>
      <c r="U32" s="1573">
        <f t="shared" si="13"/>
        <v>100</v>
      </c>
      <c r="V32" s="1572" t="s">
        <v>11</v>
      </c>
      <c r="W32" s="1573">
        <f t="shared" si="14"/>
        <v>100</v>
      </c>
      <c r="X32" s="1566"/>
      <c r="Y32" s="3615"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615"/>
      <c r="Q33" s="1604" t="str">
        <f t="shared" si="11"/>
        <v>项目建筑规模</v>
      </c>
      <c r="R33" s="1576" t="s">
        <v>11</v>
      </c>
      <c r="S33" s="1577">
        <f t="shared" si="12"/>
        <v>100</v>
      </c>
      <c r="T33" s="1576" t="s">
        <v>11</v>
      </c>
      <c r="U33" s="1577">
        <f t="shared" si="13"/>
        <v>100</v>
      </c>
      <c r="V33" s="1576" t="s">
        <v>11</v>
      </c>
      <c r="W33" s="1577">
        <f t="shared" si="14"/>
        <v>100</v>
      </c>
      <c r="X33" s="1578"/>
      <c r="Y33" s="3615"/>
      <c r="Z33" s="1579" t="str">
        <f t="shared" si="15"/>
        <v>项目建筑规模</v>
      </c>
      <c r="AA33" s="1575">
        <f t="shared" si="3"/>
        <v>1</v>
      </c>
      <c r="AB33" s="1575">
        <f t="shared" si="4"/>
        <v>1</v>
      </c>
      <c r="AC33" s="1575">
        <f t="shared" si="5"/>
        <v>1</v>
      </c>
    </row>
    <row r="34" spans="1:29" ht="15">
      <c r="A34" s="594"/>
      <c r="B34" s="527" t="s">
        <v>726</v>
      </c>
      <c r="C34" s="880" t="s">
        <v>3048</v>
      </c>
      <c r="D34" s="540">
        <v>100</v>
      </c>
      <c r="E34" s="880" t="s">
        <v>3048</v>
      </c>
      <c r="F34" s="575">
        <f>SUMIF(105:105,E34,106:106)-SUMIF(105:105,C34,106:106)+100</f>
        <v>100</v>
      </c>
      <c r="G34" s="880" t="s">
        <v>3048</v>
      </c>
      <c r="H34" s="540">
        <f>SUMIF(105:105,G34,106:106)-SUMIF(105:105,C34,106:106)+100</f>
        <v>100</v>
      </c>
      <c r="I34" s="880" t="s">
        <v>3048</v>
      </c>
      <c r="J34" s="540">
        <f>SUMIF(105:105,I34,106:106)-SUMIF(105:105,C34,106:106)+100</f>
        <v>100</v>
      </c>
      <c r="K34" s="864"/>
      <c r="L34" s="2141"/>
      <c r="M34" s="2133"/>
      <c r="N34" s="2133"/>
      <c r="O34" s="2140"/>
      <c r="P34" s="3615"/>
      <c r="Q34" s="1571" t="str">
        <f t="shared" si="11"/>
        <v>建筑结构</v>
      </c>
      <c r="R34" s="1572" t="s">
        <v>11</v>
      </c>
      <c r="S34" s="1573">
        <f t="shared" si="12"/>
        <v>100</v>
      </c>
      <c r="T34" s="1572" t="s">
        <v>11</v>
      </c>
      <c r="U34" s="1573">
        <f t="shared" si="13"/>
        <v>100</v>
      </c>
      <c r="V34" s="1572" t="s">
        <v>11</v>
      </c>
      <c r="W34" s="1573">
        <f t="shared" si="14"/>
        <v>100</v>
      </c>
      <c r="X34" s="1566"/>
      <c r="Y34" s="3615"/>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615"/>
      <c r="Q35" s="1571" t="str">
        <f t="shared" si="11"/>
        <v>建筑品质</v>
      </c>
      <c r="R35" s="1572" t="s">
        <v>11</v>
      </c>
      <c r="S35" s="1573">
        <f t="shared" si="12"/>
        <v>100</v>
      </c>
      <c r="T35" s="1572" t="s">
        <v>11</v>
      </c>
      <c r="U35" s="1573">
        <f t="shared" si="13"/>
        <v>100</v>
      </c>
      <c r="V35" s="1572" t="s">
        <v>11</v>
      </c>
      <c r="W35" s="1573">
        <f t="shared" si="14"/>
        <v>100</v>
      </c>
      <c r="X35" s="1566"/>
      <c r="Y35" s="3615"/>
      <c r="Z35" s="1574" t="str">
        <f t="shared" si="15"/>
        <v>建筑品质</v>
      </c>
      <c r="AA35" s="1575">
        <f t="shared" si="3"/>
        <v>1</v>
      </c>
      <c r="AB35" s="1575">
        <f t="shared" si="4"/>
        <v>1</v>
      </c>
      <c r="AC35" s="1575">
        <f t="shared" si="5"/>
        <v>1</v>
      </c>
    </row>
    <row r="36" spans="1:29" ht="15">
      <c r="A36" s="594"/>
      <c r="B36" s="527" t="s">
        <v>728</v>
      </c>
      <c r="C36" s="599" t="s">
        <v>3050</v>
      </c>
      <c r="D36" s="540">
        <v>100</v>
      </c>
      <c r="E36" s="599" t="s">
        <v>3050</v>
      </c>
      <c r="F36" s="575">
        <f>SUMIF(109:109,E36,110:110)-SUMIF(109:109,C36,110:110)+100</f>
        <v>100</v>
      </c>
      <c r="G36" s="599" t="s">
        <v>3050</v>
      </c>
      <c r="H36" s="540">
        <f>SUMIF(109:109,G36,110:110)-SUMIF(109:109,C36,110:110)+100</f>
        <v>100</v>
      </c>
      <c r="I36" s="599" t="s">
        <v>3050</v>
      </c>
      <c r="J36" s="540">
        <f>SUMIF(109:109,I36,110:110)-SUMIF(109:109,C36,110:110)+100</f>
        <v>100</v>
      </c>
      <c r="K36" s="864"/>
      <c r="L36" s="2141"/>
      <c r="M36" s="2133"/>
      <c r="N36" s="2133"/>
      <c r="O36" s="2140"/>
      <c r="P36" s="3615"/>
      <c r="Q36" s="1571" t="str">
        <f t="shared" si="11"/>
        <v>公共部分装修</v>
      </c>
      <c r="R36" s="1572" t="s">
        <v>11</v>
      </c>
      <c r="S36" s="1573">
        <f t="shared" si="12"/>
        <v>100</v>
      </c>
      <c r="T36" s="1572" t="s">
        <v>11</v>
      </c>
      <c r="U36" s="1573">
        <f t="shared" si="13"/>
        <v>100</v>
      </c>
      <c r="V36" s="1572" t="s">
        <v>11</v>
      </c>
      <c r="W36" s="1573">
        <f t="shared" si="14"/>
        <v>100</v>
      </c>
      <c r="X36" s="1566"/>
      <c r="Y36" s="3615"/>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615"/>
      <c r="Q37" s="1150" t="str">
        <f t="shared" si="11"/>
        <v>成新度</v>
      </c>
      <c r="R37" s="1567" t="s">
        <v>11</v>
      </c>
      <c r="S37" s="1568">
        <f t="shared" si="12"/>
        <v>100</v>
      </c>
      <c r="T37" s="1567" t="s">
        <v>11</v>
      </c>
      <c r="U37" s="1568">
        <f t="shared" si="13"/>
        <v>100</v>
      </c>
      <c r="V37" s="1567" t="s">
        <v>11</v>
      </c>
      <c r="W37" s="1568">
        <f t="shared" si="14"/>
        <v>100</v>
      </c>
      <c r="X37" s="1569"/>
      <c r="Y37" s="3615"/>
      <c r="Z37" s="1149" t="str">
        <f t="shared" si="15"/>
        <v>成新度</v>
      </c>
      <c r="AA37" s="1570">
        <f t="shared" si="3"/>
        <v>1</v>
      </c>
      <c r="AB37" s="1570">
        <f t="shared" si="4"/>
        <v>1</v>
      </c>
      <c r="AC37" s="1570">
        <f t="shared" si="5"/>
        <v>1</v>
      </c>
    </row>
    <row r="38" spans="1:29" ht="15">
      <c r="A38" s="594"/>
      <c r="B38" s="527" t="s">
        <v>730</v>
      </c>
      <c r="C38" s="599" t="s">
        <v>3052</v>
      </c>
      <c r="D38" s="540">
        <v>100</v>
      </c>
      <c r="E38" s="599" t="s">
        <v>3052</v>
      </c>
      <c r="F38" s="575">
        <f>SUMIF(114:114,E38,115:115)-SUMIF(114:114,C38,115:115)+100</f>
        <v>100</v>
      </c>
      <c r="G38" s="599" t="s">
        <v>3052</v>
      </c>
      <c r="H38" s="540">
        <f>SUMIF(114:114,G38,115:115)-SUMIF(114:114,C38,115:115)+100</f>
        <v>100</v>
      </c>
      <c r="I38" s="599" t="s">
        <v>3052</v>
      </c>
      <c r="J38" s="540">
        <f>SUMIF(114:114,I38,115:115)-SUMIF(114:114,C38,115:115)+100</f>
        <v>100</v>
      </c>
      <c r="K38" s="864"/>
      <c r="L38" s="2141"/>
      <c r="M38" s="2133"/>
      <c r="N38" s="2133"/>
      <c r="O38" s="2140"/>
      <c r="P38" s="3615" t="s">
        <v>549</v>
      </c>
      <c r="Q38" s="1571" t="str">
        <f t="shared" si="11"/>
        <v>物业管理</v>
      </c>
      <c r="R38" s="1572" t="s">
        <v>11</v>
      </c>
      <c r="S38" s="1573">
        <f t="shared" si="12"/>
        <v>100</v>
      </c>
      <c r="T38" s="1572" t="s">
        <v>11</v>
      </c>
      <c r="U38" s="1573">
        <f t="shared" si="13"/>
        <v>100</v>
      </c>
      <c r="V38" s="1572" t="s">
        <v>11</v>
      </c>
      <c r="W38" s="1573">
        <f t="shared" si="14"/>
        <v>100</v>
      </c>
      <c r="X38" s="1566"/>
      <c r="Y38" s="3615" t="s">
        <v>549</v>
      </c>
      <c r="Z38" s="1574" t="str">
        <f t="shared" si="15"/>
        <v>物业管理</v>
      </c>
      <c r="AA38" s="1575">
        <f t="shared" si="3"/>
        <v>1</v>
      </c>
      <c r="AB38" s="1575">
        <f t="shared" si="4"/>
        <v>1</v>
      </c>
      <c r="AC38" s="1575">
        <f t="shared" si="5"/>
        <v>1</v>
      </c>
    </row>
    <row r="39" spans="1:29" ht="15">
      <c r="A39" s="594"/>
      <c r="B39" s="1894" t="s">
        <v>2564</v>
      </c>
      <c r="C39" s="599" t="s">
        <v>3033</v>
      </c>
      <c r="D39" s="540">
        <v>100</v>
      </c>
      <c r="E39" s="599" t="s">
        <v>3033</v>
      </c>
      <c r="F39" s="575">
        <f>SUMIF(116:116,E39,117:117)-SUMIF(116:116,C39,117:117)+100</f>
        <v>100</v>
      </c>
      <c r="G39" s="599" t="s">
        <v>3033</v>
      </c>
      <c r="H39" s="540">
        <f>SUMIF(116:116,G39,117:117)-SUMIF(116:116,C39,117:117)+100</f>
        <v>100</v>
      </c>
      <c r="I39" s="599" t="s">
        <v>3033</v>
      </c>
      <c r="J39" s="540">
        <f>SUMIF(116:116,I39,117:117)-SUMIF(116:116,C39,117:117)+100</f>
        <v>100</v>
      </c>
      <c r="K39" s="864"/>
      <c r="L39" s="2141"/>
      <c r="M39" s="2133"/>
      <c r="N39" s="2133"/>
      <c r="O39" s="2140"/>
      <c r="P39" s="3615"/>
      <c r="Q39" s="1571" t="str">
        <f t="shared" si="11"/>
        <v>市政基础设施</v>
      </c>
      <c r="R39" s="1572" t="s">
        <v>11</v>
      </c>
      <c r="S39" s="1573">
        <f t="shared" si="12"/>
        <v>100</v>
      </c>
      <c r="T39" s="1572" t="s">
        <v>11</v>
      </c>
      <c r="U39" s="1573">
        <f t="shared" si="13"/>
        <v>100</v>
      </c>
      <c r="V39" s="1572" t="s">
        <v>11</v>
      </c>
      <c r="W39" s="1573">
        <f t="shared" si="14"/>
        <v>100</v>
      </c>
      <c r="X39" s="1566"/>
      <c r="Y39" s="3615"/>
      <c r="Z39" s="1574" t="str">
        <f t="shared" si="15"/>
        <v>市政基础设施</v>
      </c>
      <c r="AA39" s="1575">
        <f t="shared" si="3"/>
        <v>1</v>
      </c>
      <c r="AB39" s="1575">
        <f t="shared" si="4"/>
        <v>1</v>
      </c>
      <c r="AC39" s="1575">
        <f t="shared" si="5"/>
        <v>1</v>
      </c>
    </row>
    <row r="40" spans="1:29" ht="15">
      <c r="A40" s="594"/>
      <c r="B40" s="527" t="s">
        <v>731</v>
      </c>
      <c r="C40" s="599" t="s">
        <v>3055</v>
      </c>
      <c r="D40" s="540">
        <v>100</v>
      </c>
      <c r="E40" s="599" t="s">
        <v>3055</v>
      </c>
      <c r="F40" s="575">
        <f>SUMIF(118:118,E40,119:119)-SUMIF(118:118,C40,119:119)+100</f>
        <v>100</v>
      </c>
      <c r="G40" s="599" t="s">
        <v>3055</v>
      </c>
      <c r="H40" s="540">
        <f>SUMIF(118:118,G40,119:119)-SUMIF(118:118,C40,119:119)+100</f>
        <v>100</v>
      </c>
      <c r="I40" s="599" t="s">
        <v>3055</v>
      </c>
      <c r="J40" s="540">
        <f>SUMIF(118:118,I40,119:119)-SUMIF(118:118,C40,119:119)+100</f>
        <v>100</v>
      </c>
      <c r="K40" s="864"/>
      <c r="L40" s="2141"/>
      <c r="M40" s="2133"/>
      <c r="N40" s="2133"/>
      <c r="O40" s="2140"/>
      <c r="P40" s="3615"/>
      <c r="Q40" s="1571" t="str">
        <f t="shared" si="11"/>
        <v>房型</v>
      </c>
      <c r="R40" s="1572" t="s">
        <v>11</v>
      </c>
      <c r="S40" s="1573">
        <f t="shared" si="12"/>
        <v>100</v>
      </c>
      <c r="T40" s="1572" t="s">
        <v>11</v>
      </c>
      <c r="U40" s="1573">
        <f t="shared" si="13"/>
        <v>100</v>
      </c>
      <c r="V40" s="1572" t="s">
        <v>11</v>
      </c>
      <c r="W40" s="1573">
        <f t="shared" si="14"/>
        <v>100</v>
      </c>
      <c r="X40" s="1566"/>
      <c r="Y40" s="3615"/>
      <c r="Z40" s="1574" t="str">
        <f t="shared" si="15"/>
        <v>房型</v>
      </c>
      <c r="AA40" s="1575">
        <f t="shared" si="3"/>
        <v>1</v>
      </c>
      <c r="AB40" s="1575">
        <f t="shared" si="4"/>
        <v>1</v>
      </c>
      <c r="AC40" s="1575">
        <f t="shared" si="5"/>
        <v>1</v>
      </c>
    </row>
    <row r="41" spans="1:29" s="1338" customFormat="1" ht="28.5">
      <c r="A41" s="603"/>
      <c r="B41" s="527" t="s">
        <v>732</v>
      </c>
      <c r="C41" s="879" t="s">
        <v>3045</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615"/>
      <c r="Q41" s="1604" t="str">
        <f t="shared" si="11"/>
        <v>单套/主力户型建筑面积</v>
      </c>
      <c r="R41" s="1576" t="s">
        <v>11</v>
      </c>
      <c r="S41" s="1577">
        <f t="shared" si="12"/>
        <v>100</v>
      </c>
      <c r="T41" s="1576" t="s">
        <v>11</v>
      </c>
      <c r="U41" s="1577">
        <f t="shared" si="13"/>
        <v>100</v>
      </c>
      <c r="V41" s="1576" t="s">
        <v>11</v>
      </c>
      <c r="W41" s="1577">
        <f t="shared" si="14"/>
        <v>100</v>
      </c>
      <c r="X41" s="1578"/>
      <c r="Y41" s="3615"/>
      <c r="Z41" s="1579" t="str">
        <f t="shared" si="15"/>
        <v>单套/主力户型建筑面积</v>
      </c>
      <c r="AA41" s="1575">
        <f t="shared" si="3"/>
        <v>1</v>
      </c>
      <c r="AB41" s="1575">
        <f t="shared" si="4"/>
        <v>1</v>
      </c>
      <c r="AC41" s="1575">
        <f t="shared" si="5"/>
        <v>1</v>
      </c>
    </row>
    <row r="42" spans="1:29" ht="15">
      <c r="A42" s="594"/>
      <c r="B42" s="527" t="s">
        <v>733</v>
      </c>
      <c r="C42" s="599" t="s">
        <v>3050</v>
      </c>
      <c r="D42" s="540">
        <v>100</v>
      </c>
      <c r="E42" s="3224" t="s">
        <v>3050</v>
      </c>
      <c r="F42" s="575">
        <f>SUMIF(122:122,E42,123:123)-SUMIF(122:122,C42,123:123)+100</f>
        <v>100</v>
      </c>
      <c r="G42" s="599" t="s">
        <v>3059</v>
      </c>
      <c r="H42" s="540">
        <f>SUMIF(122:122,G42,123:123)-SUMIF(122:122,C42,123:123)+100</f>
        <v>102</v>
      </c>
      <c r="I42" s="874" t="s">
        <v>3059</v>
      </c>
      <c r="J42" s="540">
        <f>SUMIF(122:122,I42,123:123)-SUMIF(122:122,C42,123:123)+100</f>
        <v>102</v>
      </c>
      <c r="K42" s="864">
        <v>2</v>
      </c>
      <c r="L42" s="2141"/>
      <c r="M42" s="2133"/>
      <c r="N42" s="2133"/>
      <c r="O42" s="2140"/>
      <c r="P42" s="3615"/>
      <c r="Q42" s="1571" t="str">
        <f t="shared" si="11"/>
        <v>内部装修</v>
      </c>
      <c r="R42" s="1572" t="s">
        <v>11</v>
      </c>
      <c r="S42" s="1573">
        <f t="shared" si="12"/>
        <v>100</v>
      </c>
      <c r="T42" s="1572" t="s">
        <v>11</v>
      </c>
      <c r="U42" s="1573">
        <f t="shared" si="13"/>
        <v>102</v>
      </c>
      <c r="V42" s="1572" t="s">
        <v>11</v>
      </c>
      <c r="W42" s="1573">
        <f t="shared" si="14"/>
        <v>102</v>
      </c>
      <c r="X42" s="1566"/>
      <c r="Y42" s="3615"/>
      <c r="Z42" s="1574" t="str">
        <f t="shared" si="15"/>
        <v>内部装修</v>
      </c>
      <c r="AA42" s="1575">
        <f t="shared" si="3"/>
        <v>1</v>
      </c>
      <c r="AB42" s="1575">
        <f t="shared" si="4"/>
        <v>0.98039215686274506</v>
      </c>
      <c r="AC42" s="1575">
        <f t="shared" si="5"/>
        <v>0.98039215686274506</v>
      </c>
    </row>
    <row r="43" spans="1:29" ht="27">
      <c r="A43" s="594"/>
      <c r="B43" s="527" t="s">
        <v>734</v>
      </c>
      <c r="C43" s="599" t="s">
        <v>3031</v>
      </c>
      <c r="D43" s="540">
        <v>100</v>
      </c>
      <c r="E43" s="874" t="s">
        <v>3031</v>
      </c>
      <c r="F43" s="575">
        <f>SUMIF(124:124,E43,125:125)-SUMIF(124:124,C43,125:125)+100</f>
        <v>100</v>
      </c>
      <c r="G43" s="599" t="s">
        <v>3031</v>
      </c>
      <c r="H43" s="540">
        <f>SUMIF(124:124,G43,125:125)-SUMIF(124:124,C43,125:125)+100</f>
        <v>100</v>
      </c>
      <c r="I43" s="874" t="s">
        <v>3031</v>
      </c>
      <c r="J43" s="540">
        <f>SUMIF(124:124,I43,125:125)-SUMIF(124:124,C43,125:125)+100</f>
        <v>100</v>
      </c>
      <c r="K43" s="864"/>
      <c r="L43" s="2141"/>
      <c r="M43" s="2133"/>
      <c r="N43" s="2133"/>
      <c r="O43" s="2140"/>
      <c r="P43" s="3615"/>
      <c r="Q43" s="1571" t="str">
        <f t="shared" si="11"/>
        <v>内部装修维护情况</v>
      </c>
      <c r="R43" s="1572" t="s">
        <v>11</v>
      </c>
      <c r="S43" s="1573">
        <f t="shared" si="12"/>
        <v>100</v>
      </c>
      <c r="T43" s="1572" t="s">
        <v>11</v>
      </c>
      <c r="U43" s="1573">
        <f t="shared" si="13"/>
        <v>100</v>
      </c>
      <c r="V43" s="1572" t="s">
        <v>11</v>
      </c>
      <c r="W43" s="1573">
        <f t="shared" si="14"/>
        <v>100</v>
      </c>
      <c r="X43" s="1566"/>
      <c r="Y43" s="3615"/>
      <c r="Z43" s="1574" t="str">
        <f t="shared" si="15"/>
        <v>内部装修维护情况</v>
      </c>
      <c r="AA43" s="1575">
        <f t="shared" si="3"/>
        <v>1</v>
      </c>
      <c r="AB43" s="1575">
        <f t="shared" si="4"/>
        <v>1</v>
      </c>
      <c r="AC43" s="1575">
        <f t="shared" si="5"/>
        <v>1</v>
      </c>
    </row>
    <row r="44" spans="1:29" s="1219" customFormat="1" ht="15.75" thickBot="1">
      <c r="A44" s="600"/>
      <c r="B44" s="3198" t="s">
        <v>3057</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615"/>
      <c r="Q44" s="1150" t="str">
        <f t="shared" si="11"/>
        <v>建成年代</v>
      </c>
      <c r="R44" s="1567" t="s">
        <v>11</v>
      </c>
      <c r="S44" s="1568">
        <f t="shared" si="12"/>
        <v>99.5</v>
      </c>
      <c r="T44" s="1567" t="s">
        <v>11</v>
      </c>
      <c r="U44" s="1568">
        <f t="shared" si="13"/>
        <v>99.5</v>
      </c>
      <c r="V44" s="1567" t="s">
        <v>11</v>
      </c>
      <c r="W44" s="1568">
        <f t="shared" si="14"/>
        <v>100</v>
      </c>
      <c r="X44" s="1569"/>
      <c r="Y44" s="3615"/>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615"/>
      <c r="Q45" s="1571">
        <f t="shared" si="11"/>
        <v>111</v>
      </c>
      <c r="R45" s="1572" t="s">
        <v>11</v>
      </c>
      <c r="S45" s="1573">
        <f t="shared" si="12"/>
        <v>100</v>
      </c>
      <c r="T45" s="1572" t="s">
        <v>11</v>
      </c>
      <c r="U45" s="1573">
        <f t="shared" si="13"/>
        <v>100</v>
      </c>
      <c r="V45" s="1572" t="s">
        <v>11</v>
      </c>
      <c r="W45" s="1573">
        <f t="shared" si="14"/>
        <v>100</v>
      </c>
      <c r="X45" s="1566"/>
      <c r="Y45" s="3615"/>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677"/>
      <c r="Q46" s="1571">
        <f t="shared" si="11"/>
        <v>111</v>
      </c>
      <c r="R46" s="1572" t="s">
        <v>10</v>
      </c>
      <c r="S46" s="1573">
        <f t="shared" si="12"/>
        <v>100</v>
      </c>
      <c r="T46" s="1572" t="s">
        <v>10</v>
      </c>
      <c r="U46" s="1573">
        <f t="shared" si="13"/>
        <v>100</v>
      </c>
      <c r="V46" s="1572" t="s">
        <v>10</v>
      </c>
      <c r="W46" s="1573">
        <f t="shared" si="14"/>
        <v>100</v>
      </c>
      <c r="X46" s="1566"/>
      <c r="Y46" s="3677"/>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578" t="str">
        <f>A47</f>
        <v>成交单价（元/平方米）</v>
      </c>
      <c r="Q47" s="3578"/>
      <c r="R47" s="3676">
        <f>E47</f>
        <v>45828</v>
      </c>
      <c r="S47" s="3676"/>
      <c r="T47" s="3676">
        <f>G47</f>
        <v>45439</v>
      </c>
      <c r="U47" s="3676"/>
      <c r="V47" s="3676">
        <f>I47</f>
        <v>48117</v>
      </c>
      <c r="W47" s="3676"/>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578" t="str">
        <f>A48</f>
        <v>比较价格（元/平方米）</v>
      </c>
      <c r="Q48" s="3578"/>
      <c r="R48" s="3676">
        <f>IF(F1="售价",ROUND(PRODUCT(R47,AA7:AA46),0),ROUND(PRODUCT(R47,AA7:AA46),1))</f>
        <v>46058</v>
      </c>
      <c r="S48" s="3676"/>
      <c r="T48" s="3676">
        <f>IF(F1="售价",ROUND(PRODUCT(T47,AB7:AB46),0),ROUND(PRODUCT(T47,AB7:AB46),1))</f>
        <v>45545</v>
      </c>
      <c r="U48" s="3676"/>
      <c r="V48" s="3676">
        <f>IF(F1="售价",ROUND(PRODUCT(V47,AC7:AC46),0),ROUND(PRODUCT(V47,AC7:AC46),1))</f>
        <v>47892</v>
      </c>
      <c r="W48" s="3676"/>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75" t="str">
        <f>A49</f>
        <v>估价对象XX用房的比较价格（楼面单价，元/平方米）</v>
      </c>
      <c r="Q49" s="3576"/>
      <c r="R49" s="3675">
        <f>IF(F1="售价",ROUND(AVERAGE(R48:V48),0),ROUND(AVERAGE(R48:V48),1))</f>
        <v>46498</v>
      </c>
      <c r="S49" s="3675"/>
      <c r="T49" s="3675"/>
      <c r="U49" s="3675"/>
      <c r="V49" s="3675"/>
      <c r="W49" s="367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3036</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3039</v>
      </c>
      <c r="D92" s="539" t="s">
        <v>3040</v>
      </c>
      <c r="E92" s="539" t="s">
        <v>3041</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3047</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3053</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3054</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3045</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3060</v>
      </c>
      <c r="D122" s="3196" t="s">
        <v>3061</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I29" sqref="I2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3058</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48239</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15426.7</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584" t="s">
        <v>521</v>
      </c>
      <c r="D4" s="3585"/>
      <c r="E4" s="3618" t="s">
        <v>522</v>
      </c>
      <c r="F4" s="3619"/>
      <c r="G4" s="3584" t="s">
        <v>523</v>
      </c>
      <c r="H4" s="3585"/>
      <c r="I4" s="3584" t="s">
        <v>524</v>
      </c>
      <c r="J4" s="3585"/>
      <c r="K4" s="514" t="s">
        <v>525</v>
      </c>
      <c r="L4" s="2132"/>
      <c r="M4" s="2133"/>
      <c r="N4" s="2133"/>
      <c r="O4" s="2133"/>
      <c r="P4" s="3586" t="s">
        <v>526</v>
      </c>
      <c r="Q4" s="3587"/>
      <c r="R4" s="3592" t="s">
        <v>522</v>
      </c>
      <c r="S4" s="3593"/>
      <c r="T4" s="3592" t="s">
        <v>523</v>
      </c>
      <c r="U4" s="3593"/>
      <c r="V4" s="3579" t="s">
        <v>524</v>
      </c>
      <c r="W4" s="3579"/>
      <c r="X4" s="1566"/>
      <c r="Y4" s="3592" t="s">
        <v>526</v>
      </c>
      <c r="Z4" s="3593"/>
      <c r="AA4" s="3581" t="s">
        <v>522</v>
      </c>
      <c r="AB4" s="3579" t="s">
        <v>523</v>
      </c>
      <c r="AC4" s="3581" t="s">
        <v>524</v>
      </c>
    </row>
    <row r="5" spans="1:29" ht="15">
      <c r="A5" s="515"/>
      <c r="B5" s="516"/>
      <c r="C5" s="3600" t="str">
        <f>'不动产比较法-住宅'!C5:D5</f>
        <v>朝阳区王四营乡东部道口村柏阳景园</v>
      </c>
      <c r="D5" s="3601"/>
      <c r="E5" s="3678" t="s">
        <v>3085</v>
      </c>
      <c r="F5" s="3621"/>
      <c r="G5" s="3678" t="s">
        <v>3085</v>
      </c>
      <c r="H5" s="3621"/>
      <c r="I5" s="3679" t="s">
        <v>3086</v>
      </c>
      <c r="J5" s="3601"/>
      <c r="K5" s="514"/>
      <c r="L5" s="2132"/>
      <c r="M5" s="2133"/>
      <c r="N5" s="2133"/>
      <c r="O5" s="2133"/>
      <c r="P5" s="3588"/>
      <c r="Q5" s="3589"/>
      <c r="R5" s="3594"/>
      <c r="S5" s="3595"/>
      <c r="T5" s="3594"/>
      <c r="U5" s="3595"/>
      <c r="V5" s="3579"/>
      <c r="W5" s="3579"/>
      <c r="X5" s="1566"/>
      <c r="Y5" s="3594"/>
      <c r="Z5" s="3595"/>
      <c r="AA5" s="3582"/>
      <c r="AB5" s="3579"/>
      <c r="AC5" s="3582"/>
    </row>
    <row r="6" spans="1:29" ht="15.75" thickBot="1">
      <c r="A6" s="517"/>
      <c r="B6" s="518"/>
      <c r="C6" s="3598" t="s">
        <v>2929</v>
      </c>
      <c r="D6" s="3599"/>
      <c r="E6" s="3616" t="s">
        <v>2929</v>
      </c>
      <c r="F6" s="3617"/>
      <c r="G6" s="3598" t="s">
        <v>2929</v>
      </c>
      <c r="H6" s="3599"/>
      <c r="I6" s="3598" t="s">
        <v>2929</v>
      </c>
      <c r="J6" s="3599"/>
      <c r="K6" s="514" t="s">
        <v>527</v>
      </c>
      <c r="L6" s="2132"/>
      <c r="M6" s="2133"/>
      <c r="N6" s="2133"/>
      <c r="O6" s="2133"/>
      <c r="P6" s="3590"/>
      <c r="Q6" s="3591"/>
      <c r="R6" s="3594"/>
      <c r="S6" s="3595"/>
      <c r="T6" s="3596"/>
      <c r="U6" s="3597"/>
      <c r="V6" s="3579"/>
      <c r="W6" s="3579"/>
      <c r="X6" s="1566"/>
      <c r="Y6" s="3596"/>
      <c r="Z6" s="3597"/>
      <c r="AA6" s="3583"/>
      <c r="AB6" s="3579"/>
      <c r="AC6" s="3583"/>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609" t="s">
        <v>529</v>
      </c>
      <c r="Q7" s="3611"/>
      <c r="R7" s="1567" t="s">
        <v>8</v>
      </c>
      <c r="S7" s="1568">
        <f t="shared" ref="S7:S15" si="0">F7</f>
        <v>100</v>
      </c>
      <c r="T7" s="1567" t="s">
        <v>8</v>
      </c>
      <c r="U7" s="1568">
        <f t="shared" ref="U7:U15" si="1">H7</f>
        <v>100</v>
      </c>
      <c r="V7" s="1567" t="s">
        <v>8</v>
      </c>
      <c r="W7" s="1568">
        <f t="shared" ref="W7:W15" si="2">J7</f>
        <v>100</v>
      </c>
      <c r="X7" s="1569"/>
      <c r="Y7" s="3609" t="s">
        <v>529</v>
      </c>
      <c r="Z7" s="3610"/>
      <c r="AA7" s="1570">
        <f>D7/F7</f>
        <v>1</v>
      </c>
      <c r="AB7" s="1570">
        <f>D7/H7</f>
        <v>1</v>
      </c>
      <c r="AC7" s="1570">
        <f>D7/J7</f>
        <v>1</v>
      </c>
    </row>
    <row r="8" spans="1:29" s="1219" customFormat="1" ht="15.75" thickBot="1">
      <c r="A8" s="2890"/>
      <c r="B8" s="2897" t="s">
        <v>530</v>
      </c>
      <c r="C8" s="525" t="s">
        <v>575</v>
      </c>
      <c r="D8" s="520">
        <v>100</v>
      </c>
      <c r="E8" s="525" t="s">
        <v>3030</v>
      </c>
      <c r="F8" s="522">
        <f>SUMIF(61:61,E8,62:62)-SUMIF(61:61,C8,62:62)+100</f>
        <v>100</v>
      </c>
      <c r="G8" s="525" t="s">
        <v>3030</v>
      </c>
      <c r="H8" s="520">
        <f>SUMIF(61:61,G8,62:62)-SUMIF(61:61,C8,62:62)+100</f>
        <v>100</v>
      </c>
      <c r="I8" s="525" t="s">
        <v>3030</v>
      </c>
      <c r="J8" s="520">
        <f>SUMIF(61:61,I8,62:62)-SUMIF(61:61,C8,62:62)+100</f>
        <v>100</v>
      </c>
      <c r="K8" s="524"/>
      <c r="L8" s="2134"/>
      <c r="M8" s="2135"/>
      <c r="N8" s="2135"/>
      <c r="O8" s="2135"/>
      <c r="P8" s="3609" t="s">
        <v>532</v>
      </c>
      <c r="Q8" s="3610"/>
      <c r="R8" s="1567" t="s">
        <v>8</v>
      </c>
      <c r="S8" s="1568">
        <f t="shared" si="0"/>
        <v>100</v>
      </c>
      <c r="T8" s="1567" t="s">
        <v>8</v>
      </c>
      <c r="U8" s="1568">
        <f t="shared" si="1"/>
        <v>100</v>
      </c>
      <c r="V8" s="1567" t="s">
        <v>8</v>
      </c>
      <c r="W8" s="1568">
        <f t="shared" si="2"/>
        <v>100</v>
      </c>
      <c r="X8" s="1569"/>
      <c r="Y8" s="3609" t="s">
        <v>532</v>
      </c>
      <c r="Z8" s="3610"/>
      <c r="AA8" s="1570">
        <f t="shared" ref="AA8:AA46" si="3">D8/F8</f>
        <v>1</v>
      </c>
      <c r="AB8" s="1570">
        <f t="shared" ref="AB8:AB46" si="4">D8/H8</f>
        <v>1</v>
      </c>
      <c r="AC8" s="1570">
        <f t="shared" ref="AC8:AC46" si="5">D8/J8</f>
        <v>1</v>
      </c>
    </row>
    <row r="9" spans="1:29" s="1219" customFormat="1" ht="15">
      <c r="A9" s="2891"/>
      <c r="B9" s="2898" t="s">
        <v>2756</v>
      </c>
      <c r="C9" s="3194" t="s">
        <v>3087</v>
      </c>
      <c r="D9" s="254">
        <v>100</v>
      </c>
      <c r="E9" s="3203" t="s">
        <v>3087</v>
      </c>
      <c r="F9" s="254">
        <f>SUMIF(63:63,E9,64:64)-SUMIF(63:63,C9,64:64)+100</f>
        <v>100</v>
      </c>
      <c r="G9" s="3204" t="s">
        <v>3087</v>
      </c>
      <c r="H9" s="254">
        <f>SUMIF(63:63,G9,64:64)-SUMIF(63:63,C9,64:64)+100</f>
        <v>100</v>
      </c>
      <c r="I9" s="3204" t="s">
        <v>3087</v>
      </c>
      <c r="J9" s="254">
        <f>SUMIF(63:63,I9,64:64)-SUMIF(63:63,C9,64:64)+100</f>
        <v>100</v>
      </c>
      <c r="K9" s="524"/>
      <c r="L9" s="2134"/>
      <c r="M9" s="2135"/>
      <c r="N9" s="2135"/>
      <c r="O9" s="2136"/>
      <c r="P9" s="3578" t="s">
        <v>534</v>
      </c>
      <c r="Q9" s="1150" t="str">
        <f t="shared" ref="Q9:Q15" si="6">B9</f>
        <v>用途</v>
      </c>
      <c r="R9" s="1567" t="s">
        <v>8</v>
      </c>
      <c r="S9" s="1568">
        <f t="shared" si="0"/>
        <v>100</v>
      </c>
      <c r="T9" s="1567" t="s">
        <v>8</v>
      </c>
      <c r="U9" s="1568">
        <f t="shared" si="1"/>
        <v>100</v>
      </c>
      <c r="V9" s="1567" t="s">
        <v>8</v>
      </c>
      <c r="W9" s="1568">
        <f t="shared" si="2"/>
        <v>100</v>
      </c>
      <c r="X9" s="1569"/>
      <c r="Y9" s="3442" t="s">
        <v>535</v>
      </c>
      <c r="Z9" s="1149" t="str">
        <f t="shared" ref="Z9:Z15" si="7">Q9</f>
        <v>用途</v>
      </c>
      <c r="AA9" s="1570">
        <f t="shared" si="3"/>
        <v>1</v>
      </c>
      <c r="AB9" s="1570">
        <f t="shared" si="4"/>
        <v>1</v>
      </c>
      <c r="AC9" s="1570">
        <f t="shared" si="5"/>
        <v>1</v>
      </c>
    </row>
    <row r="10" spans="1:29" s="1337" customFormat="1" ht="27.75" thickBot="1">
      <c r="A10" s="2892"/>
      <c r="B10" s="2897" t="s">
        <v>2757</v>
      </c>
      <c r="C10" s="861" t="s">
        <v>3089</v>
      </c>
      <c r="D10" s="255">
        <v>100</v>
      </c>
      <c r="E10" s="861" t="s">
        <v>3089</v>
      </c>
      <c r="F10" s="255">
        <f>SUMIF(65:65,E10,66:66)-SUMIF(65:65,C10,66:66)+100</f>
        <v>100</v>
      </c>
      <c r="G10" s="862" t="s">
        <v>3089</v>
      </c>
      <c r="H10" s="255">
        <f>SUMIF(65:65,G10,66:66)-SUMIF(65:65,C10,66:66)+100</f>
        <v>100</v>
      </c>
      <c r="I10" s="861" t="s">
        <v>3088</v>
      </c>
      <c r="J10" s="255">
        <f>SUMIF(65:65,I10,66:66)-SUMIF(65:65,C10,66:66)+100</f>
        <v>100.25</v>
      </c>
      <c r="K10" s="584">
        <v>0.25</v>
      </c>
      <c r="L10" s="2137"/>
      <c r="M10" s="2177"/>
      <c r="N10" s="2177"/>
      <c r="O10" s="2138"/>
      <c r="P10" s="3578"/>
      <c r="Q10" s="1150" t="str">
        <f t="shared" si="6"/>
        <v>土地使用年限（年）</v>
      </c>
      <c r="R10" s="1567" t="s">
        <v>8</v>
      </c>
      <c r="S10" s="1568">
        <f t="shared" si="0"/>
        <v>100</v>
      </c>
      <c r="T10" s="1567" t="s">
        <v>8</v>
      </c>
      <c r="U10" s="1568">
        <f t="shared" si="1"/>
        <v>100</v>
      </c>
      <c r="V10" s="1567" t="s">
        <v>8</v>
      </c>
      <c r="W10" s="1568">
        <f t="shared" si="2"/>
        <v>100.25</v>
      </c>
      <c r="X10" s="1569"/>
      <c r="Y10" s="3442"/>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578"/>
      <c r="Q11" s="1150" t="str">
        <f t="shared" si="6"/>
        <v>容积率</v>
      </c>
      <c r="R11" s="1567" t="s">
        <v>8</v>
      </c>
      <c r="S11" s="1568">
        <f t="shared" si="0"/>
        <v>100</v>
      </c>
      <c r="T11" s="1567" t="s">
        <v>8</v>
      </c>
      <c r="U11" s="1568">
        <f t="shared" si="1"/>
        <v>100</v>
      </c>
      <c r="V11" s="1567" t="s">
        <v>8</v>
      </c>
      <c r="W11" s="1568">
        <f t="shared" si="2"/>
        <v>100</v>
      </c>
      <c r="X11" s="1569"/>
      <c r="Y11" s="3442"/>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578"/>
      <c r="Q12" s="1150">
        <f t="shared" si="6"/>
        <v>111</v>
      </c>
      <c r="R12" s="1567" t="s">
        <v>8</v>
      </c>
      <c r="S12" s="1568">
        <f t="shared" si="0"/>
        <v>100</v>
      </c>
      <c r="T12" s="1567" t="s">
        <v>8</v>
      </c>
      <c r="U12" s="1568">
        <f t="shared" si="1"/>
        <v>100</v>
      </c>
      <c r="V12" s="1567" t="s">
        <v>8</v>
      </c>
      <c r="W12" s="1568">
        <f t="shared" si="2"/>
        <v>100</v>
      </c>
      <c r="X12" s="1569"/>
      <c r="Y12" s="3442"/>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578"/>
      <c r="Q13" s="1150">
        <f t="shared" si="6"/>
        <v>111</v>
      </c>
      <c r="R13" s="1567" t="s">
        <v>8</v>
      </c>
      <c r="S13" s="1568">
        <f t="shared" si="0"/>
        <v>100</v>
      </c>
      <c r="T13" s="1567" t="s">
        <v>8</v>
      </c>
      <c r="U13" s="1568">
        <f t="shared" si="1"/>
        <v>100</v>
      </c>
      <c r="V13" s="1567" t="s">
        <v>8</v>
      </c>
      <c r="W13" s="1568">
        <f t="shared" si="2"/>
        <v>100</v>
      </c>
      <c r="X13" s="1569"/>
      <c r="Y13" s="3442"/>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578"/>
      <c r="Q14" s="1150">
        <f t="shared" si="6"/>
        <v>111</v>
      </c>
      <c r="R14" s="1567" t="s">
        <v>8</v>
      </c>
      <c r="S14" s="1568">
        <f t="shared" si="0"/>
        <v>100</v>
      </c>
      <c r="T14" s="1567" t="s">
        <v>8</v>
      </c>
      <c r="U14" s="1568">
        <f t="shared" si="1"/>
        <v>100</v>
      </c>
      <c r="V14" s="1567" t="s">
        <v>8</v>
      </c>
      <c r="W14" s="1568">
        <f t="shared" si="2"/>
        <v>100</v>
      </c>
      <c r="X14" s="1569"/>
      <c r="Y14" s="3442"/>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612" t="s">
        <v>539</v>
      </c>
      <c r="Q15" s="1571" t="str">
        <f t="shared" si="6"/>
        <v>商业繁华度</v>
      </c>
      <c r="R15" s="1572" t="s">
        <v>8</v>
      </c>
      <c r="S15" s="1573">
        <f t="shared" si="0"/>
        <v>100</v>
      </c>
      <c r="T15" s="1572" t="s">
        <v>8</v>
      </c>
      <c r="U15" s="1573">
        <f t="shared" si="1"/>
        <v>100</v>
      </c>
      <c r="V15" s="1572" t="s">
        <v>8</v>
      </c>
      <c r="W15" s="1573">
        <f t="shared" si="2"/>
        <v>100</v>
      </c>
      <c r="X15" s="1566"/>
      <c r="Y15" s="3612" t="s">
        <v>539</v>
      </c>
      <c r="Z15" s="1574" t="str">
        <f t="shared" si="7"/>
        <v>商业繁华度</v>
      </c>
      <c r="AA15" s="1575">
        <f t="shared" si="3"/>
        <v>1</v>
      </c>
      <c r="AB15" s="1575">
        <f t="shared" si="4"/>
        <v>1</v>
      </c>
      <c r="AC15" s="1575">
        <f t="shared" si="5"/>
        <v>1</v>
      </c>
    </row>
    <row r="16" spans="1:29" ht="15">
      <c r="A16" s="532"/>
      <c r="B16" s="869"/>
      <c r="C16" s="576" t="s">
        <v>3034</v>
      </c>
      <c r="D16" s="555"/>
      <c r="E16" s="576" t="s">
        <v>3034</v>
      </c>
      <c r="F16" s="557"/>
      <c r="G16" s="576" t="s">
        <v>3034</v>
      </c>
      <c r="H16" s="559"/>
      <c r="I16" s="576" t="s">
        <v>3034</v>
      </c>
      <c r="J16" s="555"/>
      <c r="K16" s="898"/>
      <c r="L16" s="2141"/>
      <c r="M16" s="2133"/>
      <c r="N16" s="2133"/>
      <c r="O16" s="2140"/>
      <c r="P16" s="3613"/>
      <c r="Q16" s="1571"/>
      <c r="R16" s="1572"/>
      <c r="S16" s="1573"/>
      <c r="T16" s="1572"/>
      <c r="U16" s="1573"/>
      <c r="V16" s="1572"/>
      <c r="W16" s="1573"/>
      <c r="X16" s="1566"/>
      <c r="Y16" s="3613"/>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613"/>
      <c r="Q17" s="1571" t="str">
        <f>B17</f>
        <v>交通便捷度</v>
      </c>
      <c r="R17" s="1572" t="s">
        <v>8</v>
      </c>
      <c r="S17" s="1573">
        <f>F17</f>
        <v>99</v>
      </c>
      <c r="T17" s="1572" t="s">
        <v>8</v>
      </c>
      <c r="U17" s="1573">
        <f>H17</f>
        <v>99</v>
      </c>
      <c r="V17" s="1572" t="s">
        <v>8</v>
      </c>
      <c r="W17" s="1573">
        <f>J17</f>
        <v>99</v>
      </c>
      <c r="X17" s="1566"/>
      <c r="Y17" s="3613"/>
      <c r="Z17" s="1574" t="str">
        <f>Q17</f>
        <v>交通便捷度</v>
      </c>
      <c r="AA17" s="1575">
        <f t="shared" si="3"/>
        <v>1.0101010101010102</v>
      </c>
      <c r="AB17" s="1575">
        <f t="shared" si="4"/>
        <v>1.0101010101010102</v>
      </c>
      <c r="AC17" s="1575">
        <f t="shared" si="5"/>
        <v>1.0101010101010102</v>
      </c>
    </row>
    <row r="18" spans="1:29" ht="15">
      <c r="A18" s="532"/>
      <c r="B18" s="595"/>
      <c r="C18" s="873" t="s">
        <v>3031</v>
      </c>
      <c r="D18" s="559"/>
      <c r="E18" s="568" t="s">
        <v>3034</v>
      </c>
      <c r="F18" s="563"/>
      <c r="G18" s="569" t="s">
        <v>3034</v>
      </c>
      <c r="H18" s="555"/>
      <c r="I18" s="568" t="s">
        <v>3034</v>
      </c>
      <c r="J18" s="555"/>
      <c r="K18" s="898"/>
      <c r="L18" s="2141"/>
      <c r="M18" s="2133"/>
      <c r="N18" s="2133"/>
      <c r="O18" s="2140"/>
      <c r="P18" s="3613"/>
      <c r="Q18" s="1571"/>
      <c r="R18" s="1572"/>
      <c r="S18" s="1573"/>
      <c r="T18" s="1572"/>
      <c r="U18" s="1573"/>
      <c r="V18" s="1572"/>
      <c r="W18" s="1573"/>
      <c r="X18" s="1566"/>
      <c r="Y18" s="3613"/>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613"/>
      <c r="Q19" s="1571" t="str">
        <f>B19</f>
        <v>公共配套设施</v>
      </c>
      <c r="R19" s="1572" t="s">
        <v>8</v>
      </c>
      <c r="S19" s="1573">
        <f>F19</f>
        <v>100</v>
      </c>
      <c r="T19" s="1572" t="s">
        <v>8</v>
      </c>
      <c r="U19" s="1573">
        <f>H19</f>
        <v>100</v>
      </c>
      <c r="V19" s="1572" t="s">
        <v>8</v>
      </c>
      <c r="W19" s="1573">
        <f>J19</f>
        <v>100</v>
      </c>
      <c r="X19" s="1566"/>
      <c r="Y19" s="3613"/>
      <c r="Z19" s="1574" t="str">
        <f>Q19</f>
        <v>公共配套设施</v>
      </c>
      <c r="AA19" s="1575">
        <f t="shared" si="3"/>
        <v>1</v>
      </c>
      <c r="AB19" s="1575">
        <f t="shared" si="4"/>
        <v>1</v>
      </c>
      <c r="AC19" s="1575">
        <f t="shared" si="5"/>
        <v>1</v>
      </c>
    </row>
    <row r="20" spans="1:29" ht="15">
      <c r="A20" s="532"/>
      <c r="B20" s="595"/>
      <c r="C20" s="576" t="s">
        <v>3031</v>
      </c>
      <c r="D20" s="555"/>
      <c r="E20" s="556" t="s">
        <v>3031</v>
      </c>
      <c r="F20" s="557"/>
      <c r="G20" s="558" t="s">
        <v>3031</v>
      </c>
      <c r="H20" s="555"/>
      <c r="I20" s="556" t="s">
        <v>3031</v>
      </c>
      <c r="J20" s="555"/>
      <c r="K20" s="898"/>
      <c r="L20" s="2141"/>
      <c r="M20" s="2133"/>
      <c r="N20" s="2133"/>
      <c r="O20" s="2140"/>
      <c r="P20" s="3613"/>
      <c r="Q20" s="1571"/>
      <c r="R20" s="1572"/>
      <c r="S20" s="1573"/>
      <c r="T20" s="1572"/>
      <c r="U20" s="1573"/>
      <c r="V20" s="1572"/>
      <c r="W20" s="1573"/>
      <c r="X20" s="1566"/>
      <c r="Y20" s="3613"/>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613"/>
      <c r="Q21" s="2557" t="str">
        <f>B21</f>
        <v>基础设施水平</v>
      </c>
      <c r="R21" s="1572" t="s">
        <v>8</v>
      </c>
      <c r="S21" s="1573">
        <f>F21</f>
        <v>100</v>
      </c>
      <c r="T21" s="1572" t="s">
        <v>8</v>
      </c>
      <c r="U21" s="1573">
        <f>H21</f>
        <v>100</v>
      </c>
      <c r="V21" s="1572" t="s">
        <v>8</v>
      </c>
      <c r="W21" s="1573">
        <f>J21</f>
        <v>100</v>
      </c>
      <c r="X21" s="2559"/>
      <c r="Y21" s="3613"/>
      <c r="Z21" s="2558" t="str">
        <f>Q21</f>
        <v>基础设施水平</v>
      </c>
      <c r="AA21" s="1575">
        <f t="shared" ref="AA21" si="8">D21/F21</f>
        <v>1</v>
      </c>
      <c r="AB21" s="1575">
        <f t="shared" ref="AB21" si="9">D21/H21</f>
        <v>1</v>
      </c>
      <c r="AC21" s="1575">
        <f t="shared" ref="AC21" si="10">D21/J21</f>
        <v>1</v>
      </c>
    </row>
    <row r="22" spans="1:29" ht="15">
      <c r="A22" s="532"/>
      <c r="B22" s="921"/>
      <c r="C22" s="873" t="s">
        <v>3033</v>
      </c>
      <c r="D22" s="555"/>
      <c r="E22" s="576" t="s">
        <v>3033</v>
      </c>
      <c r="F22" s="557"/>
      <c r="G22" s="576" t="s">
        <v>3033</v>
      </c>
      <c r="H22" s="555"/>
      <c r="I22" s="576" t="s">
        <v>3033</v>
      </c>
      <c r="J22" s="555"/>
      <c r="K22" s="2580"/>
      <c r="L22" s="2141"/>
      <c r="M22" s="2133"/>
      <c r="N22" s="2133"/>
      <c r="O22" s="2140"/>
      <c r="P22" s="3613"/>
      <c r="Q22" s="2557"/>
      <c r="R22" s="1572"/>
      <c r="S22" s="1573"/>
      <c r="T22" s="1572"/>
      <c r="U22" s="1573"/>
      <c r="V22" s="1572"/>
      <c r="W22" s="1573"/>
      <c r="X22" s="2559"/>
      <c r="Y22" s="3613"/>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613"/>
      <c r="Q23" s="1571" t="str">
        <f>B23</f>
        <v>自然及人文环境</v>
      </c>
      <c r="R23" s="1572" t="s">
        <v>8</v>
      </c>
      <c r="S23" s="1573">
        <f>F23</f>
        <v>100</v>
      </c>
      <c r="T23" s="1572" t="s">
        <v>8</v>
      </c>
      <c r="U23" s="1573">
        <f>H23</f>
        <v>100</v>
      </c>
      <c r="V23" s="1572" t="s">
        <v>8</v>
      </c>
      <c r="W23" s="1573">
        <f>J23</f>
        <v>100</v>
      </c>
      <c r="X23" s="1566"/>
      <c r="Y23" s="3613"/>
      <c r="Z23" s="1574" t="str">
        <f>Q23</f>
        <v>自然及人文环境</v>
      </c>
      <c r="AA23" s="1575">
        <f t="shared" si="3"/>
        <v>1</v>
      </c>
      <c r="AB23" s="1575">
        <f t="shared" si="4"/>
        <v>1</v>
      </c>
      <c r="AC23" s="1575">
        <f t="shared" si="5"/>
        <v>1</v>
      </c>
    </row>
    <row r="24" spans="1:29" ht="15">
      <c r="A24" s="532"/>
      <c r="B24" s="595"/>
      <c r="C24" s="576" t="s">
        <v>3031</v>
      </c>
      <c r="D24" s="555"/>
      <c r="E24" s="556" t="s">
        <v>3031</v>
      </c>
      <c r="F24" s="557"/>
      <c r="G24" s="558" t="s">
        <v>3031</v>
      </c>
      <c r="H24" s="555"/>
      <c r="I24" s="556" t="s">
        <v>3031</v>
      </c>
      <c r="J24" s="555"/>
      <c r="K24" s="898"/>
      <c r="L24" s="2141"/>
      <c r="M24" s="2133"/>
      <c r="N24" s="2133"/>
      <c r="O24" s="2140"/>
      <c r="P24" s="3613"/>
      <c r="Q24" s="1571"/>
      <c r="R24" s="1572"/>
      <c r="S24" s="1573"/>
      <c r="T24" s="1572"/>
      <c r="U24" s="1573"/>
      <c r="V24" s="1572"/>
      <c r="W24" s="1573"/>
      <c r="X24" s="1566"/>
      <c r="Y24" s="3613"/>
      <c r="Z24" s="1574"/>
      <c r="AA24" s="1575">
        <v>1</v>
      </c>
      <c r="AB24" s="1575">
        <v>1</v>
      </c>
      <c r="AC24" s="1575">
        <v>1</v>
      </c>
    </row>
    <row r="25" spans="1:29" ht="15">
      <c r="A25" s="532"/>
      <c r="B25" s="527" t="s">
        <v>546</v>
      </c>
      <c r="C25" s="583" t="s">
        <v>3093</v>
      </c>
      <c r="D25" s="540">
        <v>100</v>
      </c>
      <c r="E25" s="583" t="s">
        <v>3093</v>
      </c>
      <c r="F25" s="575">
        <f>SUMIF(86:86,E25,87:87)-SUMIF(86:86,C25,87:87)+100</f>
        <v>100</v>
      </c>
      <c r="G25" s="583" t="s">
        <v>3093</v>
      </c>
      <c r="H25" s="540">
        <f>SUMIF(86:86,G25,87:87)-SUMIF(86:86,C25,87:87)+100</f>
        <v>100</v>
      </c>
      <c r="I25" s="583" t="s">
        <v>3093</v>
      </c>
      <c r="J25" s="540">
        <f>SUMIF(86:86,I25,87:87)-SUMIF(86:86,C25,87:87)+100</f>
        <v>100</v>
      </c>
      <c r="K25" s="584">
        <v>1</v>
      </c>
      <c r="L25" s="2141"/>
      <c r="M25" s="2133"/>
      <c r="N25" s="2133"/>
      <c r="O25" s="2140"/>
      <c r="P25" s="3613"/>
      <c r="Q25" s="1571" t="str">
        <f t="shared" ref="Q25:Q46" si="11">B25</f>
        <v>临街状况</v>
      </c>
      <c r="R25" s="1572" t="s">
        <v>8</v>
      </c>
      <c r="S25" s="1573">
        <f>F25</f>
        <v>100</v>
      </c>
      <c r="T25" s="1572" t="s">
        <v>8</v>
      </c>
      <c r="U25" s="1573">
        <f>H25</f>
        <v>100</v>
      </c>
      <c r="V25" s="1572" t="s">
        <v>8</v>
      </c>
      <c r="W25" s="1573">
        <f>J25</f>
        <v>100</v>
      </c>
      <c r="X25" s="1566"/>
      <c r="Y25" s="3613"/>
      <c r="Z25" s="1574" t="str">
        <f>Q25</f>
        <v>临街状况</v>
      </c>
      <c r="AA25" s="1575">
        <f t="shared" si="3"/>
        <v>1</v>
      </c>
      <c r="AB25" s="1575">
        <f t="shared" si="4"/>
        <v>1</v>
      </c>
      <c r="AC25" s="1575">
        <f t="shared" si="5"/>
        <v>1</v>
      </c>
    </row>
    <row r="26" spans="1:29" ht="15">
      <c r="A26" s="532"/>
      <c r="B26" s="877" t="s">
        <v>757</v>
      </c>
      <c r="C26" s="3205" t="s">
        <v>3095</v>
      </c>
      <c r="D26" s="540">
        <v>100</v>
      </c>
      <c r="E26" s="3205" t="s">
        <v>3095</v>
      </c>
      <c r="F26" s="575">
        <f>SUMIF(88:88,E26,89:89)-SUMIF(88:88,C26,89:89)+100</f>
        <v>100</v>
      </c>
      <c r="G26" s="3205" t="s">
        <v>3095</v>
      </c>
      <c r="H26" s="540">
        <f>SUMIF(88:88,G26,89:89)-SUMIF(88:88,C26,89:89)+100</f>
        <v>100</v>
      </c>
      <c r="I26" s="3205" t="s">
        <v>3095</v>
      </c>
      <c r="J26" s="540">
        <f>SUMIF(88:88,I26,89:89)-SUMIF(88:88,C26,89:89)+100</f>
        <v>100</v>
      </c>
      <c r="K26" s="581"/>
      <c r="L26" s="2141"/>
      <c r="M26" s="2133"/>
      <c r="N26" s="2133"/>
      <c r="O26" s="2140"/>
      <c r="P26" s="3613"/>
      <c r="Q26" s="1571" t="str">
        <f t="shared" si="11"/>
        <v>平面位置/可视性</v>
      </c>
      <c r="R26" s="1572" t="s">
        <v>8</v>
      </c>
      <c r="S26" s="1573">
        <f>F26</f>
        <v>100</v>
      </c>
      <c r="T26" s="1572" t="s">
        <v>8</v>
      </c>
      <c r="U26" s="1573">
        <f>H26</f>
        <v>100</v>
      </c>
      <c r="V26" s="1572" t="s">
        <v>8</v>
      </c>
      <c r="W26" s="1573">
        <f>J26</f>
        <v>100</v>
      </c>
      <c r="X26" s="1566"/>
      <c r="Y26" s="3613"/>
      <c r="Z26" s="1574" t="str">
        <f>Q26</f>
        <v>平面位置/可视性</v>
      </c>
      <c r="AA26" s="1575">
        <f t="shared" si="3"/>
        <v>1</v>
      </c>
      <c r="AB26" s="1575">
        <f t="shared" si="4"/>
        <v>1</v>
      </c>
      <c r="AC26" s="1575">
        <f t="shared" si="5"/>
        <v>1</v>
      </c>
    </row>
    <row r="27" spans="1:29" s="1219" customFormat="1" ht="15">
      <c r="A27" s="536"/>
      <c r="B27" s="871" t="s">
        <v>758</v>
      </c>
      <c r="C27" s="900" t="s">
        <v>3034</v>
      </c>
      <c r="D27" s="875">
        <v>100</v>
      </c>
      <c r="E27" s="900" t="s">
        <v>3034</v>
      </c>
      <c r="F27" s="876">
        <f>SUMIF(90:90,E27,91:91)-SUMIF(90:90,C27,91:91)+100</f>
        <v>100</v>
      </c>
      <c r="G27" s="900" t="s">
        <v>3034</v>
      </c>
      <c r="H27" s="875">
        <f>SUMIF(90:90,G27,91:91)-SUMIF(90:90,C27,91:91)+100</f>
        <v>100</v>
      </c>
      <c r="I27" s="900" t="s">
        <v>3034</v>
      </c>
      <c r="J27" s="875">
        <f>SUMIF(90:90,I27,91:91)-SUMIF(90:90,C27,91:91)+100</f>
        <v>100</v>
      </c>
      <c r="K27" s="584">
        <v>1</v>
      </c>
      <c r="L27" s="2134"/>
      <c r="M27" s="2135"/>
      <c r="N27" s="2135"/>
      <c r="O27" s="2136"/>
      <c r="P27" s="3613"/>
      <c r="Q27" s="1150" t="str">
        <f t="shared" si="11"/>
        <v>人流量</v>
      </c>
      <c r="R27" s="1567" t="s">
        <v>8</v>
      </c>
      <c r="S27" s="1568">
        <f>F27</f>
        <v>100</v>
      </c>
      <c r="T27" s="1567" t="s">
        <v>8</v>
      </c>
      <c r="U27" s="1568">
        <f>H27</f>
        <v>100</v>
      </c>
      <c r="V27" s="1567" t="s">
        <v>8</v>
      </c>
      <c r="W27" s="1568">
        <f>J27</f>
        <v>100</v>
      </c>
      <c r="X27" s="1569"/>
      <c r="Y27" s="3613"/>
      <c r="Z27" s="1149" t="str">
        <f>Q27</f>
        <v>人流量</v>
      </c>
      <c r="AA27" s="1575">
        <f>D27/F27</f>
        <v>1</v>
      </c>
      <c r="AB27" s="1575">
        <f>D27/H27</f>
        <v>1</v>
      </c>
      <c r="AC27" s="1575">
        <f>D27/J27</f>
        <v>1</v>
      </c>
    </row>
    <row r="28" spans="1:29" ht="15">
      <c r="A28" s="532"/>
      <c r="B28" s="527" t="s">
        <v>760</v>
      </c>
      <c r="C28" s="583" t="s">
        <v>3100</v>
      </c>
      <c r="D28" s="540">
        <v>100</v>
      </c>
      <c r="E28" s="583" t="s">
        <v>3100</v>
      </c>
      <c r="F28" s="575">
        <f>SUMIF(92:92,E28,93:93)-SUMIF(92:92,C28,93:93)+100</f>
        <v>100</v>
      </c>
      <c r="G28" s="583" t="s">
        <v>3100</v>
      </c>
      <c r="H28" s="540">
        <f>SUMIF(92:92,G28,93:93)-SUMIF(92:92,C28,93:93)+100</f>
        <v>100</v>
      </c>
      <c r="I28" s="583" t="s">
        <v>3100</v>
      </c>
      <c r="J28" s="540">
        <f>SUMIF(92:92,I28,93:93)-SUMIF(92:92,C28,93:93)+100</f>
        <v>100</v>
      </c>
      <c r="K28" s="581"/>
      <c r="L28" s="2141"/>
      <c r="M28" s="2133"/>
      <c r="N28" s="2133"/>
      <c r="O28" s="2140"/>
      <c r="P28" s="361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613"/>
      <c r="Z28" s="1574" t="str">
        <f t="shared" ref="Z28:Z46" si="15">Q28</f>
        <v>楼层</v>
      </c>
      <c r="AA28" s="1575">
        <f t="shared" si="3"/>
        <v>1</v>
      </c>
      <c r="AB28" s="1575">
        <f t="shared" si="4"/>
        <v>1</v>
      </c>
      <c r="AC28" s="1575">
        <f t="shared" si="5"/>
        <v>1</v>
      </c>
    </row>
    <row r="29" spans="1:29" ht="27.75" thickBot="1">
      <c r="A29" s="532"/>
      <c r="B29" s="3198" t="s">
        <v>3115</v>
      </c>
      <c r="C29" s="3207" t="s">
        <v>3037</v>
      </c>
      <c r="D29" s="540">
        <v>100</v>
      </c>
      <c r="E29" s="3205" t="s">
        <v>3090</v>
      </c>
      <c r="F29" s="575">
        <f>SUMIF(94:94,E29,95:95)-SUMIF(94:94,C29,95:95)+100</f>
        <v>98</v>
      </c>
      <c r="G29" s="3205" t="s">
        <v>3090</v>
      </c>
      <c r="H29" s="540">
        <f>SUMIF(94:94,G29,95:95)-SUMIF(94:94,C29,95:95)+100</f>
        <v>98</v>
      </c>
      <c r="I29" s="3205" t="s">
        <v>3150</v>
      </c>
      <c r="J29" s="540">
        <f>SUMIF(94:94,I29,95:95)-SUMIF(94:94,C29,95:95)+100</f>
        <v>98</v>
      </c>
      <c r="K29" s="581"/>
      <c r="L29" s="2141"/>
      <c r="M29" s="2133"/>
      <c r="N29" s="2133"/>
      <c r="O29" s="2140"/>
      <c r="P29" s="3613"/>
      <c r="Q29" s="1571" t="str">
        <f t="shared" si="11"/>
        <v>临路状况</v>
      </c>
      <c r="R29" s="1572" t="s">
        <v>8</v>
      </c>
      <c r="S29" s="1573">
        <f t="shared" si="12"/>
        <v>98</v>
      </c>
      <c r="T29" s="1572" t="s">
        <v>8</v>
      </c>
      <c r="U29" s="1573">
        <f t="shared" si="13"/>
        <v>98</v>
      </c>
      <c r="V29" s="1572" t="s">
        <v>8</v>
      </c>
      <c r="W29" s="1573">
        <f t="shared" si="14"/>
        <v>98</v>
      </c>
      <c r="X29" s="1566"/>
      <c r="Y29" s="3613"/>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613"/>
      <c r="Q30" s="1571">
        <f t="shared" si="11"/>
        <v>111</v>
      </c>
      <c r="R30" s="1572" t="s">
        <v>8</v>
      </c>
      <c r="S30" s="1573">
        <f t="shared" si="12"/>
        <v>100</v>
      </c>
      <c r="T30" s="1572" t="s">
        <v>8</v>
      </c>
      <c r="U30" s="1573">
        <f t="shared" si="13"/>
        <v>100</v>
      </c>
      <c r="V30" s="1572" t="s">
        <v>8</v>
      </c>
      <c r="W30" s="1573">
        <f t="shared" si="14"/>
        <v>100</v>
      </c>
      <c r="X30" s="1566"/>
      <c r="Y30" s="3613"/>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613"/>
      <c r="Q31" s="1571">
        <f t="shared" si="11"/>
        <v>111</v>
      </c>
      <c r="R31" s="1572" t="s">
        <v>8</v>
      </c>
      <c r="S31" s="1573">
        <f t="shared" si="12"/>
        <v>100</v>
      </c>
      <c r="T31" s="1572" t="s">
        <v>8</v>
      </c>
      <c r="U31" s="1573">
        <f t="shared" si="13"/>
        <v>100</v>
      </c>
      <c r="V31" s="1572" t="s">
        <v>8</v>
      </c>
      <c r="W31" s="1573">
        <f t="shared" si="14"/>
        <v>100</v>
      </c>
      <c r="X31" s="1566"/>
      <c r="Y31" s="3613"/>
      <c r="Z31" s="1574">
        <f t="shared" si="15"/>
        <v>111</v>
      </c>
      <c r="AA31" s="1575">
        <f t="shared" si="3"/>
        <v>1</v>
      </c>
      <c r="AB31" s="1575">
        <f t="shared" si="4"/>
        <v>1</v>
      </c>
      <c r="AC31" s="1575">
        <f t="shared" si="5"/>
        <v>1</v>
      </c>
    </row>
    <row r="32" spans="1:29" ht="15">
      <c r="A32" s="2884" t="s">
        <v>2755</v>
      </c>
      <c r="B32" s="172" t="s">
        <v>761</v>
      </c>
      <c r="C32" s="878" t="s">
        <v>3106</v>
      </c>
      <c r="D32" s="597">
        <v>100</v>
      </c>
      <c r="E32" s="878" t="s">
        <v>3102</v>
      </c>
      <c r="F32" s="575">
        <f>SUMIF(100:100,E32,101:101)-SUMIF(100:100,C32,101:101)+100</f>
        <v>98</v>
      </c>
      <c r="G32" s="878" t="s">
        <v>3102</v>
      </c>
      <c r="H32" s="540">
        <f>SUMIF(100:100,G32,101:101)-SUMIF(100:100,C32,101:101)+100</f>
        <v>98</v>
      </c>
      <c r="I32" s="878" t="s">
        <v>3104</v>
      </c>
      <c r="J32" s="597">
        <f>SUMIF(100:100,I32,101:101)-SUMIF(100:100,C32,101:101)+100</f>
        <v>99</v>
      </c>
      <c r="K32" s="584">
        <v>1</v>
      </c>
      <c r="L32" s="2141"/>
      <c r="M32" s="2133"/>
      <c r="N32" s="2133"/>
      <c r="O32" s="2140"/>
      <c r="P32" s="3614" t="s">
        <v>549</v>
      </c>
      <c r="Q32" s="1571" t="str">
        <f t="shared" si="11"/>
        <v>商业类型</v>
      </c>
      <c r="R32" s="1572" t="s">
        <v>8</v>
      </c>
      <c r="S32" s="1573">
        <f t="shared" si="12"/>
        <v>98</v>
      </c>
      <c r="T32" s="1572" t="s">
        <v>8</v>
      </c>
      <c r="U32" s="1573">
        <f t="shared" si="13"/>
        <v>98</v>
      </c>
      <c r="V32" s="1572" t="s">
        <v>8</v>
      </c>
      <c r="W32" s="1573">
        <f t="shared" si="14"/>
        <v>99</v>
      </c>
      <c r="X32" s="1566"/>
      <c r="Y32" s="3615"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615"/>
      <c r="Q33" s="1604" t="str">
        <f t="shared" si="11"/>
        <v>项目建筑规模</v>
      </c>
      <c r="R33" s="1576" t="s">
        <v>8</v>
      </c>
      <c r="S33" s="1577">
        <f t="shared" si="12"/>
        <v>101.5</v>
      </c>
      <c r="T33" s="1576" t="s">
        <v>8</v>
      </c>
      <c r="U33" s="1577">
        <f t="shared" si="13"/>
        <v>102</v>
      </c>
      <c r="V33" s="1576" t="s">
        <v>8</v>
      </c>
      <c r="W33" s="1577">
        <f t="shared" si="14"/>
        <v>102</v>
      </c>
      <c r="X33" s="1578"/>
      <c r="Y33" s="3615"/>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3048</v>
      </c>
      <c r="D34" s="540">
        <v>100</v>
      </c>
      <c r="E34" s="881" t="s">
        <v>3048</v>
      </c>
      <c r="F34" s="575">
        <f>SUMIF(105:105,E34,106:106)-SUMIF(105:105,C34,106:106)+100</f>
        <v>100</v>
      </c>
      <c r="G34" s="880" t="s">
        <v>3048</v>
      </c>
      <c r="H34" s="540">
        <f>SUMIF(105:105,G34,106:106)-SUMIF(105:105,C34,106:106)+100</f>
        <v>100</v>
      </c>
      <c r="I34" s="880" t="s">
        <v>3048</v>
      </c>
      <c r="J34" s="540">
        <f>SUMIF(105:105,I34,106:106)-SUMIF(105:105,C34,106:106)+100</f>
        <v>100</v>
      </c>
      <c r="K34" s="584"/>
      <c r="L34" s="2141"/>
      <c r="M34" s="2133"/>
      <c r="N34" s="2133"/>
      <c r="O34" s="2140"/>
      <c r="P34" s="3615"/>
      <c r="Q34" s="1571" t="str">
        <f t="shared" si="11"/>
        <v>建筑结构</v>
      </c>
      <c r="R34" s="1572" t="s">
        <v>8</v>
      </c>
      <c r="S34" s="1573">
        <f t="shared" si="12"/>
        <v>100</v>
      </c>
      <c r="T34" s="1572" t="s">
        <v>8</v>
      </c>
      <c r="U34" s="1573">
        <f t="shared" si="13"/>
        <v>100</v>
      </c>
      <c r="V34" s="1572" t="s">
        <v>8</v>
      </c>
      <c r="W34" s="1573">
        <f t="shared" si="14"/>
        <v>100</v>
      </c>
      <c r="X34" s="1566"/>
      <c r="Y34" s="3615"/>
      <c r="Z34" s="1574" t="str">
        <f t="shared" si="15"/>
        <v>建筑结构</v>
      </c>
      <c r="AA34" s="1575">
        <f t="shared" si="3"/>
        <v>1</v>
      </c>
      <c r="AB34" s="1575">
        <f t="shared" si="4"/>
        <v>1</v>
      </c>
      <c r="AC34" s="1575">
        <f t="shared" si="5"/>
        <v>1</v>
      </c>
    </row>
    <row r="35" spans="1:29" ht="15">
      <c r="A35" s="594"/>
      <c r="B35" s="527" t="s">
        <v>762</v>
      </c>
      <c r="C35" s="599" t="s">
        <v>3050</v>
      </c>
      <c r="D35" s="540">
        <v>100</v>
      </c>
      <c r="E35" s="599" t="s">
        <v>3050</v>
      </c>
      <c r="F35" s="575">
        <f>SUMIF(107:107,E35,108:108)-SUMIF(107:107,C35,108:108)+100</f>
        <v>100</v>
      </c>
      <c r="G35" s="599" t="s">
        <v>3050</v>
      </c>
      <c r="H35" s="540">
        <f>SUMIF(107:107,G35,108:108)-SUMIF(107:107,C35,108:108)+100</f>
        <v>100</v>
      </c>
      <c r="I35" s="599" t="s">
        <v>3050</v>
      </c>
      <c r="J35" s="540">
        <f>SUMIF(107:107,I35,108:108)-SUMIF(107:107,C35,108:108)+100</f>
        <v>100</v>
      </c>
      <c r="K35" s="584"/>
      <c r="L35" s="2141"/>
      <c r="M35" s="2133"/>
      <c r="N35" s="2133"/>
      <c r="O35" s="2140"/>
      <c r="P35" s="3615"/>
      <c r="Q35" s="1571" t="str">
        <f t="shared" si="11"/>
        <v>公共部分装修</v>
      </c>
      <c r="R35" s="1572" t="s">
        <v>8</v>
      </c>
      <c r="S35" s="1573">
        <f t="shared" si="12"/>
        <v>100</v>
      </c>
      <c r="T35" s="1572" t="s">
        <v>8</v>
      </c>
      <c r="U35" s="1573">
        <f t="shared" si="13"/>
        <v>100</v>
      </c>
      <c r="V35" s="1572" t="s">
        <v>8</v>
      </c>
      <c r="W35" s="1573">
        <f t="shared" si="14"/>
        <v>100</v>
      </c>
      <c r="X35" s="1566"/>
      <c r="Y35" s="3615"/>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615"/>
      <c r="Q36" s="1571" t="str">
        <f t="shared" si="11"/>
        <v>成新度</v>
      </c>
      <c r="R36" s="1572" t="s">
        <v>8</v>
      </c>
      <c r="S36" s="1573">
        <f t="shared" si="12"/>
        <v>100</v>
      </c>
      <c r="T36" s="1572" t="s">
        <v>8</v>
      </c>
      <c r="U36" s="1573">
        <f t="shared" si="13"/>
        <v>100</v>
      </c>
      <c r="V36" s="1572" t="s">
        <v>8</v>
      </c>
      <c r="W36" s="1573">
        <f t="shared" si="14"/>
        <v>100</v>
      </c>
      <c r="X36" s="1566"/>
      <c r="Y36" s="3615"/>
      <c r="Z36" s="1574" t="str">
        <f t="shared" si="15"/>
        <v>成新度</v>
      </c>
      <c r="AA36" s="1575">
        <f t="shared" si="3"/>
        <v>1</v>
      </c>
      <c r="AB36" s="1575">
        <f t="shared" si="4"/>
        <v>1</v>
      </c>
      <c r="AC36" s="1575">
        <f t="shared" si="5"/>
        <v>1</v>
      </c>
    </row>
    <row r="37" spans="1:29" s="1219" customFormat="1" ht="15">
      <c r="A37" s="600"/>
      <c r="B37" s="1894" t="s">
        <v>2565</v>
      </c>
      <c r="C37" s="599" t="s">
        <v>3112</v>
      </c>
      <c r="D37" s="255">
        <v>100</v>
      </c>
      <c r="E37" s="599" t="s">
        <v>3112</v>
      </c>
      <c r="F37" s="575">
        <f>SUMIF(112:112,E37,113:113)-SUMIF(112:112,C37,113:113)+100</f>
        <v>100</v>
      </c>
      <c r="G37" s="599" t="s">
        <v>3112</v>
      </c>
      <c r="H37" s="540">
        <f>SUMIF(112:112,G37,113:113)-SUMIF(112:112,C37,113:113)+100</f>
        <v>100</v>
      </c>
      <c r="I37" s="599" t="s">
        <v>3112</v>
      </c>
      <c r="J37" s="540">
        <f>SUMIF(112:112,I37,113:113)-SUMIF(112:112,C37,113:113)+100</f>
        <v>100</v>
      </c>
      <c r="K37" s="584"/>
      <c r="L37" s="2134"/>
      <c r="M37" s="2135"/>
      <c r="N37" s="2135"/>
      <c r="O37" s="2136"/>
      <c r="P37" s="3615"/>
      <c r="Q37" s="1150" t="str">
        <f t="shared" si="11"/>
        <v>市政基础设施</v>
      </c>
      <c r="R37" s="1567" t="s">
        <v>8</v>
      </c>
      <c r="S37" s="1568">
        <f t="shared" si="12"/>
        <v>100</v>
      </c>
      <c r="T37" s="1567" t="s">
        <v>8</v>
      </c>
      <c r="U37" s="1568">
        <f t="shared" si="13"/>
        <v>100</v>
      </c>
      <c r="V37" s="1567" t="s">
        <v>8</v>
      </c>
      <c r="W37" s="1568">
        <f t="shared" si="14"/>
        <v>100</v>
      </c>
      <c r="X37" s="1569"/>
      <c r="Y37" s="3615"/>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615" t="s">
        <v>765</v>
      </c>
      <c r="Q38" s="1571" t="str">
        <f t="shared" si="11"/>
        <v>业态</v>
      </c>
      <c r="R38" s="1572" t="s">
        <v>8</v>
      </c>
      <c r="S38" s="1573">
        <f t="shared" si="12"/>
        <v>100</v>
      </c>
      <c r="T38" s="1572" t="s">
        <v>8</v>
      </c>
      <c r="U38" s="1573">
        <f t="shared" si="13"/>
        <v>100</v>
      </c>
      <c r="V38" s="1572" t="s">
        <v>8</v>
      </c>
      <c r="W38" s="1573">
        <f t="shared" si="14"/>
        <v>100</v>
      </c>
      <c r="X38" s="1566"/>
      <c r="Y38" s="3615"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615"/>
      <c r="Q39" s="1571" t="str">
        <f t="shared" si="11"/>
        <v>层高</v>
      </c>
      <c r="R39" s="1572" t="s">
        <v>8</v>
      </c>
      <c r="S39" s="1573">
        <f t="shared" si="12"/>
        <v>100</v>
      </c>
      <c r="T39" s="1572" t="s">
        <v>8</v>
      </c>
      <c r="U39" s="1573">
        <f t="shared" si="13"/>
        <v>100</v>
      </c>
      <c r="V39" s="1572" t="s">
        <v>8</v>
      </c>
      <c r="W39" s="1573">
        <f t="shared" si="14"/>
        <v>100</v>
      </c>
      <c r="X39" s="1566"/>
      <c r="Y39" s="3615"/>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615"/>
      <c r="Q40" s="1571" t="str">
        <f t="shared" si="11"/>
        <v>单套建筑面积</v>
      </c>
      <c r="R40" s="1572" t="s">
        <v>8</v>
      </c>
      <c r="S40" s="1573">
        <f t="shared" si="12"/>
        <v>100</v>
      </c>
      <c r="T40" s="1572" t="s">
        <v>8</v>
      </c>
      <c r="U40" s="1573">
        <f t="shared" si="13"/>
        <v>100</v>
      </c>
      <c r="V40" s="1572" t="s">
        <v>8</v>
      </c>
      <c r="W40" s="1573">
        <f t="shared" si="14"/>
        <v>100</v>
      </c>
      <c r="X40" s="1566"/>
      <c r="Y40" s="3615"/>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615"/>
      <c r="Q41" s="1604" t="str">
        <f t="shared" si="11"/>
        <v>进深比</v>
      </c>
      <c r="R41" s="1576" t="s">
        <v>8</v>
      </c>
      <c r="S41" s="1577">
        <f t="shared" si="12"/>
        <v>100</v>
      </c>
      <c r="T41" s="1576" t="s">
        <v>8</v>
      </c>
      <c r="U41" s="1577">
        <f t="shared" si="13"/>
        <v>100</v>
      </c>
      <c r="V41" s="1576" t="s">
        <v>8</v>
      </c>
      <c r="W41" s="1577">
        <f t="shared" si="14"/>
        <v>100</v>
      </c>
      <c r="X41" s="1578"/>
      <c r="Y41" s="3615"/>
      <c r="Z41" s="1579" t="str">
        <f t="shared" si="15"/>
        <v>进深比</v>
      </c>
      <c r="AA41" s="1575">
        <f t="shared" si="3"/>
        <v>1</v>
      </c>
      <c r="AB41" s="1575">
        <f t="shared" si="4"/>
        <v>1</v>
      </c>
      <c r="AC41" s="1575">
        <f t="shared" si="5"/>
        <v>1</v>
      </c>
    </row>
    <row r="42" spans="1:29" ht="15">
      <c r="A42" s="594"/>
      <c r="B42" s="527" t="s">
        <v>769</v>
      </c>
      <c r="C42" s="599" t="s">
        <v>3050</v>
      </c>
      <c r="D42" s="540">
        <v>100</v>
      </c>
      <c r="E42" s="599" t="s">
        <v>3050</v>
      </c>
      <c r="F42" s="575">
        <f>SUMIF(122:122,E42,123:123)-SUMIF(122:122,C42,123:123)+100</f>
        <v>100</v>
      </c>
      <c r="G42" s="599" t="s">
        <v>3050</v>
      </c>
      <c r="H42" s="540">
        <f>SUMIF(122:122,G42,123:123)-SUMIF(122:122,C42,123:123)+100</f>
        <v>100</v>
      </c>
      <c r="I42" s="599" t="s">
        <v>3050</v>
      </c>
      <c r="J42" s="540">
        <f>SUMIF(122:122,I42,123:123)-SUMIF(122:122,C42,123:123)+100</f>
        <v>100</v>
      </c>
      <c r="K42" s="584"/>
      <c r="L42" s="2141"/>
      <c r="M42" s="2133"/>
      <c r="N42" s="2133"/>
      <c r="O42" s="2140"/>
      <c r="P42" s="3615"/>
      <c r="Q42" s="1571" t="str">
        <f t="shared" si="11"/>
        <v>内部装修</v>
      </c>
      <c r="R42" s="1572" t="s">
        <v>8</v>
      </c>
      <c r="S42" s="1573">
        <f t="shared" si="12"/>
        <v>100</v>
      </c>
      <c r="T42" s="1572" t="s">
        <v>8</v>
      </c>
      <c r="U42" s="1573">
        <f t="shared" si="13"/>
        <v>100</v>
      </c>
      <c r="V42" s="1572" t="s">
        <v>8</v>
      </c>
      <c r="W42" s="1573">
        <f t="shared" si="14"/>
        <v>100</v>
      </c>
      <c r="X42" s="1566"/>
      <c r="Y42" s="3615"/>
      <c r="Z42" s="1574" t="str">
        <f t="shared" si="15"/>
        <v>内部装修</v>
      </c>
      <c r="AA42" s="1575">
        <f t="shared" si="3"/>
        <v>1</v>
      </c>
      <c r="AB42" s="1575">
        <f t="shared" si="4"/>
        <v>1</v>
      </c>
      <c r="AC42" s="1575">
        <f t="shared" si="5"/>
        <v>1</v>
      </c>
    </row>
    <row r="43" spans="1:29" ht="27.75" thickBot="1">
      <c r="A43" s="594"/>
      <c r="B43" s="527" t="s">
        <v>734</v>
      </c>
      <c r="C43" s="599" t="s">
        <v>3031</v>
      </c>
      <c r="D43" s="540">
        <v>100</v>
      </c>
      <c r="E43" s="599" t="s">
        <v>3031</v>
      </c>
      <c r="F43" s="575">
        <f>SUMIF(124:124,E43,125:125)-SUMIF(124:124,C43,125:125)+100</f>
        <v>100</v>
      </c>
      <c r="G43" s="599" t="s">
        <v>3031</v>
      </c>
      <c r="H43" s="540">
        <f>SUMIF(124:124,G43,125:125)-SUMIF(124:124,C43,125:125)+100</f>
        <v>100</v>
      </c>
      <c r="I43" s="599" t="s">
        <v>3031</v>
      </c>
      <c r="J43" s="540">
        <f>SUMIF(124:124,I43,125:125)-SUMIF(124:124,C43,125:125)+100</f>
        <v>100</v>
      </c>
      <c r="K43" s="584"/>
      <c r="L43" s="2141"/>
      <c r="M43" s="2133"/>
      <c r="N43" s="2133"/>
      <c r="O43" s="2140"/>
      <c r="P43" s="3615"/>
      <c r="Q43" s="1571" t="str">
        <f t="shared" si="11"/>
        <v>内部装修维护情况</v>
      </c>
      <c r="R43" s="1572" t="s">
        <v>8</v>
      </c>
      <c r="S43" s="1573">
        <f t="shared" si="12"/>
        <v>100</v>
      </c>
      <c r="T43" s="1572" t="s">
        <v>8</v>
      </c>
      <c r="U43" s="1573">
        <f t="shared" si="13"/>
        <v>100</v>
      </c>
      <c r="V43" s="1572" t="s">
        <v>8</v>
      </c>
      <c r="W43" s="1573">
        <f t="shared" si="14"/>
        <v>100</v>
      </c>
      <c r="X43" s="1566"/>
      <c r="Y43" s="3615"/>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615"/>
      <c r="Q44" s="1150">
        <f t="shared" si="11"/>
        <v>111</v>
      </c>
      <c r="R44" s="1567" t="s">
        <v>8</v>
      </c>
      <c r="S44" s="1568">
        <f t="shared" si="12"/>
        <v>100</v>
      </c>
      <c r="T44" s="1567" t="s">
        <v>8</v>
      </c>
      <c r="U44" s="1568">
        <f t="shared" si="13"/>
        <v>100</v>
      </c>
      <c r="V44" s="1567" t="s">
        <v>8</v>
      </c>
      <c r="W44" s="1568">
        <f t="shared" si="14"/>
        <v>100</v>
      </c>
      <c r="X44" s="1569"/>
      <c r="Y44" s="3615"/>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615"/>
      <c r="Q45" s="1571">
        <f t="shared" si="11"/>
        <v>111</v>
      </c>
      <c r="R45" s="1572" t="s">
        <v>8</v>
      </c>
      <c r="S45" s="1573">
        <f t="shared" si="12"/>
        <v>100</v>
      </c>
      <c r="T45" s="1572" t="s">
        <v>8</v>
      </c>
      <c r="U45" s="1573">
        <f t="shared" si="13"/>
        <v>100</v>
      </c>
      <c r="V45" s="1572" t="s">
        <v>8</v>
      </c>
      <c r="W45" s="1573">
        <f t="shared" si="14"/>
        <v>100</v>
      </c>
      <c r="X45" s="1566"/>
      <c r="Y45" s="3615"/>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677"/>
      <c r="Q46" s="1571">
        <f t="shared" si="11"/>
        <v>111</v>
      </c>
      <c r="R46" s="1572" t="s">
        <v>8</v>
      </c>
      <c r="S46" s="1573">
        <f t="shared" si="12"/>
        <v>100</v>
      </c>
      <c r="T46" s="1572" t="s">
        <v>8</v>
      </c>
      <c r="U46" s="1573">
        <f t="shared" si="13"/>
        <v>100</v>
      </c>
      <c r="V46" s="1572" t="s">
        <v>8</v>
      </c>
      <c r="W46" s="1573">
        <f t="shared" si="14"/>
        <v>100</v>
      </c>
      <c r="X46" s="1566"/>
      <c r="Y46" s="3677"/>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578" t="str">
        <f>A47</f>
        <v>成交单价（元/平方米）</v>
      </c>
      <c r="Q47" s="3578"/>
      <c r="R47" s="3676">
        <f>E47</f>
        <v>30000</v>
      </c>
      <c r="S47" s="3676"/>
      <c r="T47" s="3676">
        <f>G47</f>
        <v>31250</v>
      </c>
      <c r="U47" s="3676"/>
      <c r="V47" s="3676">
        <f>I47</f>
        <v>29958</v>
      </c>
      <c r="W47" s="3676"/>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578" t="str">
        <f>A48</f>
        <v>比较价格（元/平方米）</v>
      </c>
      <c r="Q48" s="3578"/>
      <c r="R48" s="3676">
        <f>IF(F1="售价",ROUND(PRODUCT(R47,AA7:AA46),0),ROUND(PRODUCT(R47,AA7:AA46),1))</f>
        <v>31086</v>
      </c>
      <c r="S48" s="3676"/>
      <c r="T48" s="3676">
        <f>IF(F1="售价",ROUND(PRODUCT(T47,AB7:AB46),0),ROUND(PRODUCT(T47,AB7:AB46),1))</f>
        <v>32223</v>
      </c>
      <c r="U48" s="3676"/>
      <c r="V48" s="3676">
        <f>IF(F1="售价",ROUND(PRODUCT(V47,AC7:AC46),0),ROUND(PRODUCT(V47,AC7:AC46),1))</f>
        <v>30502</v>
      </c>
      <c r="W48" s="3676"/>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75" t="str">
        <f>A49</f>
        <v>估价对象XX用房的比较价格（楼面单价，元/平方米）</v>
      </c>
      <c r="Q49" s="3576"/>
      <c r="R49" s="3675">
        <f>IF(F1="售价",ROUND(AVERAGE(R48:V48),0),ROUND(AVERAGE(R48:V48),1))</f>
        <v>31270</v>
      </c>
      <c r="S49" s="3675"/>
      <c r="T49" s="3675"/>
      <c r="U49" s="3675"/>
      <c r="V49" s="3675"/>
      <c r="W49" s="3675"/>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3094</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3096</v>
      </c>
      <c r="D90" s="3196" t="s">
        <v>3097</v>
      </c>
      <c r="E90" s="3196" t="s">
        <v>3095</v>
      </c>
      <c r="F90" s="3196" t="s">
        <v>3098</v>
      </c>
      <c r="G90" s="3196" t="s">
        <v>3099</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3101</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3037</v>
      </c>
      <c r="D94" s="3205" t="s">
        <v>3090</v>
      </c>
      <c r="E94" s="3205" t="s">
        <v>3091</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3107</v>
      </c>
      <c r="D100" s="3199" t="s">
        <v>3105</v>
      </c>
      <c r="E100" s="3199" t="s">
        <v>3103</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3108</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3109</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3110</v>
      </c>
      <c r="D112" s="3196" t="s">
        <v>3111</v>
      </c>
      <c r="E112" s="3196" t="s">
        <v>3113</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3114</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3109</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20" zoomScale="110" zoomScaleNormal="110" workbookViewId="0">
      <selection activeCell="E29" sqref="E2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95612.400000000009</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157943</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30595</v>
      </c>
      <c r="U2" s="2903"/>
      <c r="V2" s="2914">
        <f ca="1">ROUND(T2*U2/10000,0)</f>
        <v>0</v>
      </c>
      <c r="W2" s="2188"/>
      <c r="X2" s="2188"/>
      <c r="Y2" s="2188"/>
      <c r="Z2" s="2188"/>
      <c r="AA2" s="2188"/>
      <c r="AB2" s="2188"/>
      <c r="AC2" s="2189"/>
    </row>
    <row r="3" spans="1:39" ht="24">
      <c r="A3" s="1410" t="s">
        <v>1687</v>
      </c>
      <c r="B3" s="1037">
        <f ca="1">ROUND(B2*10000/D1,0)</f>
        <v>16519</v>
      </c>
      <c r="C3" s="1406" t="s">
        <v>926</v>
      </c>
      <c r="D3" s="1407" t="s">
        <v>927</v>
      </c>
      <c r="E3" s="1411" t="s">
        <v>3025</v>
      </c>
      <c r="F3" s="1412" t="s">
        <v>3068</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21961</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17718</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10350</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14216</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SUMIF(L1:L12,'基准地价-55住宅'!G2,M1:M12)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12106</v>
      </c>
      <c r="U6" s="2903"/>
      <c r="V6" s="2914">
        <f t="shared" ca="1" si="1"/>
        <v>0</v>
      </c>
      <c r="W6" s="2188"/>
      <c r="X6" s="2188"/>
      <c r="Y6" s="2188"/>
      <c r="Z6" s="2188"/>
      <c r="AA6" s="2188"/>
      <c r="AB6" s="2188"/>
      <c r="AC6" s="2190"/>
      <c r="AD6" s="1418"/>
      <c r="AE6" s="1418"/>
      <c r="AF6" s="1418"/>
      <c r="AG6" s="1418"/>
      <c r="AH6" s="1418"/>
      <c r="AI6" s="1418"/>
      <c r="AJ6" s="1419"/>
    </row>
    <row r="7" spans="1:39" ht="24">
      <c r="A7" s="3689"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10646</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690"/>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81" t="s">
        <v>2782</v>
      </c>
      <c r="X8" s="368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90"/>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80"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90"/>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8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90"/>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80"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89" t="s">
        <v>1871</v>
      </c>
      <c r="B12" s="1438" t="s">
        <v>945</v>
      </c>
      <c r="C12" s="1042">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80"/>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91"/>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80"/>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91"/>
      <c r="B14" s="1450"/>
      <c r="C14" s="3267" t="s">
        <v>3063</v>
      </c>
      <c r="D14" s="1452" t="s">
        <v>3063</v>
      </c>
      <c r="E14" s="1452" t="s">
        <v>3063</v>
      </c>
      <c r="F14" s="1453" t="s">
        <v>3064</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92"/>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89" t="s">
        <v>1838</v>
      </c>
      <c r="B16" s="1426" t="s">
        <v>949</v>
      </c>
      <c r="C16" s="1053">
        <f>ROUND(SUM(G17:J17)/C17,0)</f>
        <v>0</v>
      </c>
      <c r="D16" s="1459" t="s">
        <v>950</v>
      </c>
      <c r="E16" s="1460" t="s">
        <v>3065</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90"/>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3066</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0.96350000000000002</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55.04</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3067</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1.0167999999999999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157943</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4942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18864</v>
      </c>
      <c r="D29" s="1503">
        <f>'数据-基础表'!I13</f>
        <v>83247.820000000007</v>
      </c>
      <c r="E29" s="1848">
        <f ca="1">ROUND(C29*D29/10000,0)</f>
        <v>157039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4716</v>
      </c>
      <c r="D30" s="1509">
        <v>10000</v>
      </c>
      <c r="E30" s="1848">
        <f ca="1">ROUND(C30*D30/10000,0)</f>
        <v>4716</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93" t="s">
        <v>2957</v>
      </c>
      <c r="B33" s="1523" t="s">
        <v>999</v>
      </c>
      <c r="C33" s="1062">
        <f ca="1">ROUND(D5*C19*C20*C24*F33,0)</f>
        <v>11496</v>
      </c>
      <c r="D33" s="1536"/>
      <c r="E33" s="1047">
        <f ca="1">ROUND(C33*D33/10000,0)</f>
        <v>0</v>
      </c>
      <c r="F33" s="1047">
        <f>SUMIF(修正!A45:A56,G2,修正!B45:B56)</f>
        <v>0.7</v>
      </c>
      <c r="G33" s="1047">
        <f t="shared" ref="G33" ca="1" si="6">ROUND(IF(E2="工业",C33*$M$39,C33*$M$38),0)</f>
        <v>2874</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94"/>
      <c r="B34" s="1444" t="s">
        <v>1000</v>
      </c>
      <c r="C34" s="1062">
        <f ca="1">ROUND(D5*C19*C20*C24*F34,0)</f>
        <v>6569</v>
      </c>
      <c r="D34" s="1536"/>
      <c r="E34" s="1047">
        <f t="shared" ref="E34:E39" ca="1" si="7">ROUND(C34*D34/10000,0)</f>
        <v>0</v>
      </c>
      <c r="F34" s="1047">
        <f>SUMIF(修正!A45:A56,G2,修正!C45:C56)</f>
        <v>0.4</v>
      </c>
      <c r="G34" s="1047">
        <f ca="1">ROUND(IF(E2="工业",C34*$M$39,C34*$M$38),0)</f>
        <v>1642</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94"/>
      <c r="B35" s="1444" t="s">
        <v>1001</v>
      </c>
      <c r="C35" s="1062">
        <f ca="1">ROUND(D5*C19*C20*C24*F35,0)</f>
        <v>4599</v>
      </c>
      <c r="D35" s="1536"/>
      <c r="E35" s="1047">
        <f t="shared" ca="1" si="7"/>
        <v>0</v>
      </c>
      <c r="F35" s="1047">
        <f>SUMIF(修正!A45:A56,G2,修正!D45:D56)</f>
        <v>0.28000000000000003</v>
      </c>
      <c r="G35" s="1047">
        <f ca="1">ROUND(IF(E2="工业",C35*$M$39,C35*$M$38),0)</f>
        <v>1150</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95"/>
      <c r="B36" s="1444" t="s">
        <v>1002</v>
      </c>
      <c r="C36" s="1062">
        <f ca="1">ROUND(D5*C19*C20*C24*F36,0)</f>
        <v>4106</v>
      </c>
      <c r="D36" s="1536"/>
      <c r="E36" s="1047">
        <f t="shared" ca="1" si="7"/>
        <v>0</v>
      </c>
      <c r="F36" s="1047">
        <f>SUMIF(修正!A45:A56,G2,修正!E45:E56)</f>
        <v>0.25</v>
      </c>
      <c r="G36" s="1047">
        <f ca="1">ROUND(IF(E2="工业",C36*$M$39,C36*$M$38),0)</f>
        <v>1027</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4106</v>
      </c>
      <c r="D37" s="1536"/>
      <c r="E37" s="1047">
        <f t="shared" ca="1" si="7"/>
        <v>0</v>
      </c>
      <c r="F37" s="1062">
        <f>SUMIF(修正!A45:A56,G2,修正!F45:F56)</f>
        <v>0.25</v>
      </c>
      <c r="G37" s="1047">
        <f ca="1">ROUND(IF(E2="工业",C37*$M$39,C37*$M$38),0)</f>
        <v>1027</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3823</v>
      </c>
      <c r="D38" s="1536">
        <f>结果表一!I5</f>
        <v>2364.58</v>
      </c>
      <c r="E38" s="1047">
        <f t="shared" ca="1" si="7"/>
        <v>904</v>
      </c>
      <c r="F38" s="1062">
        <f>SUMIF(修正!A45:A56,G2,修正!G45:G56)</f>
        <v>0.25</v>
      </c>
      <c r="G38" s="1047">
        <f ca="1">ROUND(IF(E2="工业",C38*$M$39,C38*$M$38),0)</f>
        <v>956</v>
      </c>
      <c r="H38" s="1047">
        <f t="shared" si="8"/>
        <v>2364.58</v>
      </c>
      <c r="I38" s="1047">
        <f t="shared" ca="1" si="9"/>
        <v>226</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3059</v>
      </c>
      <c r="D39" s="1537"/>
      <c r="E39" s="1050">
        <f t="shared" ca="1" si="7"/>
        <v>0</v>
      </c>
      <c r="F39" s="1064">
        <f>SUMIF(修正!A45:A56,G2,修正!H45:H56)</f>
        <v>0.2</v>
      </c>
      <c r="G39" s="1050">
        <f ca="1">ROUND(IF(E2="工业",C39*$M$39,C39*$M$38),0)</f>
        <v>765</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0.8972</v>
      </c>
      <c r="D41" s="378" t="s">
        <v>2982</v>
      </c>
      <c r="E41" s="3171">
        <f ca="1">G20</f>
        <v>0.05</v>
      </c>
      <c r="F41" s="378" t="s">
        <v>2983</v>
      </c>
      <c r="G41" s="396">
        <f>项目基本情况!H19</f>
        <v>35.03</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1.0167999999999999</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3296" t="s">
        <v>3034</v>
      </c>
      <c r="D69" s="2395">
        <f t="shared" ref="D69:D77" si="20">SUMIF($J$68:$N$68,C69,J69:N69)</f>
        <v>0</v>
      </c>
      <c r="E69" s="2414">
        <f>ROUND(SUM(D69:D77),4)</f>
        <v>1.6799999999999999E-2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3296" t="s">
        <v>3034</v>
      </c>
      <c r="D70" s="2395">
        <f t="shared" si="20"/>
        <v>0</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3034</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3296" t="s">
        <v>3031</v>
      </c>
      <c r="D72" s="2395">
        <f t="shared" si="20"/>
        <v>2.3999999999999998E-3</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3296" t="s">
        <v>3034</v>
      </c>
      <c r="D73" s="2395">
        <f t="shared" si="20"/>
        <v>0</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3069</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3034</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3296" t="s">
        <v>3034</v>
      </c>
      <c r="D76" s="2395">
        <f t="shared" si="20"/>
        <v>0</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3034</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628" t="s">
        <v>1633</v>
      </c>
      <c r="B90" s="3628"/>
      <c r="C90" s="3628"/>
      <c r="D90" s="3628"/>
      <c r="E90" s="3628"/>
      <c r="F90" s="3628"/>
      <c r="G90" s="3628"/>
      <c r="H90" s="3628"/>
      <c r="I90" s="3628"/>
      <c r="J90" s="3628"/>
      <c r="K90" s="2428"/>
      <c r="L90" s="2428"/>
      <c r="M90" s="2428"/>
      <c r="N90" s="2428"/>
    </row>
    <row r="91" spans="1:40">
      <c r="A91" s="3627" t="s">
        <v>1443</v>
      </c>
      <c r="B91" s="3627" t="s">
        <v>1634</v>
      </c>
      <c r="C91" s="1139" t="s">
        <v>1635</v>
      </c>
      <c r="D91" s="1140"/>
      <c r="E91" s="1140"/>
      <c r="F91" s="1140"/>
      <c r="G91" s="1140"/>
      <c r="H91" s="1140"/>
      <c r="I91" s="1140"/>
      <c r="J91" s="1141"/>
      <c r="K91" s="1133"/>
      <c r="L91" s="1133"/>
      <c r="M91" s="1133"/>
      <c r="N91" s="1133"/>
    </row>
    <row r="92" spans="1:40">
      <c r="A92" s="3627"/>
      <c r="B92" s="3627"/>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68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8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8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8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8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8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84"/>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8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83"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84"/>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84"/>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84"/>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84"/>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84"/>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84"/>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84"/>
      <c r="B108" s="3686"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85"/>
      <c r="B109" s="3687"/>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88" t="s">
        <v>1639</v>
      </c>
      <c r="B110" s="3688"/>
      <c r="C110" s="3688"/>
      <c r="D110" s="3688"/>
      <c r="E110" s="3688"/>
      <c r="F110" s="3688"/>
      <c r="G110" s="3688"/>
      <c r="H110" s="3688"/>
      <c r="I110" s="3688"/>
      <c r="J110" s="3688"/>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N118"/>
  <sheetViews>
    <sheetView topLeftCell="A16" zoomScale="110" zoomScaleNormal="110" workbookViewId="0">
      <selection activeCell="C14" sqref="C1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93247.82</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122949</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22422</v>
      </c>
      <c r="U2" s="2903"/>
      <c r="V2" s="2914">
        <f ca="1">ROUND(T2*U2/10000,0)</f>
        <v>0</v>
      </c>
      <c r="W2" s="2188"/>
      <c r="X2" s="2188"/>
      <c r="Y2" s="2188"/>
      <c r="Z2" s="2188"/>
      <c r="AA2" s="2188"/>
      <c r="AB2" s="2188"/>
      <c r="AC2" s="2189"/>
    </row>
    <row r="3" spans="1:39" ht="15.75">
      <c r="A3" s="1410" t="s">
        <v>1687</v>
      </c>
      <c r="B3" s="1037">
        <f ca="1">ROUND(B2*10000/D1,0)</f>
        <v>13185</v>
      </c>
      <c r="C3" s="1406" t="s">
        <v>926</v>
      </c>
      <c r="D3" s="1407" t="s">
        <v>927</v>
      </c>
      <c r="E3" s="1411" t="s">
        <v>3082</v>
      </c>
      <c r="F3" s="1412" t="s">
        <v>3068</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16095</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12985</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10418</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8872</v>
      </c>
      <c r="U6" s="2903"/>
      <c r="V6" s="2914">
        <f t="shared" ca="1" si="1"/>
        <v>0</v>
      </c>
      <c r="W6" s="2188"/>
      <c r="X6" s="2188"/>
      <c r="Y6" s="2188"/>
      <c r="Z6" s="2188"/>
      <c r="AA6" s="2188"/>
      <c r="AB6" s="2188"/>
      <c r="AC6" s="2190"/>
      <c r="AD6" s="1418"/>
      <c r="AE6" s="1418"/>
      <c r="AF6" s="1418"/>
      <c r="AG6" s="1418"/>
      <c r="AH6" s="1418"/>
      <c r="AI6" s="1418"/>
      <c r="AJ6" s="1419"/>
    </row>
    <row r="7" spans="1:39" ht="24">
      <c r="A7" s="3689">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7802</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690"/>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681" t="s">
        <v>2782</v>
      </c>
      <c r="X8" s="368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690"/>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680"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690"/>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680"/>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690"/>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680"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689" t="s">
        <v>1871</v>
      </c>
      <c r="B12" s="1438" t="s">
        <v>945</v>
      </c>
      <c r="C12" s="1042">
        <f>ROUND(C15*D15*E15*F15*G15*H15*I15*J15,4)</f>
        <v>1.1000000000000001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680"/>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691"/>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680"/>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691"/>
      <c r="B14" s="1450"/>
      <c r="C14" s="1451" t="s">
        <v>3063</v>
      </c>
      <c r="D14" s="1452" t="s">
        <v>3062</v>
      </c>
      <c r="E14" s="1452" t="s">
        <v>3063</v>
      </c>
      <c r="F14" s="1453" t="s">
        <v>3064</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692"/>
      <c r="B15" s="1458" t="s">
        <v>1700</v>
      </c>
      <c r="C15" s="1050">
        <f>IF(C14="有",1.1,1)</f>
        <v>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689" t="s">
        <v>1838</v>
      </c>
      <c r="B16" s="1426" t="s">
        <v>949</v>
      </c>
      <c r="C16" s="1053">
        <f>ROUND(SUM(G17:J17)/C17,0)</f>
        <v>0</v>
      </c>
      <c r="D16" s="1459" t="s">
        <v>950</v>
      </c>
      <c r="E16" s="1460" t="s">
        <v>3065</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690"/>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3066</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3067</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1.0448</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122949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3692</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14769</v>
      </c>
      <c r="D29" s="1503">
        <f>'数据-基础表'!I13</f>
        <v>83247.820000000007</v>
      </c>
      <c r="E29" s="1848">
        <f ca="1">ROUND(C29*D29/10000,0)</f>
        <v>122949</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3692</v>
      </c>
      <c r="D30" s="1509">
        <v>10000</v>
      </c>
      <c r="E30" s="1848">
        <f ca="1">ROUND(C30*D30/10000,0)</f>
        <v>3692</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693" t="s">
        <v>2957</v>
      </c>
      <c r="B33" s="1523" t="s">
        <v>999</v>
      </c>
      <c r="C33" s="1062">
        <f ca="1">ROUND(D5*C19*C20*C24*F33,0)</f>
        <v>8425</v>
      </c>
      <c r="D33" s="1536"/>
      <c r="E33" s="1047">
        <f ca="1">ROUND(C33*D33/10000,0)</f>
        <v>0</v>
      </c>
      <c r="F33" s="1047">
        <f>SUMIF(修正!A45:A56,G2,修正!B45:B56)</f>
        <v>0.7</v>
      </c>
      <c r="G33" s="1047">
        <f t="shared" ref="G33" ca="1" si="6">ROUND(IF(E2="工业",C33*$M$39,C33*$M$38),0)</f>
        <v>2106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694"/>
      <c r="B34" s="1444" t="s">
        <v>1000</v>
      </c>
      <c r="C34" s="1062">
        <f ca="1">ROUND(D5*C19*C20*C24*F34,0)</f>
        <v>4814</v>
      </c>
      <c r="D34" s="1536"/>
      <c r="E34" s="1047">
        <f t="shared" ref="E34:E39" ca="1" si="7">ROUND(C34*D34/10000,0)</f>
        <v>0</v>
      </c>
      <c r="F34" s="1047">
        <f>SUMIF(修正!A45:A56,G2,修正!C45:C56)</f>
        <v>0.4</v>
      </c>
      <c r="G34" s="1047">
        <f ca="1">ROUND(IF(E2="工业",C34*$M$39,C34*$M$38),0)</f>
        <v>1204</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694"/>
      <c r="B35" s="1444" t="s">
        <v>1001</v>
      </c>
      <c r="C35" s="1062">
        <f ca="1">ROUND(D5*C19*C20*C24*F35,0)</f>
        <v>3370</v>
      </c>
      <c r="D35" s="1536"/>
      <c r="E35" s="1047">
        <f t="shared" ca="1" si="7"/>
        <v>0</v>
      </c>
      <c r="F35" s="1047">
        <f>SUMIF(修正!A45:A56,G2,修正!D45:D56)</f>
        <v>0.28000000000000003</v>
      </c>
      <c r="G35" s="1047">
        <f ca="1">ROUND(IF(E2="工业",C35*$M$39,C35*$M$38),0)</f>
        <v>843</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695"/>
      <c r="B36" s="1444" t="s">
        <v>1002</v>
      </c>
      <c r="C36" s="1062">
        <f ca="1">ROUND(D5*C19*C20*C24*F36,0)</f>
        <v>3009</v>
      </c>
      <c r="D36" s="1536"/>
      <c r="E36" s="1047">
        <f t="shared" ca="1" si="7"/>
        <v>0</v>
      </c>
      <c r="F36" s="1047">
        <f>SUMIF(修正!A45:A56,G2,修正!E45:E56)</f>
        <v>0.25</v>
      </c>
      <c r="G36" s="1047">
        <f ca="1">ROUND(IF(E2="工业",C36*$M$39,C36*$M$38),0)</f>
        <v>752</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3009</v>
      </c>
      <c r="D37" s="1536"/>
      <c r="E37" s="1047">
        <f t="shared" ca="1" si="7"/>
        <v>0</v>
      </c>
      <c r="F37" s="1062">
        <f>SUMIF(修正!A45:A56,G2,修正!F45:F56)</f>
        <v>0.25</v>
      </c>
      <c r="G37" s="1047">
        <f ca="1">ROUND(IF(E2="工业",C37*$M$39,C37*$M$38),0)</f>
        <v>752</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1.0448</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3034</v>
      </c>
      <c r="D47" s="2395">
        <f t="shared" ref="D47:D55" si="10">SUMIF($J$46:$N$46,C47,J47:N47)</f>
        <v>0</v>
      </c>
      <c r="E47" s="2414">
        <f>ROUND(SUM(D47:D55),4)</f>
        <v>4.48E-2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3031</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3034</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3034</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3069</v>
      </c>
      <c r="D51" s="2395">
        <f t="shared" si="10"/>
        <v>0.01</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3034</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3031</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3069</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3031</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3031</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3031</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3031</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3069</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3031</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3069</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3031</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3034</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3034</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628" t="s">
        <v>1633</v>
      </c>
      <c r="B90" s="3628"/>
      <c r="C90" s="3628"/>
      <c r="D90" s="3628"/>
      <c r="E90" s="3628"/>
      <c r="F90" s="3628"/>
      <c r="G90" s="3628"/>
      <c r="H90" s="3628"/>
      <c r="I90" s="3628"/>
      <c r="J90" s="3628"/>
      <c r="K90" s="3179"/>
      <c r="L90" s="3179"/>
      <c r="M90" s="3179"/>
      <c r="N90" s="3179"/>
    </row>
    <row r="91" spans="1:40">
      <c r="A91" s="3627" t="s">
        <v>1443</v>
      </c>
      <c r="B91" s="3627" t="s">
        <v>1634</v>
      </c>
      <c r="C91" s="1139" t="s">
        <v>1635</v>
      </c>
      <c r="D91" s="1140"/>
      <c r="E91" s="1140"/>
      <c r="F91" s="1140"/>
      <c r="G91" s="1140"/>
      <c r="H91" s="1140"/>
      <c r="I91" s="1140"/>
      <c r="J91" s="1141"/>
      <c r="K91" s="1133"/>
      <c r="L91" s="1133"/>
      <c r="M91" s="1133"/>
      <c r="N91" s="1133"/>
    </row>
    <row r="92" spans="1:40">
      <c r="A92" s="3627"/>
      <c r="B92" s="3627"/>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68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68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68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68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68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68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684"/>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68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683"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684"/>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684"/>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684"/>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684"/>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684"/>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684"/>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684"/>
      <c r="B108" s="3686"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685"/>
      <c r="B109" s="3687"/>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688" t="s">
        <v>1639</v>
      </c>
      <c r="B110" s="3688"/>
      <c r="C110" s="3688"/>
      <c r="D110" s="3688"/>
      <c r="E110" s="3688"/>
      <c r="F110" s="3688"/>
      <c r="G110" s="3688"/>
      <c r="H110" s="3688"/>
      <c r="I110" s="3688"/>
      <c r="J110" s="3688"/>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584" t="s">
        <v>521</v>
      </c>
      <c r="D4" s="3585"/>
      <c r="E4" s="3618" t="s">
        <v>522</v>
      </c>
      <c r="F4" s="3619"/>
      <c r="G4" s="3584" t="s">
        <v>523</v>
      </c>
      <c r="H4" s="3585"/>
      <c r="I4" s="3584" t="s">
        <v>524</v>
      </c>
      <c r="J4" s="3585"/>
      <c r="K4" s="514" t="s">
        <v>525</v>
      </c>
      <c r="L4" s="2132"/>
      <c r="M4" s="2133"/>
      <c r="N4" s="2133"/>
      <c r="O4" s="2133"/>
      <c r="P4" s="3697" t="s">
        <v>526</v>
      </c>
      <c r="Q4" s="3587"/>
      <c r="R4" s="3592" t="s">
        <v>522</v>
      </c>
      <c r="S4" s="3593"/>
      <c r="T4" s="3592" t="s">
        <v>523</v>
      </c>
      <c r="U4" s="3593"/>
      <c r="V4" s="3579" t="s">
        <v>524</v>
      </c>
      <c r="W4" s="3579"/>
      <c r="X4" s="1566"/>
      <c r="Y4" s="3592" t="s">
        <v>526</v>
      </c>
      <c r="Z4" s="3593"/>
      <c r="AA4" s="3581" t="s">
        <v>522</v>
      </c>
      <c r="AB4" s="3581" t="s">
        <v>523</v>
      </c>
      <c r="AC4" s="3581" t="s">
        <v>524</v>
      </c>
    </row>
    <row r="5" spans="1:29" ht="15">
      <c r="A5" s="515"/>
      <c r="B5" s="516"/>
      <c r="C5" s="3600" t="s">
        <v>2925</v>
      </c>
      <c r="D5" s="3601"/>
      <c r="E5" s="3620" t="s">
        <v>2926</v>
      </c>
      <c r="F5" s="3621"/>
      <c r="G5" s="3600" t="s">
        <v>2927</v>
      </c>
      <c r="H5" s="3601"/>
      <c r="I5" s="3600" t="s">
        <v>2928</v>
      </c>
      <c r="J5" s="3601"/>
      <c r="K5" s="514"/>
      <c r="L5" s="2132"/>
      <c r="M5" s="2133"/>
      <c r="N5" s="2133"/>
      <c r="O5" s="2133"/>
      <c r="P5" s="3698"/>
      <c r="Q5" s="3589"/>
      <c r="R5" s="3594"/>
      <c r="S5" s="3595"/>
      <c r="T5" s="3594"/>
      <c r="U5" s="3595"/>
      <c r="V5" s="3579"/>
      <c r="W5" s="3579"/>
      <c r="X5" s="1566"/>
      <c r="Y5" s="3594"/>
      <c r="Z5" s="3595"/>
      <c r="AA5" s="3582"/>
      <c r="AB5" s="3582"/>
      <c r="AC5" s="3582"/>
    </row>
    <row r="6" spans="1:29" ht="15.75" thickBot="1">
      <c r="A6" s="517"/>
      <c r="B6" s="518"/>
      <c r="C6" s="3598" t="s">
        <v>2929</v>
      </c>
      <c r="D6" s="3599"/>
      <c r="E6" s="3616" t="s">
        <v>2929</v>
      </c>
      <c r="F6" s="3617"/>
      <c r="G6" s="3598" t="s">
        <v>2929</v>
      </c>
      <c r="H6" s="3599"/>
      <c r="I6" s="3598" t="s">
        <v>2929</v>
      </c>
      <c r="J6" s="3599"/>
      <c r="K6" s="514" t="s">
        <v>527</v>
      </c>
      <c r="L6" s="2132"/>
      <c r="M6" s="2133"/>
      <c r="N6" s="2133"/>
      <c r="O6" s="2133"/>
      <c r="P6" s="3699"/>
      <c r="Q6" s="3591"/>
      <c r="R6" s="3594"/>
      <c r="S6" s="3595"/>
      <c r="T6" s="3596"/>
      <c r="U6" s="3597"/>
      <c r="V6" s="3579"/>
      <c r="W6" s="3579"/>
      <c r="X6" s="1566"/>
      <c r="Y6" s="3596"/>
      <c r="Z6" s="3597"/>
      <c r="AA6" s="3583"/>
      <c r="AB6" s="3583"/>
      <c r="AC6" s="3583"/>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611" t="s">
        <v>529</v>
      </c>
      <c r="Q7" s="3611"/>
      <c r="R7" s="1567" t="s">
        <v>8</v>
      </c>
      <c r="S7" s="1568">
        <f t="shared" ref="S7:S15" si="0">F7</f>
        <v>0</v>
      </c>
      <c r="T7" s="1567" t="s">
        <v>8</v>
      </c>
      <c r="U7" s="1568">
        <f t="shared" ref="U7:U15" si="1">H7</f>
        <v>0</v>
      </c>
      <c r="V7" s="1567" t="s">
        <v>8</v>
      </c>
      <c r="W7" s="1568">
        <f t="shared" ref="W7:W15" si="2">J7</f>
        <v>0</v>
      </c>
      <c r="X7" s="1569"/>
      <c r="Y7" s="3609" t="s">
        <v>529</v>
      </c>
      <c r="Z7" s="3610"/>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611" t="s">
        <v>532</v>
      </c>
      <c r="Q8" s="3610"/>
      <c r="R8" s="1567" t="s">
        <v>8</v>
      </c>
      <c r="S8" s="1568">
        <f t="shared" si="0"/>
        <v>0</v>
      </c>
      <c r="T8" s="1567" t="s">
        <v>8</v>
      </c>
      <c r="U8" s="1568">
        <f t="shared" si="1"/>
        <v>0</v>
      </c>
      <c r="V8" s="1567" t="s">
        <v>8</v>
      </c>
      <c r="W8" s="1568">
        <f t="shared" si="2"/>
        <v>0</v>
      </c>
      <c r="X8" s="1569"/>
      <c r="Y8" s="3609" t="s">
        <v>532</v>
      </c>
      <c r="Z8" s="3610"/>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578" t="s">
        <v>534</v>
      </c>
      <c r="Q9" s="1150" t="str">
        <f t="shared" ref="Q9:Q15" si="6">B9</f>
        <v>用途</v>
      </c>
      <c r="R9" s="1567" t="s">
        <v>8</v>
      </c>
      <c r="S9" s="1568">
        <f t="shared" si="0"/>
        <v>100</v>
      </c>
      <c r="T9" s="1567" t="s">
        <v>8</v>
      </c>
      <c r="U9" s="1568">
        <f t="shared" si="1"/>
        <v>100</v>
      </c>
      <c r="V9" s="1567" t="s">
        <v>8</v>
      </c>
      <c r="W9" s="1568">
        <f t="shared" si="2"/>
        <v>100</v>
      </c>
      <c r="X9" s="1569"/>
      <c r="Y9" s="3442"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578"/>
      <c r="Q10" s="1150" t="str">
        <f t="shared" si="6"/>
        <v>土地使用年限（年）</v>
      </c>
      <c r="R10" s="1567" t="s">
        <v>8</v>
      </c>
      <c r="S10" s="1568">
        <f t="shared" si="0"/>
        <v>100</v>
      </c>
      <c r="T10" s="1567" t="s">
        <v>8</v>
      </c>
      <c r="U10" s="1568">
        <f t="shared" si="1"/>
        <v>100</v>
      </c>
      <c r="V10" s="1567" t="s">
        <v>8</v>
      </c>
      <c r="W10" s="1568">
        <f t="shared" si="2"/>
        <v>100</v>
      </c>
      <c r="X10" s="1569"/>
      <c r="Y10" s="3442"/>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578"/>
      <c r="Q11" s="1150" t="str">
        <f t="shared" si="6"/>
        <v>容积率</v>
      </c>
      <c r="R11" s="1567" t="s">
        <v>8</v>
      </c>
      <c r="S11" s="1568" t="e">
        <f t="shared" si="0"/>
        <v>#N/A</v>
      </c>
      <c r="T11" s="1567" t="s">
        <v>8</v>
      </c>
      <c r="U11" s="1568" t="e">
        <f t="shared" si="1"/>
        <v>#N/A</v>
      </c>
      <c r="V11" s="1567" t="s">
        <v>8</v>
      </c>
      <c r="W11" s="1568" t="e">
        <f t="shared" si="2"/>
        <v>#N/A</v>
      </c>
      <c r="X11" s="1569"/>
      <c r="Y11" s="3442"/>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578"/>
      <c r="Q12" s="1150">
        <f t="shared" si="6"/>
        <v>111</v>
      </c>
      <c r="R12" s="1567" t="s">
        <v>8</v>
      </c>
      <c r="S12" s="1568">
        <f t="shared" si="0"/>
        <v>100</v>
      </c>
      <c r="T12" s="1567" t="s">
        <v>8</v>
      </c>
      <c r="U12" s="1568">
        <f t="shared" si="1"/>
        <v>100</v>
      </c>
      <c r="V12" s="1567" t="s">
        <v>8</v>
      </c>
      <c r="W12" s="1568">
        <f t="shared" si="2"/>
        <v>100</v>
      </c>
      <c r="X12" s="1569"/>
      <c r="Y12" s="3442"/>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578"/>
      <c r="Q13" s="1150">
        <f t="shared" si="6"/>
        <v>111</v>
      </c>
      <c r="R13" s="1567" t="s">
        <v>8</v>
      </c>
      <c r="S13" s="1568">
        <f t="shared" si="0"/>
        <v>100</v>
      </c>
      <c r="T13" s="1567" t="s">
        <v>8</v>
      </c>
      <c r="U13" s="1568">
        <f t="shared" si="1"/>
        <v>100</v>
      </c>
      <c r="V13" s="1567" t="s">
        <v>8</v>
      </c>
      <c r="W13" s="1568">
        <f t="shared" si="2"/>
        <v>100</v>
      </c>
      <c r="X13" s="1569"/>
      <c r="Y13" s="3442"/>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578"/>
      <c r="Q14" s="1150">
        <f t="shared" si="6"/>
        <v>111</v>
      </c>
      <c r="R14" s="1567" t="s">
        <v>8</v>
      </c>
      <c r="S14" s="1568">
        <f t="shared" si="0"/>
        <v>100</v>
      </c>
      <c r="T14" s="1567" t="s">
        <v>8</v>
      </c>
      <c r="U14" s="1568">
        <f t="shared" si="1"/>
        <v>100</v>
      </c>
      <c r="V14" s="1567" t="s">
        <v>8</v>
      </c>
      <c r="W14" s="1568">
        <f t="shared" si="2"/>
        <v>100</v>
      </c>
      <c r="X14" s="1569"/>
      <c r="Y14" s="3442"/>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612" t="s">
        <v>539</v>
      </c>
      <c r="Q15" s="1571" t="str">
        <f t="shared" si="6"/>
        <v>办公集聚程度</v>
      </c>
      <c r="R15" s="1572" t="s">
        <v>8</v>
      </c>
      <c r="S15" s="1573">
        <f t="shared" si="0"/>
        <v>100</v>
      </c>
      <c r="T15" s="1572" t="s">
        <v>8</v>
      </c>
      <c r="U15" s="1573">
        <f t="shared" si="1"/>
        <v>100</v>
      </c>
      <c r="V15" s="1572" t="s">
        <v>8</v>
      </c>
      <c r="W15" s="1573">
        <f t="shared" si="2"/>
        <v>100</v>
      </c>
      <c r="X15" s="1566"/>
      <c r="Y15" s="3612"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613"/>
      <c r="Q16" s="1571"/>
      <c r="R16" s="1572"/>
      <c r="S16" s="1573"/>
      <c r="T16" s="1572"/>
      <c r="U16" s="1573"/>
      <c r="V16" s="1572"/>
      <c r="W16" s="1573"/>
      <c r="X16" s="1566"/>
      <c r="Y16" s="3613"/>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613"/>
      <c r="Q17" s="1571" t="str">
        <f>B17</f>
        <v>交通便捷度</v>
      </c>
      <c r="R17" s="1572" t="s">
        <v>8</v>
      </c>
      <c r="S17" s="1573">
        <f>F17</f>
        <v>100</v>
      </c>
      <c r="T17" s="1572" t="s">
        <v>8</v>
      </c>
      <c r="U17" s="1573">
        <f>H17</f>
        <v>100</v>
      </c>
      <c r="V17" s="1572" t="s">
        <v>8</v>
      </c>
      <c r="W17" s="1573">
        <f>J17</f>
        <v>100</v>
      </c>
      <c r="X17" s="1566"/>
      <c r="Y17" s="361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613"/>
      <c r="Q18" s="1571"/>
      <c r="R18" s="1572"/>
      <c r="S18" s="1573"/>
      <c r="T18" s="1572"/>
      <c r="U18" s="1573"/>
      <c r="V18" s="1572"/>
      <c r="W18" s="1573"/>
      <c r="X18" s="1566"/>
      <c r="Y18" s="3613"/>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613"/>
      <c r="Q19" s="1571" t="str">
        <f>B19</f>
        <v>公共配套设施</v>
      </c>
      <c r="R19" s="1572" t="s">
        <v>8</v>
      </c>
      <c r="S19" s="1573">
        <f>F19</f>
        <v>100</v>
      </c>
      <c r="T19" s="1572" t="s">
        <v>8</v>
      </c>
      <c r="U19" s="1573">
        <f>H19</f>
        <v>100</v>
      </c>
      <c r="V19" s="1572" t="s">
        <v>8</v>
      </c>
      <c r="W19" s="1573">
        <f>J19</f>
        <v>100</v>
      </c>
      <c r="X19" s="1566"/>
      <c r="Y19" s="361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613"/>
      <c r="Q20" s="1571"/>
      <c r="R20" s="1572"/>
      <c r="S20" s="1573"/>
      <c r="T20" s="1572"/>
      <c r="U20" s="1573"/>
      <c r="V20" s="1572"/>
      <c r="W20" s="1573"/>
      <c r="X20" s="1566"/>
      <c r="Y20" s="3613"/>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613"/>
      <c r="Q21" s="2557" t="str">
        <f>B21</f>
        <v>基础设施水平</v>
      </c>
      <c r="R21" s="1572" t="s">
        <v>8</v>
      </c>
      <c r="S21" s="1573">
        <f>F21</f>
        <v>100</v>
      </c>
      <c r="T21" s="1572" t="s">
        <v>8</v>
      </c>
      <c r="U21" s="1573">
        <f>H21</f>
        <v>100</v>
      </c>
      <c r="V21" s="1572" t="s">
        <v>8</v>
      </c>
      <c r="W21" s="1573">
        <f>J21</f>
        <v>100</v>
      </c>
      <c r="X21" s="2559"/>
      <c r="Y21" s="3613"/>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613"/>
      <c r="Q22" s="2557"/>
      <c r="R22" s="1572"/>
      <c r="S22" s="1573"/>
      <c r="T22" s="1572"/>
      <c r="U22" s="1573"/>
      <c r="V22" s="1572"/>
      <c r="W22" s="1573"/>
      <c r="X22" s="2559"/>
      <c r="Y22" s="3613"/>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613"/>
      <c r="Q23" s="1571" t="str">
        <f>B23</f>
        <v>环境质量</v>
      </c>
      <c r="R23" s="1572" t="s">
        <v>8</v>
      </c>
      <c r="S23" s="1573">
        <f>F23</f>
        <v>100</v>
      </c>
      <c r="T23" s="1572" t="s">
        <v>8</v>
      </c>
      <c r="U23" s="1573">
        <f>H23</f>
        <v>100</v>
      </c>
      <c r="V23" s="1572" t="s">
        <v>8</v>
      </c>
      <c r="W23" s="1573">
        <f>J23</f>
        <v>100</v>
      </c>
      <c r="X23" s="1566"/>
      <c r="Y23" s="361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613"/>
      <c r="Q24" s="1571"/>
      <c r="R24" s="1572"/>
      <c r="S24" s="1573"/>
      <c r="T24" s="1572"/>
      <c r="U24" s="1573"/>
      <c r="V24" s="1572"/>
      <c r="W24" s="1573"/>
      <c r="X24" s="1566"/>
      <c r="Y24" s="3613"/>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613"/>
      <c r="Q25" s="1571" t="str">
        <f>B25</f>
        <v>毗邻道路的类型与等级</v>
      </c>
      <c r="R25" s="1572" t="s">
        <v>8</v>
      </c>
      <c r="S25" s="1573">
        <f>F25</f>
        <v>100</v>
      </c>
      <c r="T25" s="1572" t="s">
        <v>8</v>
      </c>
      <c r="U25" s="1573">
        <f>H25</f>
        <v>100</v>
      </c>
      <c r="V25" s="1572" t="s">
        <v>8</v>
      </c>
      <c r="W25" s="1573">
        <f>J25</f>
        <v>100</v>
      </c>
      <c r="X25" s="1566"/>
      <c r="Y25" s="3613"/>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613"/>
      <c r="Q26" s="1571"/>
      <c r="R26" s="1572"/>
      <c r="S26" s="1573"/>
      <c r="T26" s="1572"/>
      <c r="U26" s="1573"/>
      <c r="V26" s="1572"/>
      <c r="W26" s="1573"/>
      <c r="X26" s="1566"/>
      <c r="Y26" s="3613"/>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613"/>
      <c r="Q27" s="1571" t="str">
        <f t="shared" ref="Q27:Q47" si="11">B27</f>
        <v>楼层</v>
      </c>
      <c r="R27" s="1572" t="s">
        <v>8</v>
      </c>
      <c r="S27" s="1573">
        <f>F27</f>
        <v>100</v>
      </c>
      <c r="T27" s="1572" t="s">
        <v>8</v>
      </c>
      <c r="U27" s="1573">
        <f>H27</f>
        <v>100</v>
      </c>
      <c r="V27" s="1572" t="s">
        <v>8</v>
      </c>
      <c r="W27" s="1573">
        <f>J27</f>
        <v>100</v>
      </c>
      <c r="X27" s="1566"/>
      <c r="Y27" s="3613"/>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613"/>
      <c r="Q28" s="1150" t="str">
        <f t="shared" si="11"/>
        <v>朝向</v>
      </c>
      <c r="R28" s="1567" t="s">
        <v>8</v>
      </c>
      <c r="S28" s="1568">
        <f>F28</f>
        <v>100</v>
      </c>
      <c r="T28" s="1567" t="s">
        <v>8</v>
      </c>
      <c r="U28" s="1568">
        <f>H28</f>
        <v>100</v>
      </c>
      <c r="V28" s="1567" t="s">
        <v>8</v>
      </c>
      <c r="W28" s="1568">
        <f>J28</f>
        <v>100</v>
      </c>
      <c r="X28" s="1569"/>
      <c r="Y28" s="3613"/>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613"/>
      <c r="Q29" s="1571">
        <f t="shared" si="11"/>
        <v>111</v>
      </c>
      <c r="R29" s="1572" t="s">
        <v>8</v>
      </c>
      <c r="S29" s="1573">
        <f t="shared" ref="S29:S47" si="12">F29</f>
        <v>100</v>
      </c>
      <c r="T29" s="1572" t="s">
        <v>8</v>
      </c>
      <c r="U29" s="1573">
        <f t="shared" ref="U29:U47" si="13">H29</f>
        <v>100</v>
      </c>
      <c r="V29" s="1572" t="s">
        <v>8</v>
      </c>
      <c r="W29" s="1573">
        <f t="shared" ref="W29:W47" si="14">J29</f>
        <v>100</v>
      </c>
      <c r="X29" s="1566"/>
      <c r="Y29" s="3613"/>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613"/>
      <c r="Q30" s="1571">
        <f t="shared" si="11"/>
        <v>111</v>
      </c>
      <c r="R30" s="1572" t="s">
        <v>8</v>
      </c>
      <c r="S30" s="1573">
        <f t="shared" si="12"/>
        <v>100</v>
      </c>
      <c r="T30" s="1572" t="s">
        <v>8</v>
      </c>
      <c r="U30" s="1573">
        <f t="shared" si="13"/>
        <v>100</v>
      </c>
      <c r="V30" s="1572" t="s">
        <v>8</v>
      </c>
      <c r="W30" s="1573">
        <f t="shared" si="14"/>
        <v>100</v>
      </c>
      <c r="X30" s="1566"/>
      <c r="Y30" s="3613"/>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613"/>
      <c r="Q31" s="1571">
        <f t="shared" si="11"/>
        <v>111</v>
      </c>
      <c r="R31" s="1572" t="s">
        <v>8</v>
      </c>
      <c r="S31" s="1573">
        <f t="shared" si="12"/>
        <v>100</v>
      </c>
      <c r="T31" s="1572" t="s">
        <v>8</v>
      </c>
      <c r="U31" s="1573">
        <f t="shared" si="13"/>
        <v>100</v>
      </c>
      <c r="V31" s="1572" t="s">
        <v>8</v>
      </c>
      <c r="W31" s="1573">
        <f t="shared" si="14"/>
        <v>100</v>
      </c>
      <c r="X31" s="1566"/>
      <c r="Y31" s="3613"/>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613"/>
      <c r="Q32" s="1571">
        <f t="shared" si="11"/>
        <v>111</v>
      </c>
      <c r="R32" s="1572" t="s">
        <v>8</v>
      </c>
      <c r="S32" s="1573">
        <f t="shared" si="12"/>
        <v>100</v>
      </c>
      <c r="T32" s="1572" t="s">
        <v>8</v>
      </c>
      <c r="U32" s="1573">
        <f t="shared" si="13"/>
        <v>100</v>
      </c>
      <c r="V32" s="1572" t="s">
        <v>8</v>
      </c>
      <c r="W32" s="1573">
        <f t="shared" si="14"/>
        <v>100</v>
      </c>
      <c r="X32" s="1566"/>
      <c r="Y32" s="3613"/>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614" t="s">
        <v>549</v>
      </c>
      <c r="Q33" s="1571" t="str">
        <f t="shared" si="11"/>
        <v>建筑类型</v>
      </c>
      <c r="R33" s="1572" t="s">
        <v>8</v>
      </c>
      <c r="S33" s="1573">
        <f t="shared" si="12"/>
        <v>100</v>
      </c>
      <c r="T33" s="1572" t="s">
        <v>8</v>
      </c>
      <c r="U33" s="1573">
        <f t="shared" si="13"/>
        <v>100</v>
      </c>
      <c r="V33" s="1572" t="s">
        <v>8</v>
      </c>
      <c r="W33" s="1573">
        <f t="shared" si="14"/>
        <v>100</v>
      </c>
      <c r="X33" s="1566"/>
      <c r="Y33" s="3615"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615"/>
      <c r="Q34" s="1604" t="str">
        <f t="shared" si="11"/>
        <v>项目建筑规模</v>
      </c>
      <c r="R34" s="1576" t="s">
        <v>8</v>
      </c>
      <c r="S34" s="1577" t="e">
        <f t="shared" si="12"/>
        <v>#N/A</v>
      </c>
      <c r="T34" s="1576" t="s">
        <v>8</v>
      </c>
      <c r="U34" s="1577" t="e">
        <f t="shared" si="13"/>
        <v>#N/A</v>
      </c>
      <c r="V34" s="1576" t="s">
        <v>8</v>
      </c>
      <c r="W34" s="1577" t="e">
        <f t="shared" si="14"/>
        <v>#N/A</v>
      </c>
      <c r="X34" s="1578"/>
      <c r="Y34" s="3615"/>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615"/>
      <c r="Q35" s="1571" t="str">
        <f t="shared" si="11"/>
        <v>建筑结构</v>
      </c>
      <c r="R35" s="1572" t="s">
        <v>8</v>
      </c>
      <c r="S35" s="1573">
        <f t="shared" si="12"/>
        <v>100</v>
      </c>
      <c r="T35" s="1572" t="s">
        <v>8</v>
      </c>
      <c r="U35" s="1573">
        <f t="shared" si="13"/>
        <v>100</v>
      </c>
      <c r="V35" s="1572" t="s">
        <v>8</v>
      </c>
      <c r="W35" s="1573">
        <f t="shared" si="14"/>
        <v>100</v>
      </c>
      <c r="X35" s="1566"/>
      <c r="Y35" s="3615"/>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615"/>
      <c r="Q36" s="1571" t="str">
        <f t="shared" si="11"/>
        <v>公共部分装修</v>
      </c>
      <c r="R36" s="1572" t="s">
        <v>8</v>
      </c>
      <c r="S36" s="1573">
        <f t="shared" si="12"/>
        <v>100</v>
      </c>
      <c r="T36" s="1572" t="s">
        <v>8</v>
      </c>
      <c r="U36" s="1573">
        <f t="shared" si="13"/>
        <v>100</v>
      </c>
      <c r="V36" s="1572" t="s">
        <v>8</v>
      </c>
      <c r="W36" s="1573">
        <f t="shared" si="14"/>
        <v>100</v>
      </c>
      <c r="X36" s="1566"/>
      <c r="Y36" s="3615"/>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615"/>
      <c r="Q37" s="1571" t="str">
        <f t="shared" si="11"/>
        <v>成新度</v>
      </c>
      <c r="R37" s="1572" t="s">
        <v>8</v>
      </c>
      <c r="S37" s="1573" t="e">
        <f t="shared" si="12"/>
        <v>#N/A</v>
      </c>
      <c r="T37" s="1572" t="s">
        <v>8</v>
      </c>
      <c r="U37" s="1573" t="e">
        <f t="shared" si="13"/>
        <v>#N/A</v>
      </c>
      <c r="V37" s="1572" t="s">
        <v>8</v>
      </c>
      <c r="W37" s="1573" t="e">
        <f t="shared" si="14"/>
        <v>#N/A</v>
      </c>
      <c r="X37" s="1566"/>
      <c r="Y37" s="3615"/>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615"/>
      <c r="Q38" s="1150" t="str">
        <f t="shared" si="11"/>
        <v>写字楼等级</v>
      </c>
      <c r="R38" s="1567" t="s">
        <v>8</v>
      </c>
      <c r="S38" s="1568">
        <f t="shared" si="12"/>
        <v>100</v>
      </c>
      <c r="T38" s="1567" t="s">
        <v>8</v>
      </c>
      <c r="U38" s="1568">
        <f t="shared" si="13"/>
        <v>100</v>
      </c>
      <c r="V38" s="1567" t="s">
        <v>8</v>
      </c>
      <c r="W38" s="1568">
        <f t="shared" si="14"/>
        <v>100</v>
      </c>
      <c r="X38" s="1569"/>
      <c r="Y38" s="3615"/>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615" t="s">
        <v>549</v>
      </c>
      <c r="Q39" s="1571" t="str">
        <f t="shared" si="11"/>
        <v>物业管理</v>
      </c>
      <c r="R39" s="1572" t="s">
        <v>8</v>
      </c>
      <c r="S39" s="1573">
        <f t="shared" si="12"/>
        <v>100</v>
      </c>
      <c r="T39" s="1572" t="s">
        <v>8</v>
      </c>
      <c r="U39" s="1573">
        <f t="shared" si="13"/>
        <v>100</v>
      </c>
      <c r="V39" s="1572" t="s">
        <v>8</v>
      </c>
      <c r="W39" s="1573">
        <f t="shared" si="14"/>
        <v>100</v>
      </c>
      <c r="X39" s="1566"/>
      <c r="Y39" s="3615"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615"/>
      <c r="Q40" s="1571" t="str">
        <f t="shared" si="11"/>
        <v>市政基础设施</v>
      </c>
      <c r="R40" s="1572" t="s">
        <v>8</v>
      </c>
      <c r="S40" s="1573">
        <f t="shared" si="12"/>
        <v>100</v>
      </c>
      <c r="T40" s="1572" t="s">
        <v>8</v>
      </c>
      <c r="U40" s="1573">
        <f t="shared" si="13"/>
        <v>100</v>
      </c>
      <c r="V40" s="1572" t="s">
        <v>8</v>
      </c>
      <c r="W40" s="1573">
        <f t="shared" si="14"/>
        <v>100</v>
      </c>
      <c r="X40" s="1566"/>
      <c r="Y40" s="3615"/>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615"/>
      <c r="Q41" s="1571" t="str">
        <f t="shared" si="11"/>
        <v>层高</v>
      </c>
      <c r="R41" s="1572" t="s">
        <v>8</v>
      </c>
      <c r="S41" s="1573">
        <f t="shared" si="12"/>
        <v>100</v>
      </c>
      <c r="T41" s="1572" t="s">
        <v>8</v>
      </c>
      <c r="U41" s="1573">
        <f t="shared" si="13"/>
        <v>100</v>
      </c>
      <c r="V41" s="1572" t="s">
        <v>8</v>
      </c>
      <c r="W41" s="1573">
        <f t="shared" si="14"/>
        <v>100</v>
      </c>
      <c r="X41" s="1566"/>
      <c r="Y41" s="3615"/>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615"/>
      <c r="Q42" s="1604" t="str">
        <f t="shared" si="11"/>
        <v>单套建筑面积</v>
      </c>
      <c r="R42" s="1576" t="s">
        <v>8</v>
      </c>
      <c r="S42" s="1577">
        <f t="shared" si="12"/>
        <v>100</v>
      </c>
      <c r="T42" s="1576" t="s">
        <v>8</v>
      </c>
      <c r="U42" s="1577">
        <f t="shared" si="13"/>
        <v>100</v>
      </c>
      <c r="V42" s="1576" t="s">
        <v>8</v>
      </c>
      <c r="W42" s="1577">
        <f t="shared" si="14"/>
        <v>100</v>
      </c>
      <c r="X42" s="1578"/>
      <c r="Y42" s="3615"/>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615"/>
      <c r="Q43" s="1571" t="str">
        <f t="shared" si="11"/>
        <v>内部装修</v>
      </c>
      <c r="R43" s="1572" t="s">
        <v>8</v>
      </c>
      <c r="S43" s="1573">
        <f t="shared" si="12"/>
        <v>100</v>
      </c>
      <c r="T43" s="1572" t="s">
        <v>8</v>
      </c>
      <c r="U43" s="1573">
        <f t="shared" si="13"/>
        <v>100</v>
      </c>
      <c r="V43" s="1572" t="s">
        <v>8</v>
      </c>
      <c r="W43" s="1573">
        <f t="shared" si="14"/>
        <v>100</v>
      </c>
      <c r="X43" s="1566"/>
      <c r="Y43" s="3615"/>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615"/>
      <c r="Q44" s="1571" t="str">
        <f t="shared" si="11"/>
        <v>内部装修维护情况</v>
      </c>
      <c r="R44" s="1572" t="s">
        <v>8</v>
      </c>
      <c r="S44" s="1573">
        <f t="shared" si="12"/>
        <v>100</v>
      </c>
      <c r="T44" s="1572" t="s">
        <v>8</v>
      </c>
      <c r="U44" s="1573">
        <f t="shared" si="13"/>
        <v>100</v>
      </c>
      <c r="V44" s="1572" t="s">
        <v>8</v>
      </c>
      <c r="W44" s="1573">
        <f t="shared" si="14"/>
        <v>100</v>
      </c>
      <c r="X44" s="1566"/>
      <c r="Y44" s="3615"/>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615"/>
      <c r="Q45" s="1150">
        <f t="shared" si="11"/>
        <v>111</v>
      </c>
      <c r="R45" s="1567" t="s">
        <v>8</v>
      </c>
      <c r="S45" s="1568">
        <f t="shared" si="12"/>
        <v>100</v>
      </c>
      <c r="T45" s="1567" t="s">
        <v>8</v>
      </c>
      <c r="U45" s="1568">
        <f t="shared" si="13"/>
        <v>100</v>
      </c>
      <c r="V45" s="1567" t="s">
        <v>8</v>
      </c>
      <c r="W45" s="1568">
        <f t="shared" si="14"/>
        <v>100</v>
      </c>
      <c r="X45" s="1569"/>
      <c r="Y45" s="3615"/>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615"/>
      <c r="Q46" s="1571">
        <f t="shared" si="11"/>
        <v>111</v>
      </c>
      <c r="R46" s="1572" t="s">
        <v>8</v>
      </c>
      <c r="S46" s="1573">
        <f t="shared" si="12"/>
        <v>100</v>
      </c>
      <c r="T46" s="1572" t="s">
        <v>8</v>
      </c>
      <c r="U46" s="1573">
        <f t="shared" si="13"/>
        <v>100</v>
      </c>
      <c r="V46" s="1572" t="s">
        <v>8</v>
      </c>
      <c r="W46" s="1573">
        <f t="shared" si="14"/>
        <v>100</v>
      </c>
      <c r="X46" s="1566"/>
      <c r="Y46" s="3615"/>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677"/>
      <c r="Q47" s="1571">
        <f t="shared" si="11"/>
        <v>111</v>
      </c>
      <c r="R47" s="1572" t="s">
        <v>8</v>
      </c>
      <c r="S47" s="1573">
        <f t="shared" si="12"/>
        <v>100</v>
      </c>
      <c r="T47" s="1572" t="s">
        <v>8</v>
      </c>
      <c r="U47" s="1573">
        <f t="shared" si="13"/>
        <v>100</v>
      </c>
      <c r="V47" s="1572" t="s">
        <v>8</v>
      </c>
      <c r="W47" s="1573">
        <f t="shared" si="14"/>
        <v>100</v>
      </c>
      <c r="X47" s="1566"/>
      <c r="Y47" s="3677"/>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76" t="str">
        <f>A48</f>
        <v>成交单价（元/平方米）</v>
      </c>
      <c r="Q48" s="3578"/>
      <c r="R48" s="3676">
        <f>E48</f>
        <v>0</v>
      </c>
      <c r="S48" s="3676"/>
      <c r="T48" s="3676">
        <f>G48</f>
        <v>0</v>
      </c>
      <c r="U48" s="3676"/>
      <c r="V48" s="3676">
        <f>I48</f>
        <v>0</v>
      </c>
      <c r="W48" s="3676"/>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76" t="str">
        <f>A49</f>
        <v>比较价格（元/平方米）</v>
      </c>
      <c r="Q49" s="3578"/>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696" t="str">
        <f>A50</f>
        <v>估价对象XX用房的比较价格（楼面单价，元/平方米）</v>
      </c>
      <c r="Q50" s="3576"/>
      <c r="R50" s="3675" t="e">
        <f>IF(F1="售价",ROUND(AVERAGE(R49:V49),0),ROUND(AVERAGE(R49:V49),1))</f>
        <v>#DIV/0!</v>
      </c>
      <c r="S50" s="3675"/>
      <c r="T50" s="3675"/>
      <c r="U50" s="3675"/>
      <c r="V50" s="3675"/>
      <c r="W50" s="3675"/>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584" t="s">
        <v>521</v>
      </c>
      <c r="D4" s="3585"/>
      <c r="E4" s="3618" t="s">
        <v>522</v>
      </c>
      <c r="F4" s="3619"/>
      <c r="G4" s="3584" t="s">
        <v>523</v>
      </c>
      <c r="H4" s="3585"/>
      <c r="I4" s="3584" t="s">
        <v>524</v>
      </c>
      <c r="J4" s="3585"/>
      <c r="K4" s="514" t="s">
        <v>525</v>
      </c>
      <c r="L4" s="2132"/>
      <c r="M4" s="2133"/>
      <c r="N4" s="2133"/>
      <c r="O4" s="2133"/>
      <c r="P4" s="3586" t="s">
        <v>526</v>
      </c>
      <c r="Q4" s="3587"/>
      <c r="R4" s="3592" t="s">
        <v>522</v>
      </c>
      <c r="S4" s="3593"/>
      <c r="T4" s="3592" t="s">
        <v>523</v>
      </c>
      <c r="U4" s="3593"/>
      <c r="V4" s="3579" t="s">
        <v>524</v>
      </c>
      <c r="W4" s="3579"/>
      <c r="X4" s="1566"/>
      <c r="Y4" s="3592" t="s">
        <v>526</v>
      </c>
      <c r="Z4" s="3593"/>
      <c r="AA4" s="3581" t="s">
        <v>522</v>
      </c>
      <c r="AB4" s="3582" t="s">
        <v>523</v>
      </c>
      <c r="AC4" s="3581" t="s">
        <v>524</v>
      </c>
    </row>
    <row r="5" spans="1:29" ht="15">
      <c r="A5" s="515"/>
      <c r="B5" s="516"/>
      <c r="C5" s="3600" t="s">
        <v>2925</v>
      </c>
      <c r="D5" s="3601"/>
      <c r="E5" s="3620" t="s">
        <v>2926</v>
      </c>
      <c r="F5" s="3621"/>
      <c r="G5" s="3600" t="s">
        <v>2927</v>
      </c>
      <c r="H5" s="3601"/>
      <c r="I5" s="3600" t="s">
        <v>2928</v>
      </c>
      <c r="J5" s="3601"/>
      <c r="K5" s="514"/>
      <c r="L5" s="2132"/>
      <c r="M5" s="2133"/>
      <c r="N5" s="2133"/>
      <c r="O5" s="2133"/>
      <c r="P5" s="3588"/>
      <c r="Q5" s="3589"/>
      <c r="R5" s="3594"/>
      <c r="S5" s="3595"/>
      <c r="T5" s="3594"/>
      <c r="U5" s="3595"/>
      <c r="V5" s="3579"/>
      <c r="W5" s="3579"/>
      <c r="X5" s="1566"/>
      <c r="Y5" s="3594"/>
      <c r="Z5" s="3595"/>
      <c r="AA5" s="3582"/>
      <c r="AB5" s="3582"/>
      <c r="AC5" s="3582"/>
    </row>
    <row r="6" spans="1:29" ht="15.75" thickBot="1">
      <c r="A6" s="517"/>
      <c r="B6" s="518"/>
      <c r="C6" s="3598" t="s">
        <v>2929</v>
      </c>
      <c r="D6" s="3599"/>
      <c r="E6" s="3616" t="s">
        <v>2929</v>
      </c>
      <c r="F6" s="3617"/>
      <c r="G6" s="3598" t="s">
        <v>2929</v>
      </c>
      <c r="H6" s="3599"/>
      <c r="I6" s="3598" t="s">
        <v>2929</v>
      </c>
      <c r="J6" s="3599"/>
      <c r="K6" s="514" t="s">
        <v>527</v>
      </c>
      <c r="L6" s="2132"/>
      <c r="M6" s="2133"/>
      <c r="N6" s="2133"/>
      <c r="O6" s="2133"/>
      <c r="P6" s="3590"/>
      <c r="Q6" s="3591"/>
      <c r="R6" s="3594"/>
      <c r="S6" s="3595"/>
      <c r="T6" s="3596"/>
      <c r="U6" s="3597"/>
      <c r="V6" s="3579"/>
      <c r="W6" s="3579"/>
      <c r="X6" s="1566"/>
      <c r="Y6" s="3596"/>
      <c r="Z6" s="3597"/>
      <c r="AA6" s="3583"/>
      <c r="AB6" s="3583"/>
      <c r="AC6" s="3583"/>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609" t="s">
        <v>529</v>
      </c>
      <c r="Q7" s="3611"/>
      <c r="R7" s="1567" t="s">
        <v>8</v>
      </c>
      <c r="S7" s="1568">
        <f t="shared" ref="S7:S15" si="0">F7</f>
        <v>0</v>
      </c>
      <c r="T7" s="1567" t="s">
        <v>8</v>
      </c>
      <c r="U7" s="1568">
        <f t="shared" ref="U7:U15" si="1">H7</f>
        <v>0</v>
      </c>
      <c r="V7" s="1567" t="s">
        <v>8</v>
      </c>
      <c r="W7" s="1568">
        <f t="shared" ref="W7:W15" si="2">J7</f>
        <v>0</v>
      </c>
      <c r="X7" s="1569"/>
      <c r="Y7" s="3609" t="s">
        <v>529</v>
      </c>
      <c r="Z7" s="3610"/>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609" t="s">
        <v>532</v>
      </c>
      <c r="Q8" s="3610"/>
      <c r="R8" s="1567" t="s">
        <v>8</v>
      </c>
      <c r="S8" s="1568">
        <f t="shared" si="0"/>
        <v>0</v>
      </c>
      <c r="T8" s="1567" t="s">
        <v>8</v>
      </c>
      <c r="U8" s="1568">
        <f t="shared" si="1"/>
        <v>0</v>
      </c>
      <c r="V8" s="1567" t="s">
        <v>8</v>
      </c>
      <c r="W8" s="1568">
        <f t="shared" si="2"/>
        <v>0</v>
      </c>
      <c r="X8" s="1569"/>
      <c r="Y8" s="3609" t="s">
        <v>532</v>
      </c>
      <c r="Z8" s="3610"/>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578" t="s">
        <v>534</v>
      </c>
      <c r="Q9" s="1150" t="str">
        <f t="shared" ref="Q9:Q15" si="6">B9</f>
        <v>用途</v>
      </c>
      <c r="R9" s="1567" t="s">
        <v>8</v>
      </c>
      <c r="S9" s="1568">
        <f t="shared" si="0"/>
        <v>100</v>
      </c>
      <c r="T9" s="1567" t="s">
        <v>8</v>
      </c>
      <c r="U9" s="1568">
        <f t="shared" si="1"/>
        <v>100</v>
      </c>
      <c r="V9" s="1567" t="s">
        <v>8</v>
      </c>
      <c r="W9" s="1568">
        <f t="shared" si="2"/>
        <v>100</v>
      </c>
      <c r="X9" s="1569"/>
      <c r="Y9" s="3442"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578"/>
      <c r="Q10" s="1150" t="str">
        <f t="shared" si="6"/>
        <v>土地使用年限（年）</v>
      </c>
      <c r="R10" s="1567" t="s">
        <v>8</v>
      </c>
      <c r="S10" s="1568">
        <f t="shared" si="0"/>
        <v>100</v>
      </c>
      <c r="T10" s="1567" t="s">
        <v>8</v>
      </c>
      <c r="U10" s="1568">
        <f t="shared" si="1"/>
        <v>100</v>
      </c>
      <c r="V10" s="1567" t="s">
        <v>8</v>
      </c>
      <c r="W10" s="1568">
        <f t="shared" si="2"/>
        <v>100</v>
      </c>
      <c r="X10" s="1569"/>
      <c r="Y10" s="3442"/>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578"/>
      <c r="Q11" s="1150" t="str">
        <f t="shared" si="6"/>
        <v>容积率</v>
      </c>
      <c r="R11" s="1567" t="s">
        <v>8</v>
      </c>
      <c r="S11" s="1568" t="e">
        <f t="shared" si="0"/>
        <v>#N/A</v>
      </c>
      <c r="T11" s="1567" t="s">
        <v>8</v>
      </c>
      <c r="U11" s="1568" t="e">
        <f t="shared" si="1"/>
        <v>#N/A</v>
      </c>
      <c r="V11" s="1567" t="s">
        <v>8</v>
      </c>
      <c r="W11" s="1568" t="e">
        <f t="shared" si="2"/>
        <v>#N/A</v>
      </c>
      <c r="X11" s="1569"/>
      <c r="Y11" s="3442"/>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578"/>
      <c r="Q12" s="1150">
        <f t="shared" si="6"/>
        <v>111</v>
      </c>
      <c r="R12" s="1567" t="s">
        <v>8</v>
      </c>
      <c r="S12" s="1568">
        <f t="shared" si="0"/>
        <v>100</v>
      </c>
      <c r="T12" s="1567" t="s">
        <v>8</v>
      </c>
      <c r="U12" s="1568">
        <f t="shared" si="1"/>
        <v>100</v>
      </c>
      <c r="V12" s="1567" t="s">
        <v>8</v>
      </c>
      <c r="W12" s="1568">
        <f t="shared" si="2"/>
        <v>100</v>
      </c>
      <c r="X12" s="1569"/>
      <c r="Y12" s="3442"/>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578"/>
      <c r="Q13" s="1150">
        <f t="shared" si="6"/>
        <v>111</v>
      </c>
      <c r="R13" s="1567" t="s">
        <v>8</v>
      </c>
      <c r="S13" s="1568">
        <f t="shared" si="0"/>
        <v>100</v>
      </c>
      <c r="T13" s="1567" t="s">
        <v>8</v>
      </c>
      <c r="U13" s="1568">
        <f t="shared" si="1"/>
        <v>100</v>
      </c>
      <c r="V13" s="1567" t="s">
        <v>8</v>
      </c>
      <c r="W13" s="1568">
        <f t="shared" si="2"/>
        <v>100</v>
      </c>
      <c r="X13" s="1569"/>
      <c r="Y13" s="3442"/>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578"/>
      <c r="Q14" s="1150">
        <f t="shared" si="6"/>
        <v>111</v>
      </c>
      <c r="R14" s="1567" t="s">
        <v>8</v>
      </c>
      <c r="S14" s="1568">
        <f t="shared" si="0"/>
        <v>100</v>
      </c>
      <c r="T14" s="1567" t="s">
        <v>8</v>
      </c>
      <c r="U14" s="1568">
        <f t="shared" si="1"/>
        <v>100</v>
      </c>
      <c r="V14" s="1567" t="s">
        <v>8</v>
      </c>
      <c r="W14" s="1568">
        <f t="shared" si="2"/>
        <v>100</v>
      </c>
      <c r="X14" s="1569"/>
      <c r="Y14" s="3442"/>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612" t="s">
        <v>539</v>
      </c>
      <c r="Q15" s="1571" t="str">
        <f t="shared" si="6"/>
        <v>产业集聚程度</v>
      </c>
      <c r="R15" s="1572" t="s">
        <v>8</v>
      </c>
      <c r="S15" s="1573">
        <f t="shared" si="0"/>
        <v>100</v>
      </c>
      <c r="T15" s="1572" t="s">
        <v>8</v>
      </c>
      <c r="U15" s="1573">
        <f t="shared" si="1"/>
        <v>100</v>
      </c>
      <c r="V15" s="1572" t="s">
        <v>8</v>
      </c>
      <c r="W15" s="1573">
        <f t="shared" si="2"/>
        <v>100</v>
      </c>
      <c r="X15" s="1566"/>
      <c r="Y15" s="3612"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613"/>
      <c r="Q16" s="1571"/>
      <c r="R16" s="1572"/>
      <c r="S16" s="1573"/>
      <c r="T16" s="1572"/>
      <c r="U16" s="1573"/>
      <c r="V16" s="1572"/>
      <c r="W16" s="1573"/>
      <c r="X16" s="1566"/>
      <c r="Y16" s="3613"/>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613"/>
      <c r="Q17" s="1571" t="str">
        <f>B17</f>
        <v>交通便捷度</v>
      </c>
      <c r="R17" s="1572" t="s">
        <v>8</v>
      </c>
      <c r="S17" s="1573">
        <f>F17</f>
        <v>100</v>
      </c>
      <c r="T17" s="1572" t="s">
        <v>8</v>
      </c>
      <c r="U17" s="1573">
        <f>H17</f>
        <v>100</v>
      </c>
      <c r="V17" s="1572" t="s">
        <v>8</v>
      </c>
      <c r="W17" s="1573">
        <f>J17</f>
        <v>100</v>
      </c>
      <c r="X17" s="1566"/>
      <c r="Y17" s="361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613"/>
      <c r="Q18" s="1571"/>
      <c r="R18" s="1572"/>
      <c r="S18" s="1573"/>
      <c r="T18" s="1572"/>
      <c r="U18" s="1573"/>
      <c r="V18" s="1572"/>
      <c r="W18" s="1573"/>
      <c r="X18" s="1566"/>
      <c r="Y18" s="3613"/>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613"/>
      <c r="Q19" s="1571" t="str">
        <f>B19</f>
        <v>公共配套设施</v>
      </c>
      <c r="R19" s="1572" t="s">
        <v>8</v>
      </c>
      <c r="S19" s="1573">
        <f>F19</f>
        <v>100</v>
      </c>
      <c r="T19" s="1572" t="s">
        <v>8</v>
      </c>
      <c r="U19" s="1573">
        <f>H19</f>
        <v>100</v>
      </c>
      <c r="V19" s="1572" t="s">
        <v>8</v>
      </c>
      <c r="W19" s="1573">
        <f>J19</f>
        <v>100</v>
      </c>
      <c r="X19" s="1566"/>
      <c r="Y19" s="361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613"/>
      <c r="Q20" s="1571"/>
      <c r="R20" s="1572"/>
      <c r="S20" s="1573"/>
      <c r="T20" s="1572"/>
      <c r="U20" s="1573"/>
      <c r="V20" s="1572"/>
      <c r="W20" s="1573"/>
      <c r="X20" s="1566"/>
      <c r="Y20" s="3613"/>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613"/>
      <c r="Q21" s="2557" t="str">
        <f>B21</f>
        <v>基础设施水平</v>
      </c>
      <c r="R21" s="1572" t="s">
        <v>8</v>
      </c>
      <c r="S21" s="1573">
        <f>F21</f>
        <v>100</v>
      </c>
      <c r="T21" s="1572" t="s">
        <v>8</v>
      </c>
      <c r="U21" s="1573">
        <f>H21</f>
        <v>100</v>
      </c>
      <c r="V21" s="1572" t="s">
        <v>8</v>
      </c>
      <c r="W21" s="1573">
        <f>J21</f>
        <v>100</v>
      </c>
      <c r="X21" s="2559"/>
      <c r="Y21" s="3613"/>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613"/>
      <c r="Q22" s="2557"/>
      <c r="R22" s="1572"/>
      <c r="S22" s="1573"/>
      <c r="T22" s="1572"/>
      <c r="U22" s="1573"/>
      <c r="V22" s="1572"/>
      <c r="W22" s="1573"/>
      <c r="X22" s="2559"/>
      <c r="Y22" s="3613"/>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613"/>
      <c r="Q23" s="1571" t="str">
        <f>B23</f>
        <v>环境质量</v>
      </c>
      <c r="R23" s="1572" t="s">
        <v>8</v>
      </c>
      <c r="S23" s="1573">
        <f>F23</f>
        <v>100</v>
      </c>
      <c r="T23" s="1572" t="s">
        <v>8</v>
      </c>
      <c r="U23" s="1573">
        <f>H23</f>
        <v>100</v>
      </c>
      <c r="V23" s="1572" t="s">
        <v>8</v>
      </c>
      <c r="W23" s="1573">
        <f>J23</f>
        <v>100</v>
      </c>
      <c r="X23" s="1566"/>
      <c r="Y23" s="3613"/>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613"/>
      <c r="Q24" s="1571"/>
      <c r="R24" s="1572"/>
      <c r="S24" s="1573"/>
      <c r="T24" s="1572"/>
      <c r="U24" s="1573"/>
      <c r="V24" s="1572"/>
      <c r="W24" s="1573"/>
      <c r="X24" s="1566"/>
      <c r="Y24" s="361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613"/>
      <c r="Q25" s="1571">
        <f>B25</f>
        <v>111</v>
      </c>
      <c r="R25" s="1572" t="s">
        <v>8</v>
      </c>
      <c r="S25" s="1573">
        <f>F25</f>
        <v>100</v>
      </c>
      <c r="T25" s="1572" t="s">
        <v>8</v>
      </c>
      <c r="U25" s="1573">
        <f>H25</f>
        <v>100</v>
      </c>
      <c r="V25" s="1572" t="s">
        <v>8</v>
      </c>
      <c r="W25" s="1573">
        <f>J25</f>
        <v>100</v>
      </c>
      <c r="X25" s="1566"/>
      <c r="Y25" s="361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613"/>
      <c r="Q26" s="1571">
        <f t="shared" ref="Q26:Q40" si="11">B26</f>
        <v>111</v>
      </c>
      <c r="R26" s="1572" t="s">
        <v>8</v>
      </c>
      <c r="S26" s="1573">
        <f>F26</f>
        <v>100</v>
      </c>
      <c r="T26" s="1572" t="s">
        <v>8</v>
      </c>
      <c r="U26" s="1573">
        <f>H26</f>
        <v>100</v>
      </c>
      <c r="V26" s="1572" t="s">
        <v>8</v>
      </c>
      <c r="W26" s="1573">
        <f>J26</f>
        <v>100</v>
      </c>
      <c r="X26" s="1566"/>
      <c r="Y26" s="3613"/>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613"/>
      <c r="Q27" s="1150">
        <f t="shared" si="11"/>
        <v>111</v>
      </c>
      <c r="R27" s="1567" t="s">
        <v>8</v>
      </c>
      <c r="S27" s="1568">
        <f>F27</f>
        <v>100</v>
      </c>
      <c r="T27" s="1567" t="s">
        <v>8</v>
      </c>
      <c r="U27" s="1568">
        <f>H27</f>
        <v>100</v>
      </c>
      <c r="V27" s="1567" t="s">
        <v>8</v>
      </c>
      <c r="W27" s="1568">
        <f>J27</f>
        <v>100</v>
      </c>
      <c r="X27" s="1569"/>
      <c r="Y27" s="3613"/>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613"/>
      <c r="Q28" s="1571">
        <f t="shared" si="11"/>
        <v>111</v>
      </c>
      <c r="R28" s="1572" t="s">
        <v>8</v>
      </c>
      <c r="S28" s="1573">
        <f t="shared" ref="S28:S40" si="12">F28</f>
        <v>100</v>
      </c>
      <c r="T28" s="1572" t="s">
        <v>8</v>
      </c>
      <c r="U28" s="1573">
        <f t="shared" ref="U28:U40" si="13">H28</f>
        <v>100</v>
      </c>
      <c r="V28" s="1572" t="s">
        <v>8</v>
      </c>
      <c r="W28" s="1573">
        <f t="shared" ref="W28:W40" si="14">J28</f>
        <v>100</v>
      </c>
      <c r="X28" s="1566"/>
      <c r="Y28" s="3613"/>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614" t="s">
        <v>549</v>
      </c>
      <c r="Q29" s="1571" t="str">
        <f t="shared" si="11"/>
        <v>建筑类型</v>
      </c>
      <c r="R29" s="1572" t="s">
        <v>8</v>
      </c>
      <c r="S29" s="1573">
        <f t="shared" si="12"/>
        <v>100</v>
      </c>
      <c r="T29" s="1572" t="s">
        <v>8</v>
      </c>
      <c r="U29" s="1573">
        <f t="shared" si="13"/>
        <v>100</v>
      </c>
      <c r="V29" s="1572" t="s">
        <v>8</v>
      </c>
      <c r="W29" s="1573">
        <f t="shared" si="14"/>
        <v>100</v>
      </c>
      <c r="X29" s="1566"/>
      <c r="Y29" s="3615"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615"/>
      <c r="Q30" s="1604" t="str">
        <f t="shared" si="11"/>
        <v>项目建筑规模</v>
      </c>
      <c r="R30" s="1576" t="s">
        <v>8</v>
      </c>
      <c r="S30" s="1577" t="e">
        <f t="shared" si="12"/>
        <v>#N/A</v>
      </c>
      <c r="T30" s="1576" t="s">
        <v>8</v>
      </c>
      <c r="U30" s="1577" t="e">
        <f t="shared" si="13"/>
        <v>#N/A</v>
      </c>
      <c r="V30" s="1576" t="s">
        <v>8</v>
      </c>
      <c r="W30" s="1577" t="e">
        <f t="shared" si="14"/>
        <v>#N/A</v>
      </c>
      <c r="X30" s="1578"/>
      <c r="Y30" s="3615"/>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615"/>
      <c r="Q31" s="1571" t="str">
        <f t="shared" si="11"/>
        <v>建筑结构</v>
      </c>
      <c r="R31" s="1572" t="s">
        <v>8</v>
      </c>
      <c r="S31" s="1573">
        <f t="shared" si="12"/>
        <v>100</v>
      </c>
      <c r="T31" s="1572" t="s">
        <v>8</v>
      </c>
      <c r="U31" s="1573">
        <f t="shared" si="13"/>
        <v>100</v>
      </c>
      <c r="V31" s="1572" t="s">
        <v>8</v>
      </c>
      <c r="W31" s="1573">
        <f t="shared" si="14"/>
        <v>100</v>
      </c>
      <c r="X31" s="1566"/>
      <c r="Y31" s="3615"/>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615"/>
      <c r="Q32" s="1571" t="str">
        <f t="shared" si="11"/>
        <v>公共部分装修</v>
      </c>
      <c r="R32" s="1572" t="s">
        <v>8</v>
      </c>
      <c r="S32" s="1573">
        <f t="shared" si="12"/>
        <v>100</v>
      </c>
      <c r="T32" s="1572" t="s">
        <v>8</v>
      </c>
      <c r="U32" s="1573">
        <f t="shared" si="13"/>
        <v>100</v>
      </c>
      <c r="V32" s="1572" t="s">
        <v>8</v>
      </c>
      <c r="W32" s="1573">
        <f t="shared" si="14"/>
        <v>100</v>
      </c>
      <c r="X32" s="1566"/>
      <c r="Y32" s="3615"/>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615"/>
      <c r="Q33" s="1571" t="str">
        <f t="shared" si="11"/>
        <v>成新度</v>
      </c>
      <c r="R33" s="1572" t="s">
        <v>8</v>
      </c>
      <c r="S33" s="1573" t="e">
        <f t="shared" si="12"/>
        <v>#N/A</v>
      </c>
      <c r="T33" s="1572" t="s">
        <v>8</v>
      </c>
      <c r="U33" s="1573" t="e">
        <f t="shared" si="13"/>
        <v>#N/A</v>
      </c>
      <c r="V33" s="1572" t="s">
        <v>8</v>
      </c>
      <c r="W33" s="1573" t="e">
        <f t="shared" si="14"/>
        <v>#N/A</v>
      </c>
      <c r="X33" s="1566"/>
      <c r="Y33" s="3615"/>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615"/>
      <c r="Q34" s="1150" t="str">
        <f t="shared" si="11"/>
        <v>物业管理</v>
      </c>
      <c r="R34" s="1567" t="s">
        <v>8</v>
      </c>
      <c r="S34" s="1568">
        <f t="shared" si="12"/>
        <v>100</v>
      </c>
      <c r="T34" s="1567" t="s">
        <v>8</v>
      </c>
      <c r="U34" s="1568">
        <f t="shared" si="13"/>
        <v>100</v>
      </c>
      <c r="V34" s="1567" t="s">
        <v>8</v>
      </c>
      <c r="W34" s="1568">
        <f t="shared" si="14"/>
        <v>100</v>
      </c>
      <c r="X34" s="1569"/>
      <c r="Y34" s="3615"/>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615" t="s">
        <v>549</v>
      </c>
      <c r="Q35" s="1571" t="str">
        <f t="shared" si="11"/>
        <v>市政基础设施</v>
      </c>
      <c r="R35" s="1572" t="s">
        <v>8</v>
      </c>
      <c r="S35" s="1573">
        <f t="shared" si="12"/>
        <v>100</v>
      </c>
      <c r="T35" s="1572" t="s">
        <v>8</v>
      </c>
      <c r="U35" s="1573">
        <f t="shared" si="13"/>
        <v>100</v>
      </c>
      <c r="V35" s="1572" t="s">
        <v>8</v>
      </c>
      <c r="W35" s="1573">
        <f t="shared" si="14"/>
        <v>100</v>
      </c>
      <c r="X35" s="1566"/>
      <c r="Y35" s="3615"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615"/>
      <c r="Q36" s="1571" t="str">
        <f t="shared" si="11"/>
        <v>内部装修</v>
      </c>
      <c r="R36" s="1572" t="s">
        <v>8</v>
      </c>
      <c r="S36" s="1573">
        <f t="shared" si="12"/>
        <v>100</v>
      </c>
      <c r="T36" s="1572" t="s">
        <v>8</v>
      </c>
      <c r="U36" s="1573">
        <f t="shared" si="13"/>
        <v>100</v>
      </c>
      <c r="V36" s="1572" t="s">
        <v>8</v>
      </c>
      <c r="W36" s="1573">
        <f t="shared" si="14"/>
        <v>100</v>
      </c>
      <c r="X36" s="1566"/>
      <c r="Y36" s="3615"/>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615"/>
      <c r="Q37" s="1571" t="str">
        <f t="shared" si="11"/>
        <v>内部装修状况</v>
      </c>
      <c r="R37" s="1572" t="s">
        <v>8</v>
      </c>
      <c r="S37" s="1573">
        <f t="shared" si="12"/>
        <v>100</v>
      </c>
      <c r="T37" s="1572" t="s">
        <v>8</v>
      </c>
      <c r="U37" s="1573">
        <f t="shared" si="13"/>
        <v>100</v>
      </c>
      <c r="V37" s="1572" t="s">
        <v>8</v>
      </c>
      <c r="W37" s="1573">
        <f t="shared" si="14"/>
        <v>100</v>
      </c>
      <c r="X37" s="1566"/>
      <c r="Y37" s="3615"/>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615"/>
      <c r="Q38" s="1604">
        <f t="shared" si="11"/>
        <v>111</v>
      </c>
      <c r="R38" s="1576" t="s">
        <v>8</v>
      </c>
      <c r="S38" s="1577">
        <f t="shared" si="12"/>
        <v>100</v>
      </c>
      <c r="T38" s="1576" t="s">
        <v>8</v>
      </c>
      <c r="U38" s="1577">
        <f t="shared" si="13"/>
        <v>100</v>
      </c>
      <c r="V38" s="1576" t="s">
        <v>8</v>
      </c>
      <c r="W38" s="1577">
        <f t="shared" si="14"/>
        <v>100</v>
      </c>
      <c r="X38" s="1578"/>
      <c r="Y38" s="3615"/>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615"/>
      <c r="Q39" s="1571">
        <f t="shared" si="11"/>
        <v>111</v>
      </c>
      <c r="R39" s="1572" t="s">
        <v>8</v>
      </c>
      <c r="S39" s="1573">
        <f t="shared" si="12"/>
        <v>100</v>
      </c>
      <c r="T39" s="1572" t="s">
        <v>8</v>
      </c>
      <c r="U39" s="1573">
        <f t="shared" si="13"/>
        <v>100</v>
      </c>
      <c r="V39" s="1572" t="s">
        <v>8</v>
      </c>
      <c r="W39" s="1573">
        <f t="shared" si="14"/>
        <v>100</v>
      </c>
      <c r="X39" s="1566"/>
      <c r="Y39" s="3615"/>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677"/>
      <c r="Q40" s="1571">
        <f t="shared" si="11"/>
        <v>111</v>
      </c>
      <c r="R40" s="1572" t="s">
        <v>8</v>
      </c>
      <c r="S40" s="1573">
        <f t="shared" si="12"/>
        <v>100</v>
      </c>
      <c r="T40" s="1572" t="s">
        <v>8</v>
      </c>
      <c r="U40" s="1573">
        <f t="shared" si="13"/>
        <v>100</v>
      </c>
      <c r="V40" s="1572" t="s">
        <v>8</v>
      </c>
      <c r="W40" s="1573">
        <f t="shared" si="14"/>
        <v>100</v>
      </c>
      <c r="X40" s="1566"/>
      <c r="Y40" s="3677"/>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578" t="str">
        <f>A41</f>
        <v>成交单价（元/平方米）</v>
      </c>
      <c r="Q41" s="3578"/>
      <c r="R41" s="3676">
        <f>E41</f>
        <v>0</v>
      </c>
      <c r="S41" s="3676"/>
      <c r="T41" s="3676">
        <f>G41</f>
        <v>0</v>
      </c>
      <c r="U41" s="3676"/>
      <c r="V41" s="3676">
        <f>I41</f>
        <v>0</v>
      </c>
      <c r="W41" s="3676"/>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578" t="str">
        <f>A42</f>
        <v>比较价格（元/平方米）</v>
      </c>
      <c r="Q42" s="3578"/>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75" t="str">
        <f>A43</f>
        <v>估价对象XX用房的比较价格（楼面单价，元/平方米）</v>
      </c>
      <c r="Q43" s="3576"/>
      <c r="R43" s="3675" t="e">
        <f>IF(F1="售价",ROUND(AVERAGE(R42:V42),0),ROUND(AVERAGE(R42:V42),1))</f>
        <v>#DIV/0!</v>
      </c>
      <c r="S43" s="3675"/>
      <c r="T43" s="3675"/>
      <c r="U43" s="3675"/>
      <c r="V43" s="3675"/>
      <c r="W43" s="3675"/>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109920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根据《国有土地使用证》[]，估价对象（分摊）出让国有建设用地使用权面积为68743.19平方米。根据《建设工程规划许可证》[]、《出让合同》[]，估价对象规划建筑面积为109920平方米。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84" t="s">
        <v>797</v>
      </c>
      <c r="D4" s="3585"/>
      <c r="E4" s="3584" t="s">
        <v>798</v>
      </c>
      <c r="F4" s="3585"/>
      <c r="G4" s="3584" t="s">
        <v>799</v>
      </c>
      <c r="H4" s="3585"/>
      <c r="I4" s="3584" t="s">
        <v>800</v>
      </c>
      <c r="J4" s="3585"/>
      <c r="K4" s="514" t="s">
        <v>801</v>
      </c>
      <c r="L4" s="2132"/>
      <c r="M4" s="2133"/>
      <c r="N4" s="2133"/>
      <c r="O4" s="2133"/>
      <c r="P4" s="3586" t="s">
        <v>802</v>
      </c>
      <c r="Q4" s="3587"/>
      <c r="R4" s="3592" t="s">
        <v>798</v>
      </c>
      <c r="S4" s="3593"/>
      <c r="T4" s="3592" t="s">
        <v>799</v>
      </c>
      <c r="U4" s="3593"/>
      <c r="V4" s="3579" t="s">
        <v>800</v>
      </c>
      <c r="W4" s="3579"/>
      <c r="X4" s="1566"/>
      <c r="Y4" s="3592" t="s">
        <v>802</v>
      </c>
      <c r="Z4" s="3593"/>
      <c r="AA4" s="3581" t="s">
        <v>798</v>
      </c>
      <c r="AB4" s="3582" t="s">
        <v>799</v>
      </c>
      <c r="AC4" s="3581" t="s">
        <v>800</v>
      </c>
    </row>
    <row r="5" spans="1:29" ht="15">
      <c r="A5" s="515"/>
      <c r="B5" s="516"/>
      <c r="C5" s="3600" t="s">
        <v>2925</v>
      </c>
      <c r="D5" s="3601"/>
      <c r="E5" s="3600" t="s">
        <v>2926</v>
      </c>
      <c r="F5" s="3601"/>
      <c r="G5" s="3600" t="s">
        <v>2927</v>
      </c>
      <c r="H5" s="3601"/>
      <c r="I5" s="3600" t="s">
        <v>2928</v>
      </c>
      <c r="J5" s="3601"/>
      <c r="K5" s="514"/>
      <c r="L5" s="2132"/>
      <c r="M5" s="2133"/>
      <c r="N5" s="2133"/>
      <c r="O5" s="2133"/>
      <c r="P5" s="3588"/>
      <c r="Q5" s="3589"/>
      <c r="R5" s="3594"/>
      <c r="S5" s="3595"/>
      <c r="T5" s="3594"/>
      <c r="U5" s="3595"/>
      <c r="V5" s="3579"/>
      <c r="W5" s="3579"/>
      <c r="X5" s="1566"/>
      <c r="Y5" s="3594"/>
      <c r="Z5" s="3595"/>
      <c r="AA5" s="3582"/>
      <c r="AB5" s="3582"/>
      <c r="AC5" s="3582"/>
    </row>
    <row r="6" spans="1:29" ht="15.75" thickBot="1">
      <c r="A6" s="517"/>
      <c r="B6" s="518"/>
      <c r="C6" s="3598" t="s">
        <v>2929</v>
      </c>
      <c r="D6" s="3599"/>
      <c r="E6" s="3602" t="s">
        <v>2929</v>
      </c>
      <c r="F6" s="3603"/>
      <c r="G6" s="3598" t="s">
        <v>2929</v>
      </c>
      <c r="H6" s="3599"/>
      <c r="I6" s="3598" t="s">
        <v>2929</v>
      </c>
      <c r="J6" s="3599"/>
      <c r="K6" s="514" t="s">
        <v>527</v>
      </c>
      <c r="L6" s="2132"/>
      <c r="M6" s="2133"/>
      <c r="N6" s="2133"/>
      <c r="O6" s="2133"/>
      <c r="P6" s="3590"/>
      <c r="Q6" s="3591"/>
      <c r="R6" s="3594"/>
      <c r="S6" s="3595"/>
      <c r="T6" s="3596"/>
      <c r="U6" s="3597"/>
      <c r="V6" s="3579"/>
      <c r="W6" s="3579"/>
      <c r="X6" s="1566"/>
      <c r="Y6" s="3596"/>
      <c r="Z6" s="3597"/>
      <c r="AA6" s="3583"/>
      <c r="AB6" s="3583"/>
      <c r="AC6" s="3583"/>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609" t="s">
        <v>529</v>
      </c>
      <c r="Q7" s="3611"/>
      <c r="R7" s="1567" t="s">
        <v>8</v>
      </c>
      <c r="S7" s="1568">
        <f t="shared" ref="S7:S14" si="0">F7</f>
        <v>0</v>
      </c>
      <c r="T7" s="1567" t="s">
        <v>8</v>
      </c>
      <c r="U7" s="1568">
        <f t="shared" ref="U7:U14" si="1">H7</f>
        <v>0</v>
      </c>
      <c r="V7" s="1567" t="s">
        <v>8</v>
      </c>
      <c r="W7" s="1568">
        <f t="shared" ref="W7:W14" si="2">J7</f>
        <v>0</v>
      </c>
      <c r="X7" s="1569"/>
      <c r="Y7" s="3609" t="s">
        <v>529</v>
      </c>
      <c r="Z7" s="3610"/>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609" t="s">
        <v>532</v>
      </c>
      <c r="Q8" s="3610"/>
      <c r="R8" s="1567" t="s">
        <v>8</v>
      </c>
      <c r="S8" s="1568">
        <f t="shared" si="0"/>
        <v>0</v>
      </c>
      <c r="T8" s="1567" t="s">
        <v>8</v>
      </c>
      <c r="U8" s="1568">
        <f t="shared" si="1"/>
        <v>0</v>
      </c>
      <c r="V8" s="1567" t="s">
        <v>8</v>
      </c>
      <c r="W8" s="1568">
        <f t="shared" si="2"/>
        <v>0</v>
      </c>
      <c r="X8" s="1569"/>
      <c r="Y8" s="3609" t="s">
        <v>532</v>
      </c>
      <c r="Z8" s="3610"/>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578" t="s">
        <v>534</v>
      </c>
      <c r="Q9" s="1150" t="str">
        <f t="shared" ref="Q9:Q14" si="6">B9</f>
        <v>用途</v>
      </c>
      <c r="R9" s="1567" t="s">
        <v>8</v>
      </c>
      <c r="S9" s="1568">
        <f t="shared" si="0"/>
        <v>100</v>
      </c>
      <c r="T9" s="1567" t="s">
        <v>8</v>
      </c>
      <c r="U9" s="1568">
        <f t="shared" si="1"/>
        <v>100</v>
      </c>
      <c r="V9" s="1567" t="s">
        <v>8</v>
      </c>
      <c r="W9" s="1568">
        <f t="shared" si="2"/>
        <v>100</v>
      </c>
      <c r="X9" s="1569"/>
      <c r="Y9" s="3442"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578"/>
      <c r="Q10" s="1150" t="str">
        <f t="shared" si="6"/>
        <v>土地使用年限（年）</v>
      </c>
      <c r="R10" s="1567" t="s">
        <v>8</v>
      </c>
      <c r="S10" s="1568">
        <f t="shared" si="0"/>
        <v>100</v>
      </c>
      <c r="T10" s="1567" t="s">
        <v>8</v>
      </c>
      <c r="U10" s="1568">
        <f t="shared" si="1"/>
        <v>100</v>
      </c>
      <c r="V10" s="1567" t="s">
        <v>8</v>
      </c>
      <c r="W10" s="1568">
        <f t="shared" si="2"/>
        <v>100</v>
      </c>
      <c r="X10" s="1569"/>
      <c r="Y10" s="3442"/>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578"/>
      <c r="Q11" s="1150">
        <f t="shared" si="6"/>
        <v>111</v>
      </c>
      <c r="R11" s="1567" t="s">
        <v>8</v>
      </c>
      <c r="S11" s="1568">
        <f t="shared" si="0"/>
        <v>100</v>
      </c>
      <c r="T11" s="1567" t="s">
        <v>8</v>
      </c>
      <c r="U11" s="1568">
        <f t="shared" si="1"/>
        <v>100</v>
      </c>
      <c r="V11" s="1567" t="s">
        <v>8</v>
      </c>
      <c r="W11" s="1568">
        <f t="shared" si="2"/>
        <v>100</v>
      </c>
      <c r="X11" s="1569"/>
      <c r="Y11" s="3442"/>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578"/>
      <c r="Q12" s="1150">
        <f t="shared" si="6"/>
        <v>111</v>
      </c>
      <c r="R12" s="1567" t="s">
        <v>8</v>
      </c>
      <c r="S12" s="1568">
        <f t="shared" si="0"/>
        <v>100</v>
      </c>
      <c r="T12" s="1567" t="s">
        <v>8</v>
      </c>
      <c r="U12" s="1568">
        <f t="shared" si="1"/>
        <v>100</v>
      </c>
      <c r="V12" s="1567" t="s">
        <v>8</v>
      </c>
      <c r="W12" s="1568">
        <f t="shared" si="2"/>
        <v>100</v>
      </c>
      <c r="X12" s="1569"/>
      <c r="Y12" s="3442"/>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578"/>
      <c r="Q13" s="1150">
        <f t="shared" si="6"/>
        <v>111</v>
      </c>
      <c r="R13" s="1567" t="s">
        <v>8</v>
      </c>
      <c r="S13" s="1568">
        <f t="shared" si="0"/>
        <v>100</v>
      </c>
      <c r="T13" s="1567" t="s">
        <v>8</v>
      </c>
      <c r="U13" s="1568">
        <f t="shared" si="1"/>
        <v>100</v>
      </c>
      <c r="V13" s="1567" t="s">
        <v>8</v>
      </c>
      <c r="W13" s="1568">
        <f t="shared" si="2"/>
        <v>100</v>
      </c>
      <c r="X13" s="1569"/>
      <c r="Y13" s="3442"/>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612" t="s">
        <v>539</v>
      </c>
      <c r="Q14" s="1571" t="str">
        <f t="shared" si="6"/>
        <v>交通便捷度</v>
      </c>
      <c r="R14" s="1572" t="s">
        <v>8</v>
      </c>
      <c r="S14" s="1573">
        <f t="shared" si="0"/>
        <v>100</v>
      </c>
      <c r="T14" s="1572" t="s">
        <v>8</v>
      </c>
      <c r="U14" s="1573">
        <f t="shared" si="1"/>
        <v>100</v>
      </c>
      <c r="V14" s="1572" t="s">
        <v>8</v>
      </c>
      <c r="W14" s="1573">
        <f t="shared" si="2"/>
        <v>100</v>
      </c>
      <c r="X14" s="1566"/>
      <c r="Y14" s="3612"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613"/>
      <c r="Q15" s="1571"/>
      <c r="R15" s="1572"/>
      <c r="S15" s="1573"/>
      <c r="T15" s="1572"/>
      <c r="U15" s="1573"/>
      <c r="V15" s="1572"/>
      <c r="W15" s="1573"/>
      <c r="X15" s="1566"/>
      <c r="Y15" s="3613"/>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613"/>
      <c r="Q16" s="1571" t="str">
        <f>B16</f>
        <v>公共配套设施</v>
      </c>
      <c r="R16" s="1572" t="s">
        <v>8</v>
      </c>
      <c r="S16" s="1573">
        <f>F16</f>
        <v>100</v>
      </c>
      <c r="T16" s="1572" t="s">
        <v>8</v>
      </c>
      <c r="U16" s="1573">
        <f>H16</f>
        <v>100</v>
      </c>
      <c r="V16" s="1572" t="s">
        <v>8</v>
      </c>
      <c r="W16" s="1573">
        <f>J16</f>
        <v>100</v>
      </c>
      <c r="X16" s="1566"/>
      <c r="Y16" s="361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613"/>
      <c r="Q17" s="1571"/>
      <c r="R17" s="1572"/>
      <c r="S17" s="1573"/>
      <c r="T17" s="1572"/>
      <c r="U17" s="1573"/>
      <c r="V17" s="1572"/>
      <c r="W17" s="1573"/>
      <c r="X17" s="1566"/>
      <c r="Y17" s="3613"/>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613"/>
      <c r="Q18" s="2557" t="str">
        <f>B18</f>
        <v>基础设施水平</v>
      </c>
      <c r="R18" s="1572" t="s">
        <v>8</v>
      </c>
      <c r="S18" s="1573">
        <f>F18</f>
        <v>100</v>
      </c>
      <c r="T18" s="1572" t="s">
        <v>8</v>
      </c>
      <c r="U18" s="1573">
        <f>H18</f>
        <v>100</v>
      </c>
      <c r="V18" s="1572" t="s">
        <v>8</v>
      </c>
      <c r="W18" s="1573">
        <f>J18</f>
        <v>100</v>
      </c>
      <c r="X18" s="2559"/>
      <c r="Y18" s="3613"/>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613"/>
      <c r="Q19" s="2557"/>
      <c r="R19" s="1572"/>
      <c r="S19" s="1573"/>
      <c r="T19" s="1572"/>
      <c r="U19" s="1573"/>
      <c r="V19" s="1572"/>
      <c r="W19" s="1573"/>
      <c r="X19" s="2559"/>
      <c r="Y19" s="3613"/>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613"/>
      <c r="Q20" s="1571" t="str">
        <f>B20</f>
        <v>自然及人文环境</v>
      </c>
      <c r="R20" s="1572" t="s">
        <v>8</v>
      </c>
      <c r="S20" s="1573">
        <f>F20</f>
        <v>100</v>
      </c>
      <c r="T20" s="1572" t="s">
        <v>8</v>
      </c>
      <c r="U20" s="1573">
        <f>H20</f>
        <v>100</v>
      </c>
      <c r="V20" s="1572" t="s">
        <v>8</v>
      </c>
      <c r="W20" s="1573">
        <f>J20</f>
        <v>100</v>
      </c>
      <c r="X20" s="1566"/>
      <c r="Y20" s="361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613"/>
      <c r="Q21" s="1571"/>
      <c r="R21" s="1572"/>
      <c r="S21" s="1573"/>
      <c r="T21" s="1572"/>
      <c r="U21" s="1573"/>
      <c r="V21" s="1572"/>
      <c r="W21" s="1573"/>
      <c r="X21" s="1566"/>
      <c r="Y21" s="3613"/>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613"/>
      <c r="Q22" s="1571" t="str">
        <f>B22</f>
        <v>楼层</v>
      </c>
      <c r="R22" s="1572" t="s">
        <v>8</v>
      </c>
      <c r="S22" s="1573">
        <f>F22</f>
        <v>100</v>
      </c>
      <c r="T22" s="1572" t="s">
        <v>8</v>
      </c>
      <c r="U22" s="1573">
        <f>H22</f>
        <v>100</v>
      </c>
      <c r="V22" s="1572" t="s">
        <v>8</v>
      </c>
      <c r="W22" s="1573">
        <f>J22</f>
        <v>100</v>
      </c>
      <c r="X22" s="1566"/>
      <c r="Y22" s="3613"/>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613"/>
      <c r="Q23" s="1571">
        <f>B23</f>
        <v>111</v>
      </c>
      <c r="R23" s="1572" t="s">
        <v>8</v>
      </c>
      <c r="S23" s="1573">
        <f>F23</f>
        <v>100</v>
      </c>
      <c r="T23" s="1572" t="s">
        <v>8</v>
      </c>
      <c r="U23" s="1573">
        <f>H23</f>
        <v>100</v>
      </c>
      <c r="V23" s="1572" t="s">
        <v>8</v>
      </c>
      <c r="W23" s="1573">
        <f>J23</f>
        <v>100</v>
      </c>
      <c r="X23" s="1566"/>
      <c r="Y23" s="3613"/>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613"/>
      <c r="Q24" s="1571">
        <f t="shared" ref="Q24:Q36" si="11">B24</f>
        <v>111</v>
      </c>
      <c r="R24" s="1572" t="s">
        <v>8</v>
      </c>
      <c r="S24" s="1573">
        <f>F24</f>
        <v>100</v>
      </c>
      <c r="T24" s="1572" t="s">
        <v>8</v>
      </c>
      <c r="U24" s="1573">
        <f>H24</f>
        <v>100</v>
      </c>
      <c r="V24" s="1572" t="s">
        <v>8</v>
      </c>
      <c r="W24" s="1573">
        <f>J24</f>
        <v>100</v>
      </c>
      <c r="X24" s="1566"/>
      <c r="Y24" s="3613"/>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613"/>
      <c r="Q25" s="1150">
        <f t="shared" si="11"/>
        <v>111</v>
      </c>
      <c r="R25" s="1567" t="s">
        <v>8</v>
      </c>
      <c r="S25" s="1568">
        <f>F25</f>
        <v>100</v>
      </c>
      <c r="T25" s="1567" t="s">
        <v>8</v>
      </c>
      <c r="U25" s="1568">
        <f>H25</f>
        <v>100</v>
      </c>
      <c r="V25" s="1567" t="s">
        <v>8</v>
      </c>
      <c r="W25" s="1568">
        <f>J25</f>
        <v>100</v>
      </c>
      <c r="X25" s="1569"/>
      <c r="Y25" s="3613"/>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61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615"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615"/>
      <c r="Q27" s="1604" t="str">
        <f t="shared" si="11"/>
        <v>项目停车位配比</v>
      </c>
      <c r="R27" s="1576" t="s">
        <v>8</v>
      </c>
      <c r="S27" s="1577">
        <f t="shared" si="12"/>
        <v>100</v>
      </c>
      <c r="T27" s="1576" t="s">
        <v>8</v>
      </c>
      <c r="U27" s="1577">
        <f t="shared" si="13"/>
        <v>100</v>
      </c>
      <c r="V27" s="1576" t="s">
        <v>8</v>
      </c>
      <c r="W27" s="1577">
        <f t="shared" si="14"/>
        <v>100</v>
      </c>
      <c r="X27" s="1578"/>
      <c r="Y27" s="3615"/>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615"/>
      <c r="Q28" s="1571" t="str">
        <f t="shared" si="11"/>
        <v>公共部分装修</v>
      </c>
      <c r="R28" s="1572" t="s">
        <v>8</v>
      </c>
      <c r="S28" s="1573">
        <f t="shared" si="12"/>
        <v>100</v>
      </c>
      <c r="T28" s="1572" t="s">
        <v>8</v>
      </c>
      <c r="U28" s="1573">
        <f t="shared" si="13"/>
        <v>100</v>
      </c>
      <c r="V28" s="1572" t="s">
        <v>8</v>
      </c>
      <c r="W28" s="1573">
        <f t="shared" si="14"/>
        <v>100</v>
      </c>
      <c r="X28" s="1566"/>
      <c r="Y28" s="3615"/>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615"/>
      <c r="Q29" s="1571" t="str">
        <f t="shared" si="11"/>
        <v>成新率</v>
      </c>
      <c r="R29" s="1572" t="s">
        <v>8</v>
      </c>
      <c r="S29" s="1573" t="e">
        <f t="shared" si="12"/>
        <v>#N/A</v>
      </c>
      <c r="T29" s="1572" t="s">
        <v>8</v>
      </c>
      <c r="U29" s="1573" t="e">
        <f t="shared" si="13"/>
        <v>#N/A</v>
      </c>
      <c r="V29" s="1572" t="s">
        <v>8</v>
      </c>
      <c r="W29" s="1573" t="e">
        <f t="shared" si="14"/>
        <v>#N/A</v>
      </c>
      <c r="X29" s="1566"/>
      <c r="Y29" s="3615"/>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615"/>
      <c r="Q30" s="1571" t="str">
        <f t="shared" si="11"/>
        <v>物业等级</v>
      </c>
      <c r="R30" s="1572" t="s">
        <v>8</v>
      </c>
      <c r="S30" s="1573">
        <f t="shared" si="12"/>
        <v>100</v>
      </c>
      <c r="T30" s="1572" t="s">
        <v>8</v>
      </c>
      <c r="U30" s="1573">
        <f t="shared" si="13"/>
        <v>100</v>
      </c>
      <c r="V30" s="1572" t="s">
        <v>8</v>
      </c>
      <c r="W30" s="1573">
        <f t="shared" si="14"/>
        <v>100</v>
      </c>
      <c r="X30" s="1566"/>
      <c r="Y30" s="3615"/>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615"/>
      <c r="Q31" s="1150" t="str">
        <f t="shared" si="11"/>
        <v>停车位面积</v>
      </c>
      <c r="R31" s="1567" t="s">
        <v>8</v>
      </c>
      <c r="S31" s="1568" t="e">
        <f t="shared" si="12"/>
        <v>#N/A</v>
      </c>
      <c r="T31" s="1567" t="s">
        <v>8</v>
      </c>
      <c r="U31" s="1568" t="e">
        <f t="shared" si="13"/>
        <v>#N/A</v>
      </c>
      <c r="V31" s="1567" t="s">
        <v>8</v>
      </c>
      <c r="W31" s="1568" t="e">
        <f t="shared" si="14"/>
        <v>#N/A</v>
      </c>
      <c r="X31" s="1569"/>
      <c r="Y31" s="3615"/>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615" t="s">
        <v>549</v>
      </c>
      <c r="Q32" s="1571" t="str">
        <f t="shared" si="11"/>
        <v>车位类型</v>
      </c>
      <c r="R32" s="1572" t="s">
        <v>8</v>
      </c>
      <c r="S32" s="1573">
        <f t="shared" si="12"/>
        <v>100</v>
      </c>
      <c r="T32" s="1572" t="s">
        <v>8</v>
      </c>
      <c r="U32" s="1573">
        <f t="shared" si="13"/>
        <v>100</v>
      </c>
      <c r="V32" s="1572" t="s">
        <v>8</v>
      </c>
      <c r="W32" s="1573">
        <f t="shared" si="14"/>
        <v>100</v>
      </c>
      <c r="X32" s="1566"/>
      <c r="Y32" s="3615"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615"/>
      <c r="Q33" s="1571" t="str">
        <f t="shared" si="11"/>
        <v>是否直接入户</v>
      </c>
      <c r="R33" s="1572" t="s">
        <v>8</v>
      </c>
      <c r="S33" s="1573">
        <f t="shared" si="12"/>
        <v>100</v>
      </c>
      <c r="T33" s="1572" t="s">
        <v>8</v>
      </c>
      <c r="U33" s="1573">
        <f t="shared" si="13"/>
        <v>100</v>
      </c>
      <c r="V33" s="1572" t="s">
        <v>8</v>
      </c>
      <c r="W33" s="1573">
        <f t="shared" si="14"/>
        <v>100</v>
      </c>
      <c r="X33" s="1566"/>
      <c r="Y33" s="3615"/>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615"/>
      <c r="Q34" s="1571">
        <f t="shared" si="11"/>
        <v>111</v>
      </c>
      <c r="R34" s="1572" t="s">
        <v>8</v>
      </c>
      <c r="S34" s="1573">
        <f t="shared" si="12"/>
        <v>100</v>
      </c>
      <c r="T34" s="1572" t="s">
        <v>8</v>
      </c>
      <c r="U34" s="1573">
        <f t="shared" si="13"/>
        <v>100</v>
      </c>
      <c r="V34" s="1572" t="s">
        <v>8</v>
      </c>
      <c r="W34" s="1573">
        <f t="shared" si="14"/>
        <v>100</v>
      </c>
      <c r="X34" s="1566"/>
      <c r="Y34" s="3615"/>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615"/>
      <c r="Q35" s="1604">
        <f t="shared" si="11"/>
        <v>111</v>
      </c>
      <c r="R35" s="1576" t="s">
        <v>8</v>
      </c>
      <c r="S35" s="1577">
        <f t="shared" si="12"/>
        <v>100</v>
      </c>
      <c r="T35" s="1576" t="s">
        <v>8</v>
      </c>
      <c r="U35" s="1577">
        <f t="shared" si="13"/>
        <v>100</v>
      </c>
      <c r="V35" s="1576" t="s">
        <v>8</v>
      </c>
      <c r="W35" s="1577">
        <f t="shared" si="14"/>
        <v>100</v>
      </c>
      <c r="X35" s="1578"/>
      <c r="Y35" s="3615"/>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615"/>
      <c r="Q36" s="1571">
        <f t="shared" si="11"/>
        <v>111</v>
      </c>
      <c r="R36" s="1572" t="s">
        <v>8</v>
      </c>
      <c r="S36" s="1573">
        <f t="shared" si="12"/>
        <v>100</v>
      </c>
      <c r="T36" s="1572" t="s">
        <v>8</v>
      </c>
      <c r="U36" s="1573">
        <f t="shared" si="13"/>
        <v>100</v>
      </c>
      <c r="V36" s="1572" t="s">
        <v>8</v>
      </c>
      <c r="W36" s="1573">
        <f t="shared" si="14"/>
        <v>100</v>
      </c>
      <c r="X36" s="1566"/>
      <c r="Y36" s="3615"/>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578" t="str">
        <f>A37</f>
        <v>成交单价</v>
      </c>
      <c r="Q37" s="3578"/>
      <c r="R37" s="3676">
        <f>E37</f>
        <v>0</v>
      </c>
      <c r="S37" s="3676"/>
      <c r="T37" s="3676">
        <f>G37</f>
        <v>0</v>
      </c>
      <c r="U37" s="3676"/>
      <c r="V37" s="3676">
        <f>I37</f>
        <v>0</v>
      </c>
      <c r="W37" s="3676"/>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578" t="str">
        <f>A38</f>
        <v>比较价格（元/平方米）</v>
      </c>
      <c r="Q38" s="3578"/>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75" t="str">
        <f>A39</f>
        <v>估价对象XX用房的比较价格（楼面单价，元/平方米）</v>
      </c>
      <c r="Q39" s="3576"/>
      <c r="R39" s="3675" t="e">
        <f>IF(F1="售价",ROUND(AVERAGE(R38:V38),0),ROUND(AVERAGE(R38:V38),1))</f>
        <v>#DIV/0!</v>
      </c>
      <c r="S39" s="3675"/>
      <c r="T39" s="3675"/>
      <c r="U39" s="3675"/>
      <c r="V39" s="3675"/>
      <c r="W39" s="3675"/>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topLeftCell="A10" zoomScale="90" zoomScaleNormal="90" workbookViewId="0">
      <selection activeCell="M32" sqref="M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t="s">
        <v>3011</v>
      </c>
      <c r="C1" s="504" t="s">
        <v>791</v>
      </c>
      <c r="D1" s="849" t="s">
        <v>3016</v>
      </c>
      <c r="E1" s="506"/>
      <c r="F1" s="2784" t="s">
        <v>2855</v>
      </c>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f>ROUND(B3*D3/10000,0)</f>
        <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f>C37</f>
        <v>1.5</v>
      </c>
      <c r="C3" s="852" t="s">
        <v>795</v>
      </c>
      <c r="D3" s="851">
        <f>SUMIF('数据-汇总表'!$C19:$C33,D1,'数据-汇总表'!$E19:$E33)</f>
        <v>2364.58</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584" t="s">
        <v>797</v>
      </c>
      <c r="D4" s="3585"/>
      <c r="E4" s="3618" t="s">
        <v>798</v>
      </c>
      <c r="F4" s="3619"/>
      <c r="G4" s="3584" t="s">
        <v>799</v>
      </c>
      <c r="H4" s="3585"/>
      <c r="I4" s="3584" t="s">
        <v>800</v>
      </c>
      <c r="J4" s="3585"/>
      <c r="K4" s="514" t="s">
        <v>801</v>
      </c>
      <c r="L4" s="2132"/>
      <c r="M4" s="2133"/>
      <c r="N4" s="2133"/>
      <c r="O4" s="2133"/>
      <c r="P4" s="3586" t="s">
        <v>802</v>
      </c>
      <c r="Q4" s="3587"/>
      <c r="R4" s="3592" t="s">
        <v>798</v>
      </c>
      <c r="S4" s="3593"/>
      <c r="T4" s="3592" t="s">
        <v>799</v>
      </c>
      <c r="U4" s="3593"/>
      <c r="V4" s="3579" t="s">
        <v>800</v>
      </c>
      <c r="W4" s="3579"/>
      <c r="X4" s="1566"/>
      <c r="Y4" s="3592" t="s">
        <v>802</v>
      </c>
      <c r="Z4" s="3593"/>
      <c r="AA4" s="3581" t="s">
        <v>798</v>
      </c>
      <c r="AB4" s="3582" t="s">
        <v>799</v>
      </c>
      <c r="AC4" s="3581" t="s">
        <v>800</v>
      </c>
    </row>
    <row r="5" spans="1:29" ht="15">
      <c r="A5" s="515"/>
      <c r="B5" s="516"/>
      <c r="C5" s="3600" t="s">
        <v>2925</v>
      </c>
      <c r="D5" s="3601"/>
      <c r="E5" s="3620" t="s">
        <v>2926</v>
      </c>
      <c r="F5" s="3621"/>
      <c r="G5" s="3600" t="s">
        <v>2927</v>
      </c>
      <c r="H5" s="3601"/>
      <c r="I5" s="3600" t="s">
        <v>2928</v>
      </c>
      <c r="J5" s="3601"/>
      <c r="K5" s="514"/>
      <c r="L5" s="2132"/>
      <c r="M5" s="2133"/>
      <c r="N5" s="2133"/>
      <c r="O5" s="2133"/>
      <c r="P5" s="3588"/>
      <c r="Q5" s="3589"/>
      <c r="R5" s="3594"/>
      <c r="S5" s="3595"/>
      <c r="T5" s="3594"/>
      <c r="U5" s="3595"/>
      <c r="V5" s="3579"/>
      <c r="W5" s="3579"/>
      <c r="X5" s="1566"/>
      <c r="Y5" s="3594"/>
      <c r="Z5" s="3595"/>
      <c r="AA5" s="3582"/>
      <c r="AB5" s="3582"/>
      <c r="AC5" s="3582"/>
    </row>
    <row r="6" spans="1:29" ht="15.75" thickBot="1">
      <c r="A6" s="517"/>
      <c r="B6" s="518"/>
      <c r="C6" s="3598" t="s">
        <v>2929</v>
      </c>
      <c r="D6" s="3599"/>
      <c r="E6" s="3701" t="s">
        <v>3214</v>
      </c>
      <c r="F6" s="3617"/>
      <c r="G6" s="3700" t="s">
        <v>3198</v>
      </c>
      <c r="H6" s="3599"/>
      <c r="I6" s="3700" t="s">
        <v>3199</v>
      </c>
      <c r="J6" s="3599"/>
      <c r="K6" s="514" t="s">
        <v>527</v>
      </c>
      <c r="L6" s="2132"/>
      <c r="M6" s="2133"/>
      <c r="N6" s="2133"/>
      <c r="O6" s="2133"/>
      <c r="P6" s="3590"/>
      <c r="Q6" s="3591"/>
      <c r="R6" s="3594"/>
      <c r="S6" s="3595"/>
      <c r="T6" s="3596"/>
      <c r="U6" s="3597"/>
      <c r="V6" s="3579"/>
      <c r="W6" s="3579"/>
      <c r="X6" s="1566"/>
      <c r="Y6" s="3596"/>
      <c r="Z6" s="3597"/>
      <c r="AA6" s="3583"/>
      <c r="AB6" s="3583"/>
      <c r="AC6" s="3583"/>
    </row>
    <row r="7" spans="1:29" s="1219" customFormat="1" ht="15.75" thickBot="1">
      <c r="A7" s="2889"/>
      <c r="B7" s="2896" t="s">
        <v>528</v>
      </c>
      <c r="C7" s="519">
        <f>'数据-取费表'!B2</f>
        <v>43528</v>
      </c>
      <c r="D7" s="520">
        <v>100</v>
      </c>
      <c r="E7" s="521">
        <v>43525</v>
      </c>
      <c r="F7" s="522">
        <f>SUMIF(46:46,YEAR(E7)&amp;"-"&amp;MONTH(E7),47:47)</f>
        <v>100</v>
      </c>
      <c r="G7" s="523">
        <v>43525</v>
      </c>
      <c r="H7" s="520">
        <f>SUMIF(46:46,YEAR(G7)&amp;"-"&amp;MONTH(G7),47:47)</f>
        <v>100</v>
      </c>
      <c r="I7" s="523">
        <v>43525</v>
      </c>
      <c r="J7" s="520">
        <f>SUMIF(46:46,YEAR(I7)&amp;"-"&amp;MONTH(I7),47:47)</f>
        <v>100</v>
      </c>
      <c r="K7" s="524"/>
      <c r="L7" s="2134"/>
      <c r="M7" s="2135"/>
      <c r="N7" s="2135"/>
      <c r="O7" s="2135"/>
      <c r="P7" s="3609" t="s">
        <v>529</v>
      </c>
      <c r="Q7" s="3611"/>
      <c r="R7" s="1567" t="s">
        <v>8</v>
      </c>
      <c r="S7" s="1568">
        <f t="shared" ref="S7:S14" si="0">F7</f>
        <v>100</v>
      </c>
      <c r="T7" s="1567" t="s">
        <v>8</v>
      </c>
      <c r="U7" s="1568">
        <f t="shared" ref="U7:U14" si="1">H7</f>
        <v>100</v>
      </c>
      <c r="V7" s="1567" t="s">
        <v>8</v>
      </c>
      <c r="W7" s="1568">
        <f t="shared" ref="W7:W14" si="2">J7</f>
        <v>100</v>
      </c>
      <c r="X7" s="1569"/>
      <c r="Y7" s="3609" t="s">
        <v>529</v>
      </c>
      <c r="Z7" s="3610"/>
      <c r="AA7" s="1570">
        <f>D7/F7</f>
        <v>1</v>
      </c>
      <c r="AB7" s="1570">
        <f>D7/H7</f>
        <v>1</v>
      </c>
      <c r="AC7" s="1570">
        <f>D7/J7</f>
        <v>1</v>
      </c>
    </row>
    <row r="8" spans="1:29" s="1219" customFormat="1" ht="15.75" thickBot="1">
      <c r="A8" s="2890"/>
      <c r="B8" s="2897" t="s">
        <v>530</v>
      </c>
      <c r="C8" s="525" t="s">
        <v>575</v>
      </c>
      <c r="D8" s="520">
        <v>100</v>
      </c>
      <c r="E8" s="525" t="s">
        <v>3030</v>
      </c>
      <c r="F8" s="522">
        <f>SUMIF(49:49,E8,50:50)-SUMIF(49:49,C8,50:50)+100</f>
        <v>100</v>
      </c>
      <c r="G8" s="525" t="s">
        <v>3030</v>
      </c>
      <c r="H8" s="520">
        <f>SUMIF(49:49,G8,50:50)-SUMIF(49:49,C8,50:50)+100</f>
        <v>100</v>
      </c>
      <c r="I8" s="525" t="s">
        <v>3030</v>
      </c>
      <c r="J8" s="520">
        <f>SUMIF(49:49,I8,50:50)-SUMIF(49:49,C8,50:50)+100</f>
        <v>100</v>
      </c>
      <c r="K8" s="524"/>
      <c r="L8" s="2134"/>
      <c r="M8" s="2135"/>
      <c r="N8" s="2135"/>
      <c r="O8" s="2135"/>
      <c r="P8" s="3609" t="s">
        <v>532</v>
      </c>
      <c r="Q8" s="3610"/>
      <c r="R8" s="1567" t="s">
        <v>8</v>
      </c>
      <c r="S8" s="1568">
        <f t="shared" si="0"/>
        <v>100</v>
      </c>
      <c r="T8" s="1567" t="s">
        <v>8</v>
      </c>
      <c r="U8" s="1568">
        <f t="shared" si="1"/>
        <v>100</v>
      </c>
      <c r="V8" s="1567" t="s">
        <v>8</v>
      </c>
      <c r="W8" s="1568">
        <f t="shared" si="2"/>
        <v>100</v>
      </c>
      <c r="X8" s="1569"/>
      <c r="Y8" s="3609" t="s">
        <v>532</v>
      </c>
      <c r="Z8" s="3610"/>
      <c r="AA8" s="1570">
        <f t="shared" ref="AA8:AA34" si="3">D8/F8</f>
        <v>1</v>
      </c>
      <c r="AB8" s="1570">
        <f t="shared" ref="AB8:AB34" si="4">D8/H8</f>
        <v>1</v>
      </c>
      <c r="AC8" s="1570">
        <f t="shared" ref="AC8:AC34" si="5">D8/J8</f>
        <v>1</v>
      </c>
    </row>
    <row r="9" spans="1:29" s="1219" customFormat="1" ht="15">
      <c r="A9" s="2891"/>
      <c r="B9" s="2898" t="s">
        <v>2756</v>
      </c>
      <c r="C9" s="3194" t="s">
        <v>3200</v>
      </c>
      <c r="D9" s="254">
        <v>100</v>
      </c>
      <c r="E9" s="860" t="s">
        <v>3016</v>
      </c>
      <c r="F9" s="254">
        <f>SUMIF(51:51,E9,52:52)-SUMIF(51:51,C9,52:52)+100</f>
        <v>100</v>
      </c>
      <c r="G9" s="860" t="s">
        <v>3016</v>
      </c>
      <c r="H9" s="254">
        <f>SUMIF(51:51,G9,52:52)-SUMIF(51:51,C9,52:52)+100</f>
        <v>100</v>
      </c>
      <c r="I9" s="860" t="s">
        <v>3016</v>
      </c>
      <c r="J9" s="254">
        <f>SUMIF(51:51,I9,52:52)-SUMIF(51:51,C9,52:52)+100</f>
        <v>100</v>
      </c>
      <c r="K9" s="524"/>
      <c r="L9" s="2134"/>
      <c r="M9" s="2135"/>
      <c r="N9" s="2135"/>
      <c r="O9" s="2136"/>
      <c r="P9" s="3578" t="s">
        <v>534</v>
      </c>
      <c r="Q9" s="1150" t="str">
        <f t="shared" ref="Q9:Q14" si="6">B9</f>
        <v>用途</v>
      </c>
      <c r="R9" s="1567" t="s">
        <v>8</v>
      </c>
      <c r="S9" s="1568">
        <f t="shared" si="0"/>
        <v>100</v>
      </c>
      <c r="T9" s="1567" t="s">
        <v>8</v>
      </c>
      <c r="U9" s="1568">
        <f t="shared" si="1"/>
        <v>100</v>
      </c>
      <c r="V9" s="1567" t="s">
        <v>8</v>
      </c>
      <c r="W9" s="1568">
        <f t="shared" si="2"/>
        <v>100</v>
      </c>
      <c r="X9" s="1569"/>
      <c r="Y9" s="3442" t="s">
        <v>535</v>
      </c>
      <c r="Z9" s="1149" t="str">
        <f t="shared" ref="Z9:Z14" si="7">Q9</f>
        <v>用途</v>
      </c>
      <c r="AA9" s="1570">
        <f t="shared" si="3"/>
        <v>1</v>
      </c>
      <c r="AB9" s="1570">
        <f t="shared" si="4"/>
        <v>1</v>
      </c>
      <c r="AC9" s="1570">
        <f t="shared" si="5"/>
        <v>1</v>
      </c>
    </row>
    <row r="10" spans="1:29" s="1337" customFormat="1" ht="27.75" thickBot="1">
      <c r="A10" s="2892"/>
      <c r="B10" s="2897" t="s">
        <v>2757</v>
      </c>
      <c r="C10" s="861" t="s">
        <v>3201</v>
      </c>
      <c r="D10" s="255">
        <v>100</v>
      </c>
      <c r="E10" s="861" t="s">
        <v>3201</v>
      </c>
      <c r="F10" s="255">
        <f>SUMIF(53:53,E10,54:54)-SUMIF(53:53,C10,54:54)+100</f>
        <v>100</v>
      </c>
      <c r="G10" s="862" t="s">
        <v>3201</v>
      </c>
      <c r="H10" s="255">
        <f>SUMIF(53:53,G10,54:54)-SUMIF(53:53,C10,54:54)+100</f>
        <v>100</v>
      </c>
      <c r="I10" s="861" t="s">
        <v>3201</v>
      </c>
      <c r="J10" s="255">
        <f>SUMIF(53:53,I10,54:54)-SUMIF(53:53,C10,54:54)+100</f>
        <v>100</v>
      </c>
      <c r="K10" s="584"/>
      <c r="L10" s="2137"/>
      <c r="M10" s="2177"/>
      <c r="N10" s="2177"/>
      <c r="O10" s="2138"/>
      <c r="P10" s="3578"/>
      <c r="Q10" s="1150" t="str">
        <f t="shared" si="6"/>
        <v>土地使用年限（年）</v>
      </c>
      <c r="R10" s="1567" t="s">
        <v>8</v>
      </c>
      <c r="S10" s="1568">
        <f t="shared" si="0"/>
        <v>100</v>
      </c>
      <c r="T10" s="1567" t="s">
        <v>8</v>
      </c>
      <c r="U10" s="1568">
        <f t="shared" si="1"/>
        <v>100</v>
      </c>
      <c r="V10" s="1567" t="s">
        <v>8</v>
      </c>
      <c r="W10" s="1568">
        <f t="shared" si="2"/>
        <v>100</v>
      </c>
      <c r="X10" s="1569"/>
      <c r="Y10" s="3442"/>
      <c r="Z10" s="1149" t="str">
        <f t="shared" si="7"/>
        <v>土地使用年限（年）</v>
      </c>
      <c r="AA10" s="1570">
        <f t="shared" si="3"/>
        <v>1</v>
      </c>
      <c r="AB10" s="1570">
        <f t="shared" si="4"/>
        <v>1</v>
      </c>
      <c r="AC10" s="1570">
        <f t="shared" si="5"/>
        <v>1</v>
      </c>
    </row>
    <row r="11" spans="1:29" ht="15" hidden="1">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578"/>
      <c r="Q11" s="1150">
        <f t="shared" si="6"/>
        <v>111</v>
      </c>
      <c r="R11" s="1567" t="s">
        <v>8</v>
      </c>
      <c r="S11" s="1568">
        <f t="shared" si="0"/>
        <v>100</v>
      </c>
      <c r="T11" s="1567" t="s">
        <v>8</v>
      </c>
      <c r="U11" s="1568">
        <f t="shared" si="1"/>
        <v>100</v>
      </c>
      <c r="V11" s="1567" t="s">
        <v>8</v>
      </c>
      <c r="W11" s="1568">
        <f t="shared" si="2"/>
        <v>100</v>
      </c>
      <c r="X11" s="1569"/>
      <c r="Y11" s="3442"/>
      <c r="Z11" s="1149">
        <f t="shared" si="7"/>
        <v>111</v>
      </c>
      <c r="AA11" s="1570">
        <f t="shared" si="3"/>
        <v>1</v>
      </c>
      <c r="AB11" s="1570">
        <f t="shared" si="4"/>
        <v>1</v>
      </c>
      <c r="AC11" s="1570">
        <f t="shared" si="5"/>
        <v>1</v>
      </c>
    </row>
    <row r="12" spans="1:29" s="1219" customFormat="1" ht="15" hidden="1">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578"/>
      <c r="Q12" s="1150">
        <f t="shared" si="6"/>
        <v>111</v>
      </c>
      <c r="R12" s="1567" t="s">
        <v>8</v>
      </c>
      <c r="S12" s="1568">
        <f t="shared" si="0"/>
        <v>100</v>
      </c>
      <c r="T12" s="1567" t="s">
        <v>8</v>
      </c>
      <c r="U12" s="1568">
        <f t="shared" si="1"/>
        <v>100</v>
      </c>
      <c r="V12" s="1567" t="s">
        <v>8</v>
      </c>
      <c r="W12" s="1568">
        <f t="shared" si="2"/>
        <v>100</v>
      </c>
      <c r="X12" s="1569"/>
      <c r="Y12" s="3442"/>
      <c r="Z12" s="1149">
        <f t="shared" si="7"/>
        <v>111</v>
      </c>
      <c r="AA12" s="1570">
        <f>D12/F12</f>
        <v>1</v>
      </c>
      <c r="AB12" s="1570">
        <f>D12/H12</f>
        <v>1</v>
      </c>
      <c r="AC12" s="1570">
        <f>D12/J12</f>
        <v>1</v>
      </c>
    </row>
    <row r="13" spans="1:29" ht="15.75" hidden="1"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578"/>
      <c r="Q13" s="1150">
        <f t="shared" si="6"/>
        <v>111</v>
      </c>
      <c r="R13" s="1567" t="s">
        <v>8</v>
      </c>
      <c r="S13" s="1568">
        <f t="shared" si="0"/>
        <v>100</v>
      </c>
      <c r="T13" s="1567" t="s">
        <v>8</v>
      </c>
      <c r="U13" s="1568">
        <f t="shared" si="1"/>
        <v>100</v>
      </c>
      <c r="V13" s="1567" t="s">
        <v>8</v>
      </c>
      <c r="W13" s="1568">
        <f t="shared" si="2"/>
        <v>100</v>
      </c>
      <c r="X13" s="1569"/>
      <c r="Y13" s="3442"/>
      <c r="Z13" s="1149">
        <f t="shared" si="7"/>
        <v>111</v>
      </c>
      <c r="AA13" s="1570">
        <f t="shared" si="3"/>
        <v>1</v>
      </c>
      <c r="AB13" s="1570">
        <f t="shared" si="4"/>
        <v>1</v>
      </c>
      <c r="AC13" s="1570">
        <f t="shared" si="5"/>
        <v>1</v>
      </c>
    </row>
    <row r="14" spans="1:29" ht="43.5" customHeight="1">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101</v>
      </c>
      <c r="I14" s="550"/>
      <c r="J14" s="549">
        <f>SUMIF(61:61,I15,62:62)-SUMIF(61:61,C15,62:62)+100</f>
        <v>100</v>
      </c>
      <c r="K14" s="897">
        <v>1</v>
      </c>
      <c r="L14" s="2141"/>
      <c r="M14" s="2133"/>
      <c r="N14" s="2133"/>
      <c r="O14" s="2140"/>
      <c r="P14" s="3612" t="s">
        <v>539</v>
      </c>
      <c r="Q14" s="1571" t="str">
        <f t="shared" si="6"/>
        <v>交通便捷度</v>
      </c>
      <c r="R14" s="1572" t="s">
        <v>8</v>
      </c>
      <c r="S14" s="1573">
        <f t="shared" si="0"/>
        <v>100</v>
      </c>
      <c r="T14" s="1572" t="s">
        <v>8</v>
      </c>
      <c r="U14" s="1573">
        <f t="shared" si="1"/>
        <v>101</v>
      </c>
      <c r="V14" s="1572" t="s">
        <v>8</v>
      </c>
      <c r="W14" s="1573">
        <f t="shared" si="2"/>
        <v>100</v>
      </c>
      <c r="X14" s="1566"/>
      <c r="Y14" s="3612" t="s">
        <v>539</v>
      </c>
      <c r="Z14" s="1574" t="str">
        <f t="shared" si="7"/>
        <v>交通便捷度</v>
      </c>
      <c r="AA14" s="1575">
        <f t="shared" si="3"/>
        <v>1</v>
      </c>
      <c r="AB14" s="1575">
        <f t="shared" si="4"/>
        <v>0.99009900990099009</v>
      </c>
      <c r="AC14" s="1575">
        <f t="shared" si="5"/>
        <v>1</v>
      </c>
    </row>
    <row r="15" spans="1:29" ht="15">
      <c r="A15" s="532"/>
      <c r="B15" s="869"/>
      <c r="C15" s="576" t="s">
        <v>3034</v>
      </c>
      <c r="D15" s="555"/>
      <c r="E15" s="576" t="s">
        <v>3034</v>
      </c>
      <c r="F15" s="557"/>
      <c r="G15" s="576" t="s">
        <v>3031</v>
      </c>
      <c r="H15" s="559"/>
      <c r="I15" s="576" t="s">
        <v>3034</v>
      </c>
      <c r="J15" s="555"/>
      <c r="K15" s="898"/>
      <c r="L15" s="2141"/>
      <c r="M15" s="2133"/>
      <c r="N15" s="2133"/>
      <c r="O15" s="2140"/>
      <c r="P15" s="3613"/>
      <c r="Q15" s="1571"/>
      <c r="R15" s="1572"/>
      <c r="S15" s="1573"/>
      <c r="T15" s="1572"/>
      <c r="U15" s="1573"/>
      <c r="V15" s="1572"/>
      <c r="W15" s="1573"/>
      <c r="X15" s="1566"/>
      <c r="Y15" s="3613"/>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101</v>
      </c>
      <c r="G16" s="572"/>
      <c r="H16" s="565">
        <f>SUMIF(63:63,G17,64:64)-SUMIF(63:63,C17,64:64)+100</f>
        <v>101</v>
      </c>
      <c r="I16" s="570"/>
      <c r="J16" s="565">
        <f>SUMIF(63:63,I17,64:64)-SUMIF(63:63,C17,64:64)+100</f>
        <v>100</v>
      </c>
      <c r="K16" s="897">
        <v>1</v>
      </c>
      <c r="L16" s="2141"/>
      <c r="M16" s="2133"/>
      <c r="N16" s="2133"/>
      <c r="O16" s="2140"/>
      <c r="P16" s="3613"/>
      <c r="Q16" s="1571" t="str">
        <f>B16</f>
        <v>公共配套设施</v>
      </c>
      <c r="R16" s="1572" t="s">
        <v>8</v>
      </c>
      <c r="S16" s="1573">
        <f>F16</f>
        <v>101</v>
      </c>
      <c r="T16" s="1572" t="s">
        <v>8</v>
      </c>
      <c r="U16" s="1573">
        <f>H16</f>
        <v>101</v>
      </c>
      <c r="V16" s="1572" t="s">
        <v>8</v>
      </c>
      <c r="W16" s="1573">
        <f>J16</f>
        <v>100</v>
      </c>
      <c r="X16" s="1566"/>
      <c r="Y16" s="3613"/>
      <c r="Z16" s="1574" t="str">
        <f>Q16</f>
        <v>公共配套设施</v>
      </c>
      <c r="AA16" s="1575">
        <f t="shared" si="3"/>
        <v>0.99009900990099009</v>
      </c>
      <c r="AB16" s="1575">
        <f t="shared" si="4"/>
        <v>0.99009900990099009</v>
      </c>
      <c r="AC16" s="1575">
        <f t="shared" si="5"/>
        <v>1</v>
      </c>
    </row>
    <row r="17" spans="1:29" ht="15">
      <c r="A17" s="532"/>
      <c r="B17" s="566"/>
      <c r="C17" s="873" t="s">
        <v>3034</v>
      </c>
      <c r="D17" s="555"/>
      <c r="E17" s="576" t="s">
        <v>3031</v>
      </c>
      <c r="F17" s="557"/>
      <c r="G17" s="576" t="s">
        <v>3031</v>
      </c>
      <c r="H17" s="555"/>
      <c r="I17" s="576" t="s">
        <v>3034</v>
      </c>
      <c r="J17" s="555"/>
      <c r="K17" s="898"/>
      <c r="L17" s="2141"/>
      <c r="M17" s="2133"/>
      <c r="N17" s="2133"/>
      <c r="O17" s="2140"/>
      <c r="P17" s="3613"/>
      <c r="Q17" s="1571"/>
      <c r="R17" s="1572"/>
      <c r="S17" s="1573"/>
      <c r="T17" s="1572"/>
      <c r="U17" s="1573"/>
      <c r="V17" s="1572"/>
      <c r="W17" s="1573"/>
      <c r="X17" s="1566"/>
      <c r="Y17" s="3613"/>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613"/>
      <c r="Q18" s="2557" t="str">
        <f>B18</f>
        <v>基础设施水平</v>
      </c>
      <c r="R18" s="1572" t="s">
        <v>8</v>
      </c>
      <c r="S18" s="1573">
        <f>F18</f>
        <v>100</v>
      </c>
      <c r="T18" s="1572" t="s">
        <v>8</v>
      </c>
      <c r="U18" s="1573">
        <f>H18</f>
        <v>100</v>
      </c>
      <c r="V18" s="1572" t="s">
        <v>8</v>
      </c>
      <c r="W18" s="1573">
        <f>J18</f>
        <v>100</v>
      </c>
      <c r="X18" s="2559"/>
      <c r="Y18" s="3613"/>
      <c r="Z18" s="2558" t="str">
        <f>Q18</f>
        <v>基础设施水平</v>
      </c>
      <c r="AA18" s="1575">
        <f t="shared" ref="AA18" si="8">D18/F18</f>
        <v>1</v>
      </c>
      <c r="AB18" s="1575">
        <f t="shared" ref="AB18" si="9">D18/H18</f>
        <v>1</v>
      </c>
      <c r="AC18" s="1575">
        <f t="shared" ref="AC18" si="10">D18/J18</f>
        <v>1</v>
      </c>
    </row>
    <row r="19" spans="1:29" ht="15">
      <c r="A19" s="532"/>
      <c r="B19" s="578"/>
      <c r="C19" s="873" t="s">
        <v>3033</v>
      </c>
      <c r="D19" s="559"/>
      <c r="E19" s="873" t="s">
        <v>3033</v>
      </c>
      <c r="F19" s="563"/>
      <c r="G19" s="873" t="s">
        <v>3033</v>
      </c>
      <c r="H19" s="555"/>
      <c r="I19" s="576" t="s">
        <v>3033</v>
      </c>
      <c r="J19" s="555"/>
      <c r="K19" s="2580"/>
      <c r="L19" s="2141"/>
      <c r="M19" s="2133"/>
      <c r="N19" s="2133"/>
      <c r="O19" s="2140"/>
      <c r="P19" s="3613"/>
      <c r="Q19" s="2557"/>
      <c r="R19" s="1572"/>
      <c r="S19" s="1573"/>
      <c r="T19" s="1572"/>
      <c r="U19" s="1573"/>
      <c r="V19" s="1572"/>
      <c r="W19" s="1573"/>
      <c r="X19" s="2559"/>
      <c r="Y19" s="3613"/>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613"/>
      <c r="Q20" s="1571" t="str">
        <f>B20</f>
        <v>自然及人文环境</v>
      </c>
      <c r="R20" s="1572" t="s">
        <v>8</v>
      </c>
      <c r="S20" s="1573">
        <f>F20</f>
        <v>100</v>
      </c>
      <c r="T20" s="1572" t="s">
        <v>8</v>
      </c>
      <c r="U20" s="1573">
        <f>H20</f>
        <v>100</v>
      </c>
      <c r="V20" s="1572" t="s">
        <v>8</v>
      </c>
      <c r="W20" s="1573">
        <f>J20</f>
        <v>100</v>
      </c>
      <c r="X20" s="1566"/>
      <c r="Y20" s="3613"/>
      <c r="Z20" s="1574" t="str">
        <f>Q20</f>
        <v>自然及人文环境</v>
      </c>
      <c r="AA20" s="1575">
        <f t="shared" si="3"/>
        <v>1</v>
      </c>
      <c r="AB20" s="1575">
        <f t="shared" si="4"/>
        <v>1</v>
      </c>
      <c r="AC20" s="1575">
        <f t="shared" si="5"/>
        <v>1</v>
      </c>
    </row>
    <row r="21" spans="1:29" ht="15">
      <c r="A21" s="532"/>
      <c r="B21" s="595"/>
      <c r="C21" s="576" t="s">
        <v>3034</v>
      </c>
      <c r="D21" s="555"/>
      <c r="E21" s="576" t="s">
        <v>3034</v>
      </c>
      <c r="F21" s="557"/>
      <c r="G21" s="576" t="s">
        <v>3034</v>
      </c>
      <c r="H21" s="555"/>
      <c r="I21" s="576" t="s">
        <v>3034</v>
      </c>
      <c r="J21" s="555"/>
      <c r="K21" s="898"/>
      <c r="L21" s="2141"/>
      <c r="M21" s="2133"/>
      <c r="N21" s="2133"/>
      <c r="O21" s="2140"/>
      <c r="P21" s="3613"/>
      <c r="Q21" s="1571"/>
      <c r="R21" s="1572"/>
      <c r="S21" s="1573"/>
      <c r="T21" s="1572"/>
      <c r="U21" s="1573"/>
      <c r="V21" s="1572"/>
      <c r="W21" s="1573"/>
      <c r="X21" s="1566"/>
      <c r="Y21" s="3613"/>
      <c r="Z21" s="1574"/>
      <c r="AA21" s="1575">
        <v>1</v>
      </c>
      <c r="AB21" s="1575">
        <v>1</v>
      </c>
      <c r="AC21" s="1575">
        <v>1</v>
      </c>
    </row>
    <row r="22" spans="1:29" ht="15">
      <c r="A22" s="532"/>
      <c r="B22" s="871" t="s">
        <v>804</v>
      </c>
      <c r="C22" s="583" t="s">
        <v>3202</v>
      </c>
      <c r="D22" s="559">
        <v>100</v>
      </c>
      <c r="E22" s="583" t="s">
        <v>3202</v>
      </c>
      <c r="F22" s="575">
        <f>SUMIF(69:69,E22,70:70)-SUMIF(69:69,C22,70:70)+100</f>
        <v>100</v>
      </c>
      <c r="G22" s="583" t="s">
        <v>3202</v>
      </c>
      <c r="H22" s="540">
        <f>SUMIF(69:69,G22,70:70)-SUMIF(69:69,C22,70:70)+100</f>
        <v>100</v>
      </c>
      <c r="I22" s="583" t="s">
        <v>3202</v>
      </c>
      <c r="J22" s="540">
        <f>SUMIF(69:69,I22,70:70)-SUMIF(69:69,C22,70:70)+100</f>
        <v>100</v>
      </c>
      <c r="K22" s="584"/>
      <c r="L22" s="2141"/>
      <c r="M22" s="2133"/>
      <c r="N22" s="2133"/>
      <c r="O22" s="2140"/>
      <c r="P22" s="3613"/>
      <c r="Q22" s="1571" t="str">
        <f>B22</f>
        <v>楼层</v>
      </c>
      <c r="R22" s="1572" t="s">
        <v>8</v>
      </c>
      <c r="S22" s="1573">
        <f>F22</f>
        <v>100</v>
      </c>
      <c r="T22" s="1572" t="s">
        <v>8</v>
      </c>
      <c r="U22" s="1573">
        <f>H22</f>
        <v>100</v>
      </c>
      <c r="V22" s="1572" t="s">
        <v>8</v>
      </c>
      <c r="W22" s="1573">
        <f>J22</f>
        <v>100</v>
      </c>
      <c r="X22" s="1566"/>
      <c r="Y22" s="3613"/>
      <c r="Z22" s="1574" t="str">
        <f>Q22</f>
        <v>楼层</v>
      </c>
      <c r="AA22" s="1575">
        <f t="shared" si="3"/>
        <v>1</v>
      </c>
      <c r="AB22" s="1575">
        <f t="shared" si="4"/>
        <v>1</v>
      </c>
      <c r="AC22" s="1575">
        <f t="shared" si="5"/>
        <v>1</v>
      </c>
    </row>
    <row r="23" spans="1:29" ht="15">
      <c r="A23" s="515"/>
      <c r="B23" s="3328" t="s">
        <v>3215</v>
      </c>
      <c r="C23" s="3197" t="s">
        <v>3216</v>
      </c>
      <c r="D23" s="540">
        <v>100</v>
      </c>
      <c r="E23" s="3205" t="s">
        <v>3217</v>
      </c>
      <c r="F23" s="575">
        <f>SUMIF(71:71,E23,72:72)-SUMIF(71:71,C23,72:72)+100</f>
        <v>98</v>
      </c>
      <c r="G23" s="3205" t="s">
        <v>3218</v>
      </c>
      <c r="H23" s="540">
        <f>SUMIF(71:71,G23,72:72)-SUMIF(71:71,C23,72:72)+100</f>
        <v>99</v>
      </c>
      <c r="I23" s="3205" t="s">
        <v>3217</v>
      </c>
      <c r="J23" s="540">
        <f>SUMIF(71:71,I23,72:72)-SUMIF(71:71,C23,72:72)+100</f>
        <v>98</v>
      </c>
      <c r="K23" s="581"/>
      <c r="L23" s="2141"/>
      <c r="M23" s="2133"/>
      <c r="N23" s="2133"/>
      <c r="O23" s="2140"/>
      <c r="P23" s="3613"/>
      <c r="Q23" s="1571" t="str">
        <f>B23</f>
        <v>道路</v>
      </c>
      <c r="R23" s="1572" t="s">
        <v>8</v>
      </c>
      <c r="S23" s="1573">
        <f>F23</f>
        <v>98</v>
      </c>
      <c r="T23" s="1572" t="s">
        <v>8</v>
      </c>
      <c r="U23" s="1573">
        <f>H23</f>
        <v>99</v>
      </c>
      <c r="V23" s="1572" t="s">
        <v>8</v>
      </c>
      <c r="W23" s="1573">
        <f>J23</f>
        <v>98</v>
      </c>
      <c r="X23" s="1566"/>
      <c r="Y23" s="3613"/>
      <c r="Z23" s="1574" t="str">
        <f>Q23</f>
        <v>道路</v>
      </c>
      <c r="AA23" s="1575">
        <f t="shared" si="3"/>
        <v>1.0204081632653061</v>
      </c>
      <c r="AB23" s="1575">
        <f t="shared" si="4"/>
        <v>1.0101010101010102</v>
      </c>
      <c r="AC23" s="1575">
        <f t="shared" si="5"/>
        <v>1.0204081632653061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613"/>
      <c r="Q24" s="1571">
        <f t="shared" ref="Q24:Q34" si="11">B24</f>
        <v>111</v>
      </c>
      <c r="R24" s="1572" t="s">
        <v>8</v>
      </c>
      <c r="S24" s="1573">
        <f>F24</f>
        <v>100</v>
      </c>
      <c r="T24" s="1572" t="s">
        <v>8</v>
      </c>
      <c r="U24" s="1573">
        <f>H24</f>
        <v>100</v>
      </c>
      <c r="V24" s="1572" t="s">
        <v>8</v>
      </c>
      <c r="W24" s="1573">
        <f>J24</f>
        <v>100</v>
      </c>
      <c r="X24" s="1566"/>
      <c r="Y24" s="3613"/>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613"/>
      <c r="Q25" s="1150">
        <f t="shared" si="11"/>
        <v>111</v>
      </c>
      <c r="R25" s="1567" t="s">
        <v>8</v>
      </c>
      <c r="S25" s="1568">
        <f>F25</f>
        <v>100</v>
      </c>
      <c r="T25" s="1567" t="s">
        <v>8</v>
      </c>
      <c r="U25" s="1568">
        <f>H25</f>
        <v>100</v>
      </c>
      <c r="V25" s="1567" t="s">
        <v>8</v>
      </c>
      <c r="W25" s="1568">
        <f>J25</f>
        <v>100</v>
      </c>
      <c r="X25" s="1569"/>
      <c r="Y25" s="3613"/>
      <c r="Z25" s="1149">
        <f>Q25</f>
        <v>111</v>
      </c>
      <c r="AA25" s="1575">
        <f>D25/F25</f>
        <v>1</v>
      </c>
      <c r="AB25" s="1575">
        <f>D25/H25</f>
        <v>1</v>
      </c>
      <c r="AC25" s="1575">
        <f>D25/J25</f>
        <v>1</v>
      </c>
    </row>
    <row r="26" spans="1:29" ht="15">
      <c r="A26" s="2884" t="s">
        <v>2755</v>
      </c>
      <c r="B26" s="172" t="s">
        <v>807</v>
      </c>
      <c r="C26" s="915" t="s">
        <v>3204</v>
      </c>
      <c r="D26" s="597">
        <v>100</v>
      </c>
      <c r="E26" s="915" t="s">
        <v>3204</v>
      </c>
      <c r="F26" s="942">
        <f>SUMIF(77:77,E26,78:78)-SUMIF(77:77,C26,78:78)+100</f>
        <v>100</v>
      </c>
      <c r="G26" s="915" t="s">
        <v>3204</v>
      </c>
      <c r="H26" s="597">
        <f>SUMIF(77:77,G26,78:78)-SUMIF(77:77,C26,78:78)+100</f>
        <v>100</v>
      </c>
      <c r="I26" s="915" t="s">
        <v>3204</v>
      </c>
      <c r="J26" s="597">
        <f>SUMIF(77:77,I26,78:78)-SUMIF(77:77,C26,78:78)+100</f>
        <v>100</v>
      </c>
      <c r="K26" s="584"/>
      <c r="L26" s="2141"/>
      <c r="M26" s="2133"/>
      <c r="N26" s="2133"/>
      <c r="O26" s="2140"/>
      <c r="P26" s="361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615" t="s">
        <v>820</v>
      </c>
      <c r="Z26" s="1574" t="str">
        <f t="shared" ref="Z26:Z34" si="15">Q26</f>
        <v>公共部分装修</v>
      </c>
      <c r="AA26" s="1575">
        <f t="shared" si="3"/>
        <v>1</v>
      </c>
      <c r="AB26" s="1575">
        <f t="shared" si="4"/>
        <v>1</v>
      </c>
      <c r="AC26" s="1575">
        <f t="shared" si="5"/>
        <v>1</v>
      </c>
    </row>
    <row r="27" spans="1:29" s="1338" customFormat="1" ht="15">
      <c r="A27" s="603"/>
      <c r="B27" s="527" t="s">
        <v>808</v>
      </c>
      <c r="C27" s="882">
        <v>1</v>
      </c>
      <c r="D27" s="255">
        <v>100</v>
      </c>
      <c r="E27" s="883">
        <v>0.8</v>
      </c>
      <c r="F27" s="575">
        <f>LOOKUP(E27,80:80,81:81)-LOOKUP(C27,80:80,81:81)+100</f>
        <v>99</v>
      </c>
      <c r="G27" s="884">
        <v>0.8</v>
      </c>
      <c r="H27" s="540">
        <f>LOOKUP(G27,80:80,81:81)-LOOKUP(C27,80:80,81:81)+100</f>
        <v>99</v>
      </c>
      <c r="I27" s="884">
        <v>0.8</v>
      </c>
      <c r="J27" s="540">
        <f>LOOKUP(I27,80:80,81:81)-LOOKUP(C27,80:80,81:81)+100</f>
        <v>99</v>
      </c>
      <c r="K27" s="584">
        <v>1</v>
      </c>
      <c r="L27" s="2139"/>
      <c r="M27" s="2170"/>
      <c r="N27" s="2170"/>
      <c r="O27" s="2142"/>
      <c r="P27" s="3615"/>
      <c r="Q27" s="1604" t="str">
        <f t="shared" si="11"/>
        <v>成新率</v>
      </c>
      <c r="R27" s="1576" t="s">
        <v>8</v>
      </c>
      <c r="S27" s="1577">
        <f t="shared" si="12"/>
        <v>99</v>
      </c>
      <c r="T27" s="1576" t="s">
        <v>8</v>
      </c>
      <c r="U27" s="1577">
        <f t="shared" si="13"/>
        <v>99</v>
      </c>
      <c r="V27" s="1576" t="s">
        <v>8</v>
      </c>
      <c r="W27" s="1577">
        <f t="shared" si="14"/>
        <v>99</v>
      </c>
      <c r="X27" s="1578"/>
      <c r="Y27" s="3615"/>
      <c r="Z27" s="1579" t="str">
        <f t="shared" si="15"/>
        <v>成新率</v>
      </c>
      <c r="AA27" s="1575">
        <f t="shared" si="3"/>
        <v>1.0101010101010102</v>
      </c>
      <c r="AB27" s="1575">
        <f t="shared" si="4"/>
        <v>1.0101010101010102</v>
      </c>
      <c r="AC27" s="1575">
        <f t="shared" si="5"/>
        <v>1.0101010101010102</v>
      </c>
    </row>
    <row r="28" spans="1:29" ht="15">
      <c r="A28" s="594"/>
      <c r="B28" s="527" t="s">
        <v>809</v>
      </c>
      <c r="C28" s="574" t="s">
        <v>3207</v>
      </c>
      <c r="D28" s="540">
        <v>100</v>
      </c>
      <c r="E28" s="574" t="s">
        <v>3207</v>
      </c>
      <c r="F28" s="575">
        <f>SUMIF(82:82,E28,83:83)-SUMIF(82:82,C28,83:83)+100</f>
        <v>100</v>
      </c>
      <c r="G28" s="574" t="s">
        <v>3207</v>
      </c>
      <c r="H28" s="540">
        <f>SUMIF(82:82,G28,83:83)-SUMIF(82:82,C28,83:83)+100</f>
        <v>100</v>
      </c>
      <c r="I28" s="574" t="s">
        <v>3207</v>
      </c>
      <c r="J28" s="540">
        <f>SUMIF(82:82,I28,83:83)-SUMIF(82:82,C28,83:83)+100</f>
        <v>100</v>
      </c>
      <c r="K28" s="584"/>
      <c r="L28" s="2141"/>
      <c r="M28" s="2133"/>
      <c r="N28" s="2133"/>
      <c r="O28" s="2140"/>
      <c r="P28" s="3615"/>
      <c r="Q28" s="1571" t="str">
        <f t="shared" si="11"/>
        <v>物业等级</v>
      </c>
      <c r="R28" s="1572" t="s">
        <v>8</v>
      </c>
      <c r="S28" s="1573">
        <f t="shared" si="12"/>
        <v>100</v>
      </c>
      <c r="T28" s="1572" t="s">
        <v>8</v>
      </c>
      <c r="U28" s="1573">
        <f t="shared" si="13"/>
        <v>100</v>
      </c>
      <c r="V28" s="1572" t="s">
        <v>8</v>
      </c>
      <c r="W28" s="1573">
        <f t="shared" si="14"/>
        <v>100</v>
      </c>
      <c r="X28" s="1566"/>
      <c r="Y28" s="3615"/>
      <c r="Z28" s="1574" t="str">
        <f t="shared" si="15"/>
        <v>物业等级</v>
      </c>
      <c r="AA28" s="1575">
        <f t="shared" si="3"/>
        <v>1</v>
      </c>
      <c r="AB28" s="1575">
        <f t="shared" si="4"/>
        <v>1</v>
      </c>
      <c r="AC28" s="1575">
        <f t="shared" si="5"/>
        <v>1</v>
      </c>
    </row>
    <row r="29" spans="1:29" ht="15">
      <c r="A29" s="594"/>
      <c r="B29" s="527" t="s">
        <v>821</v>
      </c>
      <c r="C29" s="931" t="s">
        <v>3062</v>
      </c>
      <c r="D29" s="540">
        <v>100</v>
      </c>
      <c r="E29" s="931" t="s">
        <v>3063</v>
      </c>
      <c r="F29" s="575">
        <f>SUMIF(84:84,E29,85:85)-SUMIF(84:84,C29,85:85)+100</f>
        <v>99</v>
      </c>
      <c r="G29" s="931" t="s">
        <v>3063</v>
      </c>
      <c r="H29" s="540">
        <f>SUMIF(84:84,G29,85:85)-SUMIF(84:84,C29,85:85)+100</f>
        <v>99</v>
      </c>
      <c r="I29" s="931" t="s">
        <v>3063</v>
      </c>
      <c r="J29" s="540">
        <f>SUMIF(84:84,I29,85:85)-SUMIF(84:84,C29,85:85)+100</f>
        <v>99</v>
      </c>
      <c r="K29" s="584">
        <v>1</v>
      </c>
      <c r="L29" s="2141"/>
      <c r="M29" s="2133"/>
      <c r="N29" s="2133"/>
      <c r="O29" s="2140"/>
      <c r="P29" s="3615"/>
      <c r="Q29" s="1571" t="str">
        <f t="shared" si="11"/>
        <v>有无电梯</v>
      </c>
      <c r="R29" s="1572" t="s">
        <v>8</v>
      </c>
      <c r="S29" s="1573">
        <f t="shared" si="12"/>
        <v>99</v>
      </c>
      <c r="T29" s="1572" t="s">
        <v>8</v>
      </c>
      <c r="U29" s="1573">
        <f t="shared" si="13"/>
        <v>99</v>
      </c>
      <c r="V29" s="1572" t="s">
        <v>8</v>
      </c>
      <c r="W29" s="1573">
        <f t="shared" si="14"/>
        <v>99</v>
      </c>
      <c r="X29" s="1566"/>
      <c r="Y29" s="3615"/>
      <c r="Z29" s="1574" t="str">
        <f t="shared" si="15"/>
        <v>有无电梯</v>
      </c>
      <c r="AA29" s="1575">
        <f t="shared" si="3"/>
        <v>1.0101010101010102</v>
      </c>
      <c r="AB29" s="1575">
        <f t="shared" si="4"/>
        <v>1.0101010101010102</v>
      </c>
      <c r="AC29" s="1575">
        <f t="shared" si="5"/>
        <v>1.0101010101010102</v>
      </c>
    </row>
    <row r="30" spans="1:29" ht="15" hidden="1">
      <c r="A30" s="594"/>
      <c r="B30" s="527" t="s">
        <v>822</v>
      </c>
      <c r="C30" s="879">
        <v>100</v>
      </c>
      <c r="D30" s="540">
        <v>100</v>
      </c>
      <c r="E30" s="879">
        <v>100</v>
      </c>
      <c r="F30" s="575">
        <f>LOOKUP(E30,87:87,88:88)-LOOKUP(C30,87:87,88:88)+100</f>
        <v>100</v>
      </c>
      <c r="G30" s="879">
        <v>100</v>
      </c>
      <c r="H30" s="540">
        <f>LOOKUP(G30,87:87,88:88)-LOOKUP(C30,87:87,88:88)+100</f>
        <v>100</v>
      </c>
      <c r="I30" s="879">
        <v>100</v>
      </c>
      <c r="J30" s="540">
        <f>LOOKUP(I30,87:87,88:88)-LOOKUP(C30,87:87,88:88)+100</f>
        <v>100</v>
      </c>
      <c r="K30" s="581"/>
      <c r="L30" s="2141"/>
      <c r="M30" s="2133"/>
      <c r="N30" s="2133"/>
      <c r="O30" s="2140"/>
      <c r="P30" s="3615"/>
      <c r="Q30" s="1571" t="str">
        <f t="shared" si="11"/>
        <v>建筑面积</v>
      </c>
      <c r="R30" s="1572" t="s">
        <v>8</v>
      </c>
      <c r="S30" s="1573">
        <f t="shared" si="12"/>
        <v>100</v>
      </c>
      <c r="T30" s="1572" t="s">
        <v>8</v>
      </c>
      <c r="U30" s="1573">
        <f t="shared" si="13"/>
        <v>100</v>
      </c>
      <c r="V30" s="1572" t="s">
        <v>8</v>
      </c>
      <c r="W30" s="1573">
        <f t="shared" si="14"/>
        <v>100</v>
      </c>
      <c r="X30" s="1566"/>
      <c r="Y30" s="3615"/>
      <c r="Z30" s="1574" t="str">
        <f t="shared" si="15"/>
        <v>建筑面积</v>
      </c>
      <c r="AA30" s="1575">
        <f t="shared" si="3"/>
        <v>1</v>
      </c>
      <c r="AB30" s="1575">
        <f t="shared" si="4"/>
        <v>1</v>
      </c>
      <c r="AC30" s="1575">
        <f t="shared" si="5"/>
        <v>1</v>
      </c>
    </row>
    <row r="31" spans="1:29" s="1219" customFormat="1" ht="15">
      <c r="A31" s="600"/>
      <c r="B31" s="527" t="s">
        <v>823</v>
      </c>
      <c r="C31" s="931" t="s">
        <v>1678</v>
      </c>
      <c r="D31" s="255">
        <v>100</v>
      </c>
      <c r="E31" s="931" t="s">
        <v>1678</v>
      </c>
      <c r="F31" s="575">
        <f>SUMIF(89:89,E31,90:90)-SUMIF(89:89,C31,90:90)+100</f>
        <v>100</v>
      </c>
      <c r="G31" s="931" t="s">
        <v>1678</v>
      </c>
      <c r="H31" s="540">
        <f>SUMIF(89:89,G31,90:90)-SUMIF(89:89,C31,90:90)+100</f>
        <v>100</v>
      </c>
      <c r="I31" s="931" t="s">
        <v>1678</v>
      </c>
      <c r="J31" s="540">
        <f>SUMIF(89:89,I31,90:90)-SUMIF(89:89,C31,90:90)+100</f>
        <v>100</v>
      </c>
      <c r="K31" s="584"/>
      <c r="L31" s="2134"/>
      <c r="M31" s="2135"/>
      <c r="N31" s="2135"/>
      <c r="O31" s="2136"/>
      <c r="P31" s="3615"/>
      <c r="Q31" s="1150" t="str">
        <f t="shared" si="11"/>
        <v>是否封闭</v>
      </c>
      <c r="R31" s="1567" t="s">
        <v>8</v>
      </c>
      <c r="S31" s="1568">
        <f t="shared" si="12"/>
        <v>100</v>
      </c>
      <c r="T31" s="1567" t="s">
        <v>8</v>
      </c>
      <c r="U31" s="1568">
        <f t="shared" si="13"/>
        <v>100</v>
      </c>
      <c r="V31" s="1567" t="s">
        <v>8</v>
      </c>
      <c r="W31" s="1568">
        <f t="shared" si="14"/>
        <v>100</v>
      </c>
      <c r="X31" s="1569"/>
      <c r="Y31" s="3615"/>
      <c r="Z31" s="1149" t="str">
        <f t="shared" si="15"/>
        <v>是否封闭</v>
      </c>
      <c r="AA31" s="1570">
        <f t="shared" si="3"/>
        <v>1</v>
      </c>
      <c r="AB31" s="1570">
        <f t="shared" si="4"/>
        <v>1</v>
      </c>
      <c r="AC31" s="1570">
        <f t="shared" si="5"/>
        <v>1</v>
      </c>
    </row>
    <row r="32" spans="1:29" ht="15.75" thickBot="1">
      <c r="A32" s="594"/>
      <c r="B32" s="3328" t="s">
        <v>3210</v>
      </c>
      <c r="C32" s="3329" t="s">
        <v>3211</v>
      </c>
      <c r="D32" s="540">
        <v>100</v>
      </c>
      <c r="E32" s="879">
        <v>10</v>
      </c>
      <c r="F32" s="575">
        <f>SUMIF(91:91,E32,92:92)-SUMIF(91:91,C32,92:92)+100</f>
        <v>100</v>
      </c>
      <c r="G32" s="879">
        <v>36</v>
      </c>
      <c r="H32" s="540">
        <f>SUMIF(91:91,G32,92:92)-SUMIF(91:91,C32,92:92)+100</f>
        <v>101</v>
      </c>
      <c r="I32" s="879">
        <v>12</v>
      </c>
      <c r="J32" s="540">
        <f>SUMIF(91:91,I32,92:92)-SUMIF(91:91,C32,92:92)+100</f>
        <v>100</v>
      </c>
      <c r="K32" s="581"/>
      <c r="L32" s="2141"/>
      <c r="M32" s="2133"/>
      <c r="N32" s="2133"/>
      <c r="O32" s="2140"/>
      <c r="P32" s="3615" t="s">
        <v>549</v>
      </c>
      <c r="Q32" s="1571" t="str">
        <f t="shared" si="11"/>
        <v>建筑面积</v>
      </c>
      <c r="R32" s="1572" t="s">
        <v>8</v>
      </c>
      <c r="S32" s="1573">
        <f t="shared" si="12"/>
        <v>100</v>
      </c>
      <c r="T32" s="1572" t="s">
        <v>8</v>
      </c>
      <c r="U32" s="1573">
        <f t="shared" si="13"/>
        <v>101</v>
      </c>
      <c r="V32" s="1572" t="s">
        <v>8</v>
      </c>
      <c r="W32" s="1573">
        <f t="shared" si="14"/>
        <v>100</v>
      </c>
      <c r="X32" s="1566"/>
      <c r="Y32" s="3615" t="s">
        <v>549</v>
      </c>
      <c r="Z32" s="1574" t="str">
        <f t="shared" si="15"/>
        <v>建筑面积</v>
      </c>
      <c r="AA32" s="1575">
        <f t="shared" si="3"/>
        <v>1</v>
      </c>
      <c r="AB32" s="1575">
        <f t="shared" si="4"/>
        <v>0.99009900990099009</v>
      </c>
      <c r="AC32" s="1575">
        <f t="shared" si="5"/>
        <v>1</v>
      </c>
    </row>
    <row r="33" spans="1:29" ht="15" hidden="1">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615"/>
      <c r="Q33" s="1571">
        <f t="shared" si="11"/>
        <v>111</v>
      </c>
      <c r="R33" s="1572" t="s">
        <v>8</v>
      </c>
      <c r="S33" s="1573">
        <f t="shared" si="12"/>
        <v>100</v>
      </c>
      <c r="T33" s="1572" t="s">
        <v>8</v>
      </c>
      <c r="U33" s="1573">
        <f t="shared" si="13"/>
        <v>100</v>
      </c>
      <c r="V33" s="1572" t="s">
        <v>8</v>
      </c>
      <c r="W33" s="1573">
        <f t="shared" si="14"/>
        <v>100</v>
      </c>
      <c r="X33" s="1566"/>
      <c r="Y33" s="3615"/>
      <c r="Z33" s="1574">
        <f t="shared" si="15"/>
        <v>111</v>
      </c>
      <c r="AA33" s="1575">
        <f t="shared" si="3"/>
        <v>1</v>
      </c>
      <c r="AB33" s="1575">
        <f t="shared" si="4"/>
        <v>1</v>
      </c>
      <c r="AC33" s="1575">
        <f t="shared" si="5"/>
        <v>1</v>
      </c>
    </row>
    <row r="34" spans="1:29" ht="15.75" hidden="1"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615"/>
      <c r="Q34" s="1571">
        <f t="shared" si="11"/>
        <v>111</v>
      </c>
      <c r="R34" s="1572" t="s">
        <v>8</v>
      </c>
      <c r="S34" s="1573">
        <f t="shared" si="12"/>
        <v>100</v>
      </c>
      <c r="T34" s="1572" t="s">
        <v>8</v>
      </c>
      <c r="U34" s="1573">
        <f t="shared" si="13"/>
        <v>100</v>
      </c>
      <c r="V34" s="1572" t="s">
        <v>8</v>
      </c>
      <c r="W34" s="1573">
        <f t="shared" si="14"/>
        <v>100</v>
      </c>
      <c r="X34" s="1566"/>
      <c r="Y34" s="3615"/>
      <c r="Z34" s="1574">
        <f t="shared" si="15"/>
        <v>111</v>
      </c>
      <c r="AA34" s="1575">
        <f t="shared" si="3"/>
        <v>1</v>
      </c>
      <c r="AB34" s="1575">
        <f t="shared" si="4"/>
        <v>1</v>
      </c>
      <c r="AC34" s="1575">
        <f t="shared" si="5"/>
        <v>1</v>
      </c>
    </row>
    <row r="35" spans="1:29" ht="15">
      <c r="A35" s="607" t="s">
        <v>735</v>
      </c>
      <c r="B35" s="886"/>
      <c r="C35" s="2605" t="s">
        <v>1</v>
      </c>
      <c r="D35" s="2606"/>
      <c r="E35" s="2607">
        <v>1.5</v>
      </c>
      <c r="F35" s="2608"/>
      <c r="G35" s="2609">
        <v>1.6</v>
      </c>
      <c r="H35" s="2610"/>
      <c r="I35" s="2607">
        <v>1.4</v>
      </c>
      <c r="J35" s="2610"/>
      <c r="K35" s="1610"/>
      <c r="L35" s="2143"/>
      <c r="M35" s="2144"/>
      <c r="N35" s="2133"/>
      <c r="O35" s="2144"/>
      <c r="P35" s="3578" t="str">
        <f>A35</f>
        <v>成交单价（元/平方米）</v>
      </c>
      <c r="Q35" s="3578"/>
      <c r="R35" s="3676">
        <f>E35</f>
        <v>1.5</v>
      </c>
      <c r="S35" s="3676"/>
      <c r="T35" s="3676">
        <f>G35</f>
        <v>1.6</v>
      </c>
      <c r="U35" s="3676"/>
      <c r="V35" s="3676">
        <f>I35</f>
        <v>1.4</v>
      </c>
      <c r="W35" s="3676"/>
      <c r="X35" s="1558"/>
      <c r="Y35" s="1580"/>
      <c r="Z35" s="1558"/>
      <c r="AA35" s="1558"/>
      <c r="AB35" s="1558"/>
      <c r="AC35" s="1558"/>
    </row>
    <row r="36" spans="1:29" ht="15.75" thickBot="1">
      <c r="A36" s="615" t="s">
        <v>2760</v>
      </c>
      <c r="B36" s="887"/>
      <c r="C36" s="2611">
        <f>R37</f>
        <v>1.5</v>
      </c>
      <c r="D36" s="2612"/>
      <c r="E36" s="2613">
        <f>R36</f>
        <v>1.5</v>
      </c>
      <c r="F36" s="2613"/>
      <c r="G36" s="2611">
        <f>T36</f>
        <v>1.6</v>
      </c>
      <c r="H36" s="2612"/>
      <c r="I36" s="2613">
        <f>V36</f>
        <v>1.5</v>
      </c>
      <c r="J36" s="2612"/>
      <c r="K36" s="1611"/>
      <c r="L36" s="2143"/>
      <c r="M36" s="2144"/>
      <c r="N36" s="2133"/>
      <c r="O36" s="2144"/>
      <c r="P36" s="3578" t="str">
        <f>A36</f>
        <v>比较价格（元/平方米）</v>
      </c>
      <c r="Q36" s="3578"/>
      <c r="R36" s="3676">
        <f>IF(F1="售价",ROUND(PRODUCT(R35,AA7:AA34),0),ROUND(PRODUCT(R35,AA7:AA34),1))</f>
        <v>1.5</v>
      </c>
      <c r="S36" s="3676"/>
      <c r="T36" s="3676">
        <f>IF(F1="售价",ROUND(PRODUCT(T35,AB7:AB34),0),ROUND(PRODUCT(T35,AB7:AB34),1))</f>
        <v>1.6</v>
      </c>
      <c r="U36" s="3676"/>
      <c r="V36" s="3676">
        <f>IF(F1="售价",ROUND(PRODUCT(V35,AC7:AC34),0),ROUND(PRODUCT(V35,AC7:AC34),1))</f>
        <v>1.5</v>
      </c>
      <c r="W36" s="3676"/>
      <c r="X36" s="1558"/>
      <c r="Y36" s="1558"/>
      <c r="Z36" s="1558"/>
      <c r="AA36" s="1558"/>
      <c r="AB36" s="1558"/>
      <c r="AC36" s="1558"/>
    </row>
    <row r="37" spans="1:29" ht="15.75" thickBot="1">
      <c r="A37" s="621" t="s">
        <v>2931</v>
      </c>
      <c r="B37" s="622"/>
      <c r="C37" s="2614">
        <f>R37</f>
        <v>1.5</v>
      </c>
      <c r="D37" s="2614"/>
      <c r="E37" s="2614"/>
      <c r="F37" s="2614"/>
      <c r="G37" s="2614"/>
      <c r="H37" s="2614"/>
      <c r="I37" s="2614"/>
      <c r="J37" s="2614"/>
      <c r="K37" s="1612"/>
      <c r="L37" s="2143"/>
      <c r="M37" s="2144"/>
      <c r="N37" s="2144"/>
      <c r="O37" s="2144"/>
      <c r="P37" s="3575" t="str">
        <f>A37</f>
        <v>估价对象XX用房的比较价格（楼面单价，元/平方米）</v>
      </c>
      <c r="Q37" s="3576"/>
      <c r="R37" s="3675">
        <f>IF(F1="售价",ROUND(AVERAGE(R36:V36),0),ROUND(AVERAGE(R36:V36),1))</f>
        <v>1.5</v>
      </c>
      <c r="S37" s="3675"/>
      <c r="T37" s="3675"/>
      <c r="U37" s="3675"/>
      <c r="V37" s="3675"/>
      <c r="W37" s="3675"/>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f>IF(E35&lt;E36,E36/E35-1,E35/E36-1)</f>
        <v>0</v>
      </c>
      <c r="F40" s="627" t="str">
        <f>IF(OR(E40&gt;=0.3,E40&lt;=-0.3),"超过30%","")</f>
        <v/>
      </c>
      <c r="G40" s="626">
        <f>IF(G35&lt;G36,G36/G35-1,G35/G36-1)</f>
        <v>0</v>
      </c>
      <c r="H40" s="627" t="str">
        <f>IF(OR(G40&gt;=0.3,G40&lt;=-0.3),"超过30%","")</f>
        <v/>
      </c>
      <c r="I40" s="626">
        <f>IF(I35&lt;I36,I36/I35-1,I35/I36-1)</f>
        <v>7.1428571428571397E-2</v>
      </c>
      <c r="J40" s="627" t="str">
        <f>IF(OR(I40&gt;=0.3,I40&lt;=-0.3),"超过30%","")</f>
        <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f>IF(E36&lt;G36,G36/E36-1,E36/G36-1)</f>
        <v>6.6666666666666652E-2</v>
      </c>
      <c r="F41" s="627" t="str">
        <f>IF(OR(E41&gt;=0.2,E41&lt;=-0.2),"超过20%","")</f>
        <v/>
      </c>
      <c r="G41" s="626">
        <f>IF(G36&lt;I36,I36/G36-1,G36/I36-1)</f>
        <v>6.6666666666666652E-2</v>
      </c>
      <c r="H41" s="627" t="str">
        <f>IF(OR(G41&gt;=0.2,G41&lt;=-0.2),"超过20%","")</f>
        <v/>
      </c>
      <c r="I41" s="626">
        <f>IF(I36&lt;E36,E36/I36-1,I36/E36-1)</f>
        <v>0</v>
      </c>
      <c r="J41" s="627" t="str">
        <f>IF(OR(I41&gt;=0.2,I41&lt;=-0.2),"超过20%","")</f>
        <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f>IF(E35&lt;G35,G35/E35-1,E35/G35-1)</f>
        <v>6.6666666666666652E-2</v>
      </c>
      <c r="F42" s="627" t="str">
        <f>IF(OR(E42&gt;=0.3,E42&lt;=-0.3),"超过30%","")</f>
        <v/>
      </c>
      <c r="G42" s="626">
        <f>IF(G35&lt;I35,I35/G35-1,G35/I35-1)</f>
        <v>0.14285714285714302</v>
      </c>
      <c r="H42" s="627" t="str">
        <f>IF(OR(G42&gt;=0.3,G42&lt;=-0.3),"超过30%","")</f>
        <v/>
      </c>
      <c r="I42" s="626">
        <f>IF(I35&lt;E35,E35/I35-1,I35/E35-1)</f>
        <v>7.1428571428571397E-2</v>
      </c>
      <c r="J42" s="627" t="str">
        <f>IF(OR(I42&gt;=0.3,I42&lt;=-0.3),"超过30%","")</f>
        <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t="str">
        <f>C9</f>
        <v>地下仓储</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99</v>
      </c>
      <c r="E62" s="679">
        <f>D62-$K14</f>
        <v>98</v>
      </c>
      <c r="F62" s="679">
        <f>E62-$K14</f>
        <v>97</v>
      </c>
      <c r="G62" s="679">
        <f>F62-$K14</f>
        <v>96</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99</v>
      </c>
      <c r="E64" s="679">
        <f>D64-$K16</f>
        <v>98</v>
      </c>
      <c r="F64" s="679">
        <f>E64-$K16</f>
        <v>97</v>
      </c>
      <c r="G64" s="679">
        <f>F64-$K16</f>
        <v>96</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3196" t="s">
        <v>3203</v>
      </c>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t="str">
        <f>B23</f>
        <v>道路</v>
      </c>
      <c r="C71" s="3197" t="s">
        <v>3216</v>
      </c>
      <c r="D71" s="3205" t="s">
        <v>3218</v>
      </c>
      <c r="E71" s="3205" t="s">
        <v>3217</v>
      </c>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v>100</v>
      </c>
      <c r="D72" s="671">
        <v>99</v>
      </c>
      <c r="E72" s="671">
        <v>98</v>
      </c>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3196" t="s">
        <v>3205</v>
      </c>
      <c r="D77" s="3196" t="s">
        <v>3206</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101</v>
      </c>
      <c r="E81" s="679">
        <f t="shared" si="18"/>
        <v>102</v>
      </c>
      <c r="F81" s="679">
        <f t="shared" si="18"/>
        <v>103</v>
      </c>
      <c r="G81" s="679">
        <f t="shared" si="18"/>
        <v>104</v>
      </c>
      <c r="H81" s="679">
        <f t="shared" si="18"/>
        <v>105</v>
      </c>
      <c r="I81" s="679">
        <f t="shared" si="18"/>
        <v>106</v>
      </c>
      <c r="J81" s="679">
        <f t="shared" si="18"/>
        <v>107</v>
      </c>
      <c r="K81" s="679">
        <f t="shared" si="18"/>
        <v>108</v>
      </c>
      <c r="L81" s="679">
        <f t="shared" si="18"/>
        <v>109</v>
      </c>
      <c r="M81" s="679">
        <f t="shared" si="18"/>
        <v>110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3196" t="s">
        <v>3208</v>
      </c>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3196" t="s">
        <v>3219</v>
      </c>
      <c r="D84" s="3196" t="s">
        <v>3209</v>
      </c>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101</v>
      </c>
      <c r="E85" s="679">
        <f t="shared" si="20"/>
        <v>102</v>
      </c>
      <c r="F85" s="679">
        <f t="shared" si="20"/>
        <v>103</v>
      </c>
      <c r="G85" s="679">
        <f t="shared" si="20"/>
        <v>104</v>
      </c>
      <c r="H85" s="679">
        <f t="shared" si="20"/>
        <v>105</v>
      </c>
      <c r="I85" s="679">
        <f t="shared" si="20"/>
        <v>106</v>
      </c>
      <c r="J85" s="679">
        <f t="shared" si="20"/>
        <v>107</v>
      </c>
      <c r="K85" s="679">
        <f t="shared" si="20"/>
        <v>108</v>
      </c>
      <c r="L85" s="679">
        <f t="shared" si="20"/>
        <v>109</v>
      </c>
      <c r="M85" s="679">
        <f t="shared" si="20"/>
        <v>110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100(含)-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v>100</v>
      </c>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v>100</v>
      </c>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3196" t="s">
        <v>3213</v>
      </c>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t="str">
        <f>B32</f>
        <v>建筑面积</v>
      </c>
      <c r="C91" s="541" t="s">
        <v>3212</v>
      </c>
      <c r="D91" s="541">
        <v>10</v>
      </c>
      <c r="E91" s="541">
        <v>12</v>
      </c>
      <c r="F91" s="541">
        <v>36</v>
      </c>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v>100</v>
      </c>
      <c r="D92" s="671">
        <v>100</v>
      </c>
      <c r="E92" s="671">
        <v>100</v>
      </c>
      <c r="F92" s="671">
        <v>101</v>
      </c>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705" t="s">
        <v>2304</v>
      </c>
      <c r="D1" s="3706"/>
      <c r="E1" s="3706"/>
      <c r="F1" s="3706"/>
      <c r="G1" s="3706"/>
      <c r="H1" s="3706"/>
      <c r="I1" s="3706"/>
      <c r="J1" s="3706"/>
      <c r="K1" s="3706"/>
      <c r="L1" s="3706"/>
      <c r="M1" s="3706"/>
      <c r="N1" s="3706"/>
      <c r="O1" s="3706"/>
      <c r="P1" s="3706"/>
      <c r="Q1" s="3706"/>
      <c r="R1" s="3706"/>
      <c r="S1" s="370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702" t="s">
        <v>20</v>
      </c>
      <c r="D22" s="3703"/>
      <c r="E22" s="3703"/>
      <c r="F22" s="3703"/>
      <c r="G22" s="3703"/>
      <c r="H22" s="3703"/>
      <c r="I22" s="3703"/>
      <c r="J22" s="3703"/>
      <c r="K22" s="3703"/>
      <c r="L22" s="3703"/>
      <c r="M22" s="3703"/>
      <c r="N22" s="3703"/>
      <c r="O22" s="3703"/>
      <c r="P22" s="3703"/>
      <c r="Q22" s="3704"/>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708" t="s">
        <v>1663</v>
      </c>
      <c r="B1" s="3709"/>
      <c r="C1" s="3709"/>
      <c r="D1" s="3709"/>
      <c r="E1" s="3709"/>
      <c r="F1" s="3709"/>
      <c r="G1" s="3709"/>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3032</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3083</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3084</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3092</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5.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3042</v>
      </c>
    </row>
    <row r="33" spans="10:10" ht="12.75" customHeight="1"/>
    <row r="39" spans="10:10">
      <c r="J39" s="3182" t="s">
        <v>3043</v>
      </c>
    </row>
    <row r="46" spans="10:10">
      <c r="J46" s="3182" t="s">
        <v>3044</v>
      </c>
    </row>
    <row r="60" ht="12.75" customHeight="1"/>
  </sheetData>
  <phoneticPr fontId="275"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
  <sheetViews>
    <sheetView zoomScaleNormal="100" workbookViewId="0">
      <selection activeCell="O26" sqref="O26"/>
    </sheetView>
  </sheetViews>
  <sheetFormatPr defaultRowHeight="13.5"/>
  <sheetData/>
  <phoneticPr fontId="229"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A1:J10"/>
  <sheetViews>
    <sheetView workbookViewId="0">
      <selection activeCell="D18" sqref="D18"/>
    </sheetView>
  </sheetViews>
  <sheetFormatPr defaultRowHeight="13.5"/>
  <cols>
    <col min="1" max="1" width="45.125" customWidth="1"/>
    <col min="3" max="3" width="10.5" customWidth="1"/>
    <col min="4" max="4" width="11.625" customWidth="1"/>
    <col min="5" max="5" width="10.375" customWidth="1"/>
    <col min="7" max="7" width="10.25" customWidth="1"/>
    <col min="9" max="9" width="12.125" customWidth="1"/>
    <col min="10" max="10" width="13.25" customWidth="1"/>
  </cols>
  <sheetData>
    <row r="1" spans="1:10" ht="41.25" customHeight="1">
      <c r="C1" s="3184"/>
      <c r="D1" s="3268" t="s">
        <v>3152</v>
      </c>
      <c r="E1" s="3268" t="s">
        <v>3153</v>
      </c>
      <c r="F1" s="3183" t="s">
        <v>3160</v>
      </c>
      <c r="G1" s="3270" t="s">
        <v>3158</v>
      </c>
      <c r="H1" s="3270" t="s">
        <v>3159</v>
      </c>
      <c r="I1" s="3271" t="s">
        <v>3163</v>
      </c>
      <c r="J1" s="3271" t="s">
        <v>3164</v>
      </c>
    </row>
    <row r="2" spans="1:10" ht="40.5" customHeight="1">
      <c r="C2" s="3183" t="s">
        <v>3162</v>
      </c>
      <c r="D2" s="3184">
        <f>'[2]基准地价-住宅'!$C$29</f>
        <v>19656</v>
      </c>
      <c r="E2" s="3184">
        <f>'[3]基准地价-住宅'!$C$29</f>
        <v>21588</v>
      </c>
      <c r="F2" s="3184">
        <f>D2-E2</f>
        <v>-1932</v>
      </c>
      <c r="G2" s="3184">
        <f>[4]结果表一!$C$2</f>
        <v>83247.820000000007</v>
      </c>
      <c r="H2" s="3184">
        <f>[4]结果表一!$G$2</f>
        <v>83884.960000000006</v>
      </c>
      <c r="I2" s="3184">
        <f>D2*G2/10000</f>
        <v>163631.91499200001</v>
      </c>
      <c r="J2" s="3184">
        <f>E2*H2/10000</f>
        <v>181090.85164800001</v>
      </c>
    </row>
    <row r="3" spans="1:10" ht="20.25" customHeight="1">
      <c r="C3" s="3184" t="s">
        <v>3154</v>
      </c>
      <c r="D3" s="3184">
        <f ca="1">'基准地价-商业'!$C$29</f>
        <v>14769</v>
      </c>
      <c r="E3" s="3184">
        <f>'[4]基准地价-原商业 '!$C$29</f>
        <v>14731</v>
      </c>
      <c r="F3" s="3184">
        <f ca="1">D3-E3</f>
        <v>38</v>
      </c>
      <c r="G3" s="3184">
        <f>[4]结果表一!$C$3</f>
        <v>15426.7</v>
      </c>
      <c r="H3" s="3184">
        <f>[4]结果表一!$G$3</f>
        <v>15502</v>
      </c>
      <c r="I3" s="3184">
        <f ca="1">D3*G3/10000</f>
        <v>22783.693230000001</v>
      </c>
      <c r="J3" s="3184">
        <f>E3*H3/10000</f>
        <v>22835.996200000001</v>
      </c>
    </row>
    <row r="4" spans="1:10">
      <c r="A4" s="2"/>
    </row>
    <row r="5" spans="1:10">
      <c r="A5" s="2"/>
    </row>
    <row r="6" spans="1:10">
      <c r="A6" s="2"/>
    </row>
    <row r="7" spans="1:10" ht="45" customHeight="1">
      <c r="A7" s="2" t="s">
        <v>3155</v>
      </c>
    </row>
    <row r="8" spans="1:10">
      <c r="A8" s="3269">
        <f>ROUND((D2*(G2-H2)+(D2-E2)*H2)/10000,4)</f>
        <v>-17458.936699999998</v>
      </c>
      <c r="B8" s="3184" t="s">
        <v>3156</v>
      </c>
    </row>
    <row r="9" spans="1:10">
      <c r="A9" s="3269">
        <f ca="1">ROUND((D3*(G3-H3)+(D3-E3)*H3)/10000,4)</f>
        <v>-52.302999999999997</v>
      </c>
      <c r="B9" s="3184" t="s">
        <v>3154</v>
      </c>
    </row>
    <row r="10" spans="1:10">
      <c r="A10" s="3269">
        <f ca="1">SUM(A8:A9)</f>
        <v>-17511.239699999998</v>
      </c>
      <c r="B10" s="3184" t="s">
        <v>3157</v>
      </c>
    </row>
  </sheetData>
  <phoneticPr fontId="22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
  <sheetViews>
    <sheetView topLeftCell="A43" workbookViewId="0">
      <selection activeCell="M78" sqref="M78"/>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4" t="s">
        <v>2038</v>
      </c>
      <c r="B1" s="3334"/>
      <c r="C1" s="3334"/>
      <c r="D1" s="3334"/>
      <c r="E1" s="3334"/>
      <c r="F1" s="3334"/>
      <c r="G1" s="3334"/>
      <c r="H1" s="3334"/>
      <c r="I1" s="3334"/>
      <c r="J1" s="3334"/>
      <c r="K1" s="3334"/>
      <c r="L1" s="3334"/>
      <c r="M1" s="3334"/>
      <c r="N1" s="3334"/>
      <c r="O1" s="3334"/>
      <c r="P1" s="3334"/>
      <c r="Q1" s="3334"/>
      <c r="R1" s="3334"/>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335" t="s">
        <v>2029</v>
      </c>
      <c r="B3" s="3335" t="s">
        <v>2731</v>
      </c>
      <c r="C3" s="3336" t="s">
        <v>2030</v>
      </c>
      <c r="D3" s="3335" t="s">
        <v>2735</v>
      </c>
      <c r="E3" s="3338" t="s">
        <v>2031</v>
      </c>
      <c r="F3" s="3338"/>
      <c r="G3" s="3338"/>
      <c r="H3" s="3338" t="s">
        <v>2032</v>
      </c>
      <c r="I3" s="3338"/>
      <c r="J3" s="3338"/>
      <c r="K3" s="3336" t="s">
        <v>2033</v>
      </c>
      <c r="L3" s="3336" t="s">
        <v>2034</v>
      </c>
      <c r="M3" s="3335" t="s">
        <v>2732</v>
      </c>
      <c r="N3" s="3337" t="str">
        <f>"（分摊）"&amp;项目基本情况!B16&amp;"国有建设用地使用权面积/㎡"</f>
        <v>（分摊）出让国有建设用地使用权面积/㎡</v>
      </c>
      <c r="O3" s="3335" t="s">
        <v>2063</v>
      </c>
      <c r="P3" s="3336" t="s">
        <v>2043</v>
      </c>
      <c r="Q3" s="3336" t="s">
        <v>2064</v>
      </c>
      <c r="R3" s="3336" t="s">
        <v>2035</v>
      </c>
    </row>
    <row r="4" spans="1:18" ht="36.75" customHeight="1">
      <c r="A4" s="3335"/>
      <c r="B4" s="3335"/>
      <c r="C4" s="3336"/>
      <c r="D4" s="3335"/>
      <c r="E4" s="2627" t="s">
        <v>2042</v>
      </c>
      <c r="F4" s="2627" t="s">
        <v>2744</v>
      </c>
      <c r="G4" s="2627" t="s">
        <v>2036</v>
      </c>
      <c r="H4" s="2627" t="s">
        <v>2037</v>
      </c>
      <c r="I4" s="2627" t="s">
        <v>2745</v>
      </c>
      <c r="J4" s="2627" t="s">
        <v>2036</v>
      </c>
      <c r="K4" s="3336"/>
      <c r="L4" s="3336"/>
      <c r="M4" s="3335"/>
      <c r="N4" s="3337"/>
      <c r="O4" s="3335"/>
      <c r="P4" s="3336"/>
      <c r="Q4" s="3336"/>
      <c r="R4" s="3336"/>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109920</v>
      </c>
      <c r="P5" s="1809">
        <f ca="1">结果表!E42</f>
        <v>11564</v>
      </c>
      <c r="Q5" s="1809">
        <f ca="1">结果表!D42</f>
        <v>7232</v>
      </c>
      <c r="R5" s="1810">
        <f ca="1">结果表!C42</f>
        <v>79492</v>
      </c>
    </row>
    <row r="6" spans="1:18">
      <c r="A6" s="3331" t="str">
        <f>IF(项目基本情况!B9="市场价格","——","抵押价格")</f>
        <v>——</v>
      </c>
      <c r="B6" s="3332"/>
      <c r="C6" s="3332"/>
      <c r="D6" s="3332"/>
      <c r="E6" s="3332"/>
      <c r="F6" s="3332"/>
      <c r="G6" s="3332"/>
      <c r="H6" s="3332"/>
      <c r="I6" s="3332"/>
      <c r="J6" s="3332"/>
      <c r="K6" s="3332"/>
      <c r="L6" s="3332"/>
      <c r="M6" s="3332"/>
      <c r="N6" s="3332"/>
      <c r="O6" s="3332"/>
      <c r="P6" s="3332"/>
      <c r="Q6" s="3333"/>
      <c r="R6" s="1811" t="str">
        <f>结果表!O39</f>
        <v>——</v>
      </c>
    </row>
    <row r="7" spans="1:18">
      <c r="A7" s="3331" t="str">
        <f>IF(项目基本情况!B9="市场价格","——",IF(项目基本情况!E8="已注销及未注销","抵押担保权已注销时的抵押价格","——"))</f>
        <v>——</v>
      </c>
      <c r="B7" s="3332"/>
      <c r="C7" s="3332"/>
      <c r="D7" s="3332"/>
      <c r="E7" s="3332"/>
      <c r="F7" s="3332"/>
      <c r="G7" s="3332"/>
      <c r="H7" s="3332"/>
      <c r="I7" s="3332"/>
      <c r="J7" s="3332"/>
      <c r="K7" s="3332"/>
      <c r="L7" s="3332"/>
      <c r="M7" s="3332"/>
      <c r="N7" s="3332"/>
      <c r="O7" s="3332"/>
      <c r="P7" s="3332"/>
      <c r="Q7" s="3333"/>
      <c r="R7" s="1811" t="str">
        <f>结果表!O40</f>
        <v>——</v>
      </c>
    </row>
    <row r="8" spans="1:18">
      <c r="A8" s="3331" t="str">
        <f>IF(项目基本情况!B9="市场价格","——",项目基本情况!E9)</f>
        <v>——</v>
      </c>
      <c r="B8" s="3332"/>
      <c r="C8" s="3332"/>
      <c r="D8" s="3332"/>
      <c r="E8" s="3332"/>
      <c r="F8" s="3332"/>
      <c r="G8" s="3332"/>
      <c r="H8" s="3332"/>
      <c r="I8" s="3332"/>
      <c r="J8" s="3332"/>
      <c r="K8" s="3332"/>
      <c r="L8" s="3332"/>
      <c r="M8" s="3332"/>
      <c r="N8" s="3332"/>
      <c r="O8" s="3332"/>
      <c r="P8" s="3332"/>
      <c r="Q8" s="3333"/>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340" t="s">
        <v>2065</v>
      </c>
      <c r="B1" s="3340"/>
      <c r="C1" s="3340"/>
      <c r="D1" s="3340"/>
    </row>
    <row r="2" spans="1:4" ht="47.25" customHeight="1">
      <c r="A2" s="3341" t="str">
        <f>"1.权利限制："&amp;项目基本情况!L24&amp;"未设定租赁等其他他项权利。"</f>
        <v>1.权利限制：根据估价对象《不动产权证书》原件、《国有土地使用权》复印件，截至估价期日，估价对象抵押权未见登记。未设定租赁等其他他项权利。</v>
      </c>
      <c r="B2" s="3341"/>
      <c r="C2" s="3341"/>
      <c r="D2" s="3341"/>
    </row>
    <row r="3" spans="1:4" ht="48" customHeight="1">
      <c r="A3" s="33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0"/>
      <c r="C3" s="3340"/>
      <c r="D3" s="3340"/>
    </row>
    <row r="4" spans="1:4" ht="36.75" customHeight="1">
      <c r="A4" s="3340" t="str">
        <f>"3.估价规划限制条件：详见"&amp;项目基本情况!E21&amp;"。"</f>
        <v>3.估价规划限制条件：详见《建设工程规划许可证》[]、《出让合同》[]。</v>
      </c>
      <c r="B4" s="3340"/>
      <c r="C4" s="3340"/>
      <c r="D4" s="3340"/>
    </row>
    <row r="5" spans="1:4">
      <c r="A5" s="3339" t="s">
        <v>2066</v>
      </c>
      <c r="B5" s="3339"/>
      <c r="C5" s="3339"/>
      <c r="D5" s="3339"/>
    </row>
    <row r="6" spans="1:4">
      <c r="A6" s="3340" t="s">
        <v>2044</v>
      </c>
      <c r="B6" s="3340"/>
      <c r="C6" s="3340"/>
      <c r="D6" s="3340"/>
    </row>
    <row r="7" spans="1:4" ht="33" customHeight="1">
      <c r="A7" s="3340" t="s">
        <v>2575</v>
      </c>
      <c r="B7" s="3340"/>
      <c r="C7" s="3340"/>
      <c r="D7" s="3340"/>
    </row>
    <row r="8" spans="1:4" ht="32.25" customHeight="1">
      <c r="A8" s="33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0"/>
      <c r="C8" s="3340"/>
      <c r="D8" s="3340"/>
    </row>
    <row r="9" spans="1:4" ht="33.75" customHeight="1">
      <c r="A9" s="3340" t="str">
        <f>IF(项目基本情况!B8="抵押","3.抵押双方在办理抵押登记手续时，应使用本公司出具的正式《土地估价报告》，特提请报告使用者注意。","——")</f>
        <v>——</v>
      </c>
      <c r="B9" s="3340"/>
      <c r="C9" s="3340"/>
      <c r="D9" s="3340"/>
    </row>
    <row r="10" spans="1:4">
      <c r="A10" s="3340" t="str">
        <f>IF(项目基本情况!B8="抵押","4.估价师所知悉的法定优先受偿款情况为：","——")</f>
        <v>——</v>
      </c>
      <c r="B10" s="3340"/>
      <c r="C10" s="3340"/>
      <c r="D10" s="3340"/>
    </row>
    <row r="11" spans="1:4" ht="37.5" customHeight="1">
      <c r="A11" s="3342" t="str">
        <f>IF(项目基本情况!B8="抵押","（1）"&amp;CONCATENATE(项目基本情况!L24,项目基本情况!L25,项目基本情况!L26),"——")</f>
        <v>——</v>
      </c>
      <c r="B11" s="3342"/>
      <c r="C11" s="3342"/>
      <c r="D11" s="3342"/>
    </row>
    <row r="12" spans="1:4" ht="168" customHeight="1">
      <c r="A12" s="3339" t="s">
        <v>2068</v>
      </c>
      <c r="B12" s="3339"/>
      <c r="C12" s="3339"/>
      <c r="D12" s="3339"/>
    </row>
    <row r="13" spans="1:4">
      <c r="A13" s="3343" t="s">
        <v>2746</v>
      </c>
      <c r="B13" s="3343"/>
      <c r="C13" s="3343"/>
      <c r="D13" s="3343"/>
    </row>
    <row r="14" spans="1:4">
      <c r="A14" s="3342" t="str">
        <f>IF(项目基本情况!B8="抵押","综上，"&amp;结果表!K47,"——")</f>
        <v>——</v>
      </c>
      <c r="B14" s="3342"/>
      <c r="C14" s="3342"/>
      <c r="D14" s="3342"/>
    </row>
    <row r="15" spans="1:4" ht="58.5" customHeight="1">
      <c r="A15" s="33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0"/>
      <c r="C15" s="3340"/>
      <c r="D15" s="3340"/>
    </row>
    <row r="16" spans="1:4" ht="70.5" customHeight="1">
      <c r="A16" s="33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0"/>
      <c r="C16" s="3340"/>
      <c r="D16" s="3340"/>
    </row>
    <row r="17" spans="1:4">
      <c r="A17" s="3340" t="s">
        <v>2702</v>
      </c>
      <c r="B17" s="3340"/>
      <c r="C17" s="3340"/>
      <c r="D17" s="3340"/>
    </row>
    <row r="18" spans="1:4">
      <c r="A18" s="3340" t="s">
        <v>2694</v>
      </c>
      <c r="B18" s="3340"/>
      <c r="C18" s="3340"/>
      <c r="D18" s="3340"/>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340" t="s">
        <v>2699</v>
      </c>
      <c r="B23" s="3340"/>
      <c r="C23" s="3340"/>
      <c r="D23" s="3340"/>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351" t="s">
        <v>53</v>
      </c>
      <c r="B15" s="3352" t="s">
        <v>845</v>
      </c>
      <c r="C15" s="3348"/>
    </row>
    <row r="16" spans="1:7" ht="14.25">
      <c r="A16" s="3351"/>
      <c r="B16" s="3349" t="s">
        <v>54</v>
      </c>
      <c r="C16" s="1171" t="s">
        <v>53</v>
      </c>
    </row>
    <row r="17" spans="1:3" ht="14.25">
      <c r="A17" s="3351"/>
      <c r="B17" s="3349"/>
      <c r="C17" s="1171" t="s">
        <v>55</v>
      </c>
    </row>
    <row r="18" spans="1:3" ht="14.25">
      <c r="A18" s="3351"/>
      <c r="B18" s="3349"/>
      <c r="C18" s="1171" t="s">
        <v>56</v>
      </c>
    </row>
    <row r="19" spans="1:3" ht="14.25">
      <c r="A19" s="3351"/>
      <c r="B19" s="3347" t="s">
        <v>57</v>
      </c>
      <c r="C19" s="3348"/>
    </row>
    <row r="20" spans="1:3" ht="14.25">
      <c r="A20" s="1172" t="s">
        <v>58</v>
      </c>
      <c r="B20" s="1173"/>
      <c r="C20" s="1174"/>
    </row>
    <row r="21" spans="1:3" ht="14.25">
      <c r="A21" s="3350" t="s">
        <v>59</v>
      </c>
      <c r="B21" s="3347" t="s">
        <v>60</v>
      </c>
      <c r="C21" s="3348"/>
    </row>
    <row r="22" spans="1:3" ht="14.25">
      <c r="A22" s="3350"/>
      <c r="B22" s="3347" t="s">
        <v>61</v>
      </c>
      <c r="C22" s="3348"/>
    </row>
    <row r="23" spans="1:3" ht="14.25">
      <c r="A23" s="3350"/>
      <c r="B23" s="3347" t="s">
        <v>62</v>
      </c>
      <c r="C23" s="3348"/>
    </row>
    <row r="24" spans="1:3" ht="14.25">
      <c r="A24" s="3350"/>
      <c r="B24" s="3353" t="s">
        <v>63</v>
      </c>
      <c r="C24" s="1175" t="s">
        <v>836</v>
      </c>
    </row>
    <row r="25" spans="1:3" ht="14.25">
      <c r="A25" s="3350"/>
      <c r="B25" s="3354"/>
      <c r="C25" s="1175" t="s">
        <v>837</v>
      </c>
    </row>
    <row r="26" spans="1:3" ht="14.25">
      <c r="A26" s="3350"/>
      <c r="B26" s="3354"/>
      <c r="C26" s="1175" t="s">
        <v>838</v>
      </c>
    </row>
    <row r="27" spans="1:3" ht="14.25">
      <c r="A27" s="3350"/>
      <c r="B27" s="3354"/>
      <c r="C27" s="1175" t="s">
        <v>839</v>
      </c>
    </row>
    <row r="28" spans="1:3" ht="14.25">
      <c r="A28" s="3350"/>
      <c r="B28" s="3354"/>
      <c r="C28" s="1175" t="s">
        <v>840</v>
      </c>
    </row>
    <row r="29" spans="1:3" ht="14.25">
      <c r="A29" s="3350"/>
      <c r="B29" s="3354"/>
      <c r="C29" s="1175" t="s">
        <v>841</v>
      </c>
    </row>
    <row r="30" spans="1:3" ht="14.25">
      <c r="A30" s="3350"/>
      <c r="B30" s="3354"/>
      <c r="C30" s="1175" t="s">
        <v>842</v>
      </c>
    </row>
    <row r="31" spans="1:3" ht="14.25">
      <c r="A31" s="3350"/>
      <c r="B31" s="3354"/>
      <c r="C31" s="1175" t="s">
        <v>843</v>
      </c>
    </row>
    <row r="32" spans="1:3" ht="14.25">
      <c r="A32" s="3350"/>
      <c r="B32" s="3354"/>
      <c r="C32" s="1175" t="s">
        <v>1646</v>
      </c>
    </row>
    <row r="33" spans="1:3" ht="14.25">
      <c r="A33" s="3350"/>
      <c r="B33" s="3344" t="s">
        <v>1652</v>
      </c>
      <c r="C33" s="1175" t="s">
        <v>1647</v>
      </c>
    </row>
    <row r="34" spans="1:3" ht="14.25">
      <c r="A34" s="3350"/>
      <c r="B34" s="3345"/>
      <c r="C34" s="1180" t="s">
        <v>1648</v>
      </c>
    </row>
    <row r="35" spans="1:3" ht="14.25">
      <c r="A35" s="3350"/>
      <c r="B35" s="3345"/>
      <c r="C35" s="1181" t="s">
        <v>1649</v>
      </c>
    </row>
    <row r="36" spans="1:3" ht="14.25">
      <c r="A36" s="3350"/>
      <c r="B36" s="3345"/>
      <c r="C36" s="1181" t="s">
        <v>1650</v>
      </c>
    </row>
    <row r="37" spans="1:3" ht="14.25">
      <c r="A37" s="3350"/>
      <c r="B37" s="3346"/>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10" sqref="E10"/>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43567</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355" t="s">
        <v>1926</v>
      </c>
      <c r="B25" s="3355"/>
      <c r="C25" s="3355"/>
      <c r="D25" s="3355"/>
      <c r="E25" s="3355"/>
      <c r="F25" s="3355"/>
      <c r="G25" s="3355"/>
    </row>
    <row r="26" spans="1:7" ht="20.25" customHeight="1">
      <c r="A26" s="3356" t="s">
        <v>1927</v>
      </c>
      <c r="B26" s="3356"/>
      <c r="C26" s="3356"/>
      <c r="D26" s="3356" t="s">
        <v>1928</v>
      </c>
      <c r="E26" s="3356"/>
      <c r="F26" s="3356"/>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2" sqref="B22"/>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3081</v>
      </c>
      <c r="C20" s="1553"/>
    </row>
    <row r="21" spans="1:3">
      <c r="A21" s="8" t="s">
        <v>122</v>
      </c>
      <c r="B21" s="3086" t="s">
        <v>3024</v>
      </c>
      <c r="C21" s="1553"/>
    </row>
    <row r="22" spans="1:3">
      <c r="A22" s="8" t="s">
        <v>123</v>
      </c>
      <c r="B22" s="3086" t="s">
        <v>3176</v>
      </c>
      <c r="C22" s="1553"/>
    </row>
    <row r="23" spans="1:3">
      <c r="A23" s="8" t="s">
        <v>124</v>
      </c>
      <c r="B23" s="3086" t="s">
        <v>3173</v>
      </c>
      <c r="C23" s="1553"/>
    </row>
    <row r="24" spans="1:3">
      <c r="A24" s="8" t="s">
        <v>12</v>
      </c>
      <c r="B24" s="8" t="s">
        <v>3070</v>
      </c>
      <c r="C24" s="1553"/>
    </row>
    <row r="25" spans="1:3">
      <c r="A25" s="8" t="s">
        <v>125</v>
      </c>
      <c r="B25" s="8" t="s">
        <v>3117</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357"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357"/>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357"/>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357"/>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357"/>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剩余法-待开发仓储</vt:lpstr>
      <vt:lpstr>不动产收益法</vt:lpstr>
      <vt:lpstr>酒店收入计算</vt:lpstr>
      <vt:lpstr>成本逼近法</vt:lpstr>
      <vt:lpstr>剩余法-待开发商业</vt:lpstr>
      <vt:lpstr>不动产比较法-住宅</vt:lpstr>
      <vt:lpstr>不动产比较法-商业</vt:lpstr>
      <vt:lpstr>基准地价-55住宅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新旧规划结果表</vt:lpstr>
      <vt:lpstr>仓储租金案例</vt:lpstr>
      <vt:lpstr>不动产收益法!Print_Area</vt:lpstr>
      <vt:lpstr>结果表一!Print_Area</vt:lpstr>
      <vt:lpstr>'剩余法-待开发仓储'!Print_Area</vt:lpstr>
      <vt:lpstr>'剩余法-待开发商业'!Print_Area</vt:lpstr>
      <vt:lpstr>'剩余法-待开发住宅'!Print_Area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2019-04-12T06:24:50Z</cp:lastPrinted>
  <dcterms:created xsi:type="dcterms:W3CDTF">2015-07-13T07:17:23Z</dcterms:created>
  <dcterms:modified xsi:type="dcterms:W3CDTF">2019-04-12T12:32:20Z</dcterms:modified>
</cp:coreProperties>
</file>