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整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酒店经营收入" sheetId="80" r:id="rId47"/>
    <sheet name="酒店" sheetId="82" r:id="rId48"/>
    <sheet name="Sheet1"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 i="4" l="1"/>
  <c r="N6" i="1"/>
  <c r="M9" i="81"/>
  <c r="N9" i="81"/>
  <c r="N8" i="81"/>
  <c r="N7" i="81"/>
  <c r="M8" i="81"/>
  <c r="M7" i="81"/>
  <c r="C14" i="74"/>
  <c r="B5" i="77"/>
  <c r="D33" i="43"/>
  <c r="A3" i="3"/>
  <c r="L8" i="81"/>
  <c r="L9" i="81"/>
  <c r="E21" i="81"/>
  <c r="E19" i="81"/>
  <c r="D20" i="81"/>
  <c r="D18" i="81"/>
  <c r="G11" i="81"/>
  <c r="L7" i="81"/>
  <c r="H27" i="80"/>
  <c r="G27" i="80"/>
  <c r="F27" i="80"/>
  <c r="E27" i="80"/>
  <c r="D27" i="80"/>
  <c r="C27" i="80"/>
  <c r="E70" i="39" l="1"/>
  <c r="F70" i="39" s="1"/>
  <c r="G70" i="39" s="1"/>
  <c r="H70" i="39" s="1"/>
  <c r="I70" i="39" s="1"/>
  <c r="J70" i="39" s="1"/>
  <c r="K70" i="39" s="1"/>
  <c r="L70" i="39" s="1"/>
  <c r="M70" i="39" s="1"/>
  <c r="N70" i="39" s="1"/>
  <c r="O70" i="39" s="1"/>
  <c r="P70" i="39" s="1"/>
  <c r="D70" i="39"/>
  <c r="R16" i="77" l="1"/>
  <c r="E62" i="81"/>
  <c r="E60" i="81"/>
  <c r="E57" i="81"/>
  <c r="E56" i="81"/>
  <c r="E55" i="81"/>
  <c r="C62" i="81"/>
  <c r="G51" i="43"/>
  <c r="G52" i="43"/>
  <c r="G53" i="43"/>
  <c r="G54" i="43"/>
  <c r="G55" i="43"/>
  <c r="G56" i="43"/>
  <c r="G57" i="43"/>
  <c r="G58" i="43"/>
  <c r="G50" i="43"/>
  <c r="J52" i="15"/>
  <c r="L30" i="1" l="1"/>
  <c r="N30" i="1" s="1"/>
  <c r="L27" i="1"/>
  <c r="N27" i="1" s="1"/>
  <c r="L26" i="1"/>
  <c r="N26" i="1" s="1"/>
  <c r="N25" i="1" l="1"/>
  <c r="L25" i="1"/>
  <c r="L28" i="1" l="1"/>
  <c r="N28" i="1" s="1"/>
  <c r="L29" i="1"/>
  <c r="N29" i="1" s="1"/>
  <c r="M25" i="1"/>
  <c r="N31" i="1" l="1"/>
  <c r="M24" i="1" l="1"/>
  <c r="Y6" i="1" l="1"/>
  <c r="K13" i="3"/>
  <c r="G19" i="6" s="1"/>
  <c r="D42" i="43" s="1"/>
  <c r="I13" i="3"/>
  <c r="F19" i="6" s="1"/>
  <c r="C57" i="81"/>
  <c r="C55" i="81"/>
  <c r="E17" i="81"/>
  <c r="C17" i="81"/>
  <c r="D17" i="81"/>
  <c r="E16" i="81"/>
  <c r="G16" i="81" s="1"/>
  <c r="F15" i="81"/>
  <c r="E15" i="81"/>
  <c r="G15" i="81" s="1"/>
  <c r="G14" i="81"/>
  <c r="E14" i="81"/>
  <c r="G7" i="81"/>
  <c r="G9" i="81" s="1"/>
  <c r="M21" i="80"/>
  <c r="L21" i="80"/>
  <c r="K21" i="80"/>
  <c r="J21" i="80"/>
  <c r="I21" i="80"/>
  <c r="H21" i="80"/>
  <c r="G21" i="80"/>
  <c r="F21" i="80"/>
  <c r="E21" i="80"/>
  <c r="N18" i="80"/>
  <c r="N16" i="80"/>
  <c r="N15" i="80"/>
  <c r="N14" i="80"/>
  <c r="N13" i="80"/>
  <c r="N12" i="80"/>
  <c r="N11" i="80"/>
  <c r="N10" i="80"/>
  <c r="N9" i="80"/>
  <c r="N8" i="80"/>
  <c r="N7" i="80"/>
  <c r="N6" i="80"/>
  <c r="N5" i="80"/>
  <c r="N4" i="80"/>
  <c r="N3" i="80"/>
  <c r="AH6" i="1" l="1"/>
  <c r="G17" i="8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24" i="43"/>
  <c r="U5" i="77" l="1"/>
  <c r="D6" i="77"/>
  <c r="Q32" i="43"/>
  <c r="P32" i="43"/>
  <c r="O32" i="43"/>
  <c r="N32" i="43"/>
  <c r="M32" i="43"/>
  <c r="AH11" i="71"/>
  <c r="AG11" i="71"/>
  <c r="AE11" i="71"/>
  <c r="AF11" i="71" s="1"/>
  <c r="AD11" i="71"/>
  <c r="Q11" i="71"/>
  <c r="P11" i="71"/>
  <c r="O11" i="71"/>
  <c r="N11" i="71"/>
  <c r="D17" i="77" l="1"/>
  <c r="D9" i="77"/>
  <c r="C23" i="77"/>
  <c r="D16" i="77"/>
  <c r="D10" i="77"/>
  <c r="D18" i="77"/>
  <c r="D15" i="77"/>
  <c r="AH12" i="71"/>
  <c r="AG12" i="71"/>
  <c r="AE12" i="71"/>
  <c r="AF12" i="71" s="1"/>
  <c r="AD12" i="71"/>
  <c r="Q12" i="71"/>
  <c r="P12" i="71"/>
  <c r="O12" i="71"/>
  <c r="N12" i="71"/>
  <c r="D23" i="77" l="1"/>
  <c r="C29" i="77"/>
  <c r="AH13" i="71"/>
  <c r="AG13" i="71"/>
  <c r="AE13" i="71"/>
  <c r="AF13" i="71" s="1"/>
  <c r="AD13" i="71"/>
  <c r="Q13" i="71"/>
  <c r="P13" i="71"/>
  <c r="O13" i="71"/>
  <c r="N13" i="71"/>
  <c r="D29" i="77" l="1"/>
  <c r="E23" i="77"/>
  <c r="H16" i="49"/>
  <c r="D16" i="49"/>
  <c r="D15" i="49"/>
  <c r="B2" i="49"/>
  <c r="F15" i="49" s="1"/>
  <c r="H15" i="49" s="1"/>
  <c r="E29" i="77" l="1"/>
  <c r="E26"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E32" i="77" l="1"/>
  <c r="E38" i="77" s="1"/>
  <c r="K42" i="40"/>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D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15"/>
  <c r="F20" i="31"/>
  <c r="E10" i="76"/>
  <c r="M26" i="15"/>
  <c r="B12" i="76"/>
  <c r="M28" i="67"/>
  <c r="M22" i="15"/>
  <c r="E9" i="76"/>
  <c r="D6" i="73"/>
  <c r="M9" i="67"/>
  <c r="F8" i="15"/>
  <c r="C76" i="67"/>
  <c r="F6" i="15"/>
  <c r="M28" i="15"/>
  <c r="F9" i="15"/>
  <c r="F43" i="67"/>
  <c r="F36" i="15"/>
  <c r="E7" i="76"/>
  <c r="E12" i="76"/>
  <c r="M29" i="67"/>
  <c r="M24" i="67"/>
  <c r="F16" i="67"/>
  <c r="F36" i="67"/>
  <c r="F4" i="73"/>
  <c r="F7" i="73"/>
  <c r="M22" i="67"/>
  <c r="L47" i="67"/>
  <c r="F7" i="15"/>
  <c r="F6" i="73"/>
  <c r="F3" i="73"/>
  <c r="E2" i="68"/>
  <c r="M23" i="67"/>
  <c r="L48" i="15"/>
  <c r="B7" i="76"/>
  <c r="M6" i="15"/>
  <c r="B8" i="76"/>
  <c r="F16" i="15"/>
  <c r="E11" i="76"/>
  <c r="M8" i="67"/>
  <c r="F13" i="15"/>
  <c r="M6" i="67"/>
  <c r="F40" i="15"/>
  <c r="M29" i="15"/>
  <c r="F38" i="15"/>
  <c r="J15" i="67"/>
  <c r="F38" i="67"/>
  <c r="F43" i="15"/>
  <c r="F37" i="15"/>
  <c r="M8" i="15"/>
  <c r="E2" i="69"/>
  <c r="F9" i="67"/>
  <c r="F5" i="73"/>
  <c r="M23" i="15"/>
  <c r="L47" i="15"/>
  <c r="F26" i="67"/>
  <c r="F42" i="67"/>
  <c r="B13" i="76"/>
  <c r="M26" i="67"/>
  <c r="M24" i="15"/>
  <c r="C76" i="15"/>
  <c r="F13" i="67"/>
  <c r="F42" i="15"/>
  <c r="B11" i="76"/>
  <c r="F8" i="67"/>
  <c r="F6" i="67"/>
  <c r="J15" i="15"/>
  <c r="B9" i="76"/>
  <c r="F40" i="67"/>
  <c r="M9" i="15"/>
  <c r="E8" i="76"/>
  <c r="E13" i="76"/>
  <c r="F7" i="67"/>
  <c r="B10" i="76"/>
  <c r="AO13" i="1"/>
  <c r="F37" i="67"/>
  <c r="F7" i="1" l="1"/>
  <c r="D36" i="77"/>
  <c r="F11" i="1"/>
  <c r="G11" i="1" s="1"/>
  <c r="G44" i="43"/>
  <c r="S42" i="39"/>
  <c r="AC41" i="39"/>
  <c r="U41" i="39"/>
  <c r="AA41" i="39"/>
  <c r="AA11" i="39"/>
  <c r="D51" i="43"/>
  <c r="D52" i="43"/>
  <c r="D50" i="4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3" i="73"/>
  <c r="D4" i="73"/>
  <c r="C16" i="67"/>
  <c r="D5" i="73"/>
  <c r="D7" i="73"/>
  <c r="L48" i="67"/>
  <c r="C16" i="15"/>
  <c r="J53" i="67" l="1"/>
  <c r="F1" i="67" s="1"/>
  <c r="I54" i="67"/>
  <c r="L58" i="67"/>
  <c r="Q60" i="67" s="1"/>
  <c r="J57" i="67"/>
  <c r="J55" i="67" s="1"/>
  <c r="J58" i="67" s="1"/>
  <c r="Q50" i="67" s="1"/>
  <c r="L56" i="67"/>
  <c r="F36" i="77"/>
  <c r="E39" i="77"/>
  <c r="G7" i="1"/>
  <c r="G16" i="1" s="1"/>
  <c r="J26" i="43"/>
  <c r="G26" i="43"/>
  <c r="N94" i="46"/>
  <c r="N370" i="46"/>
  <c r="E59" i="40"/>
  <c r="P6" i="1"/>
  <c r="C13" i="12" s="1"/>
  <c r="K16" i="1"/>
  <c r="L31" i="1" s="1"/>
  <c r="M31" i="1" s="1"/>
  <c r="M32" i="1" s="1"/>
  <c r="F26" i="43"/>
  <c r="E26" i="43"/>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W7" i="37"/>
  <c r="F7" i="33"/>
  <c r="E58" i="21"/>
  <c r="AC7" i="36"/>
  <c r="V36" i="36" s="1"/>
  <c r="I36" i="36" s="1"/>
  <c r="W7" i="36"/>
  <c r="F7" i="37"/>
  <c r="M17" i="67"/>
  <c r="M17" i="15"/>
  <c r="F59" i="15"/>
  <c r="P28" i="43"/>
  <c r="B66" i="40" s="1"/>
  <c r="P25" i="43"/>
  <c r="C49" i="67"/>
  <c r="P29" i="43"/>
  <c r="P27" i="43"/>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F41" i="67"/>
  <c r="AE6" i="1"/>
  <c r="Q73" i="67" l="1"/>
  <c r="Q52" i="67"/>
  <c r="AB7" i="36"/>
  <c r="T36" i="36" s="1"/>
  <c r="G36" i="36" s="1"/>
  <c r="B70" i="39"/>
  <c r="E69" i="39"/>
  <c r="F10" i="39"/>
  <c r="J10" i="39"/>
  <c r="W10" i="39" s="1"/>
  <c r="J10" i="40"/>
  <c r="AC10" i="40" s="1"/>
  <c r="H10" i="40"/>
  <c r="AB10" i="40" s="1"/>
  <c r="H10" i="39"/>
  <c r="U10" i="39" s="1"/>
  <c r="F10" i="40"/>
  <c r="S10" i="40" s="1"/>
  <c r="D26" i="43"/>
  <c r="C25" i="43" s="1"/>
  <c r="H6" i="3"/>
  <c r="AC6" i="3"/>
  <c r="E3" i="6"/>
  <c r="B4" i="77" s="1"/>
  <c r="G6" i="77"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A10" i="40" l="1"/>
  <c r="S10" i="39"/>
  <c r="AA10" i="39"/>
  <c r="B14" i="74"/>
  <c r="B1" i="74" s="1"/>
  <c r="E6" i="3"/>
  <c r="F22" i="68"/>
  <c r="C44" i="68" s="1"/>
  <c r="D41" i="68" s="1"/>
  <c r="F22" i="11"/>
  <c r="C23" i="11" s="1"/>
  <c r="F25" i="12"/>
  <c r="C26" i="12" s="1"/>
  <c r="D25" i="12" s="1"/>
  <c r="D116" i="43"/>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D30" i="6" l="1"/>
  <c r="C26" i="69"/>
  <c r="D22" i="69" s="1"/>
  <c r="F41" i="68"/>
  <c r="C26" i="68"/>
  <c r="D22" i="68" s="1"/>
  <c r="C26" i="11"/>
  <c r="D22" i="11" s="1"/>
  <c r="C25" i="11"/>
  <c r="C44" i="11"/>
  <c r="D41" i="11" s="1"/>
  <c r="C24" i="1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R49" i="21" l="1"/>
  <c r="C49"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8" i="21"/>
  <c r="E52" i="21"/>
  <c r="F52" i="21" s="1"/>
  <c r="E53" i="21"/>
  <c r="F53" i="21" s="1"/>
  <c r="G42" i="35"/>
  <c r="H42" i="35" s="1"/>
  <c r="I53" i="21"/>
  <c r="J53" i="21" s="1"/>
  <c r="K65" i="40"/>
  <c r="L63" i="40"/>
  <c r="C51" i="68" l="1"/>
  <c r="C52" i="68" s="1"/>
  <c r="B2" i="68" s="1"/>
  <c r="D13" i="77"/>
  <c r="D12" i="77" s="1"/>
  <c r="D11" i="77"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102" i="9" l="1"/>
  <c r="C21" i="9"/>
  <c r="B3" i="68"/>
  <c r="C57" i="68"/>
  <c r="C56" i="68" s="1"/>
  <c r="D7" i="77"/>
  <c r="C26" i="77" s="1"/>
  <c r="C32" i="77" s="1"/>
  <c r="E11" i="77"/>
  <c r="E7" i="77" s="1"/>
  <c r="C27" i="77" s="1"/>
  <c r="D27" i="77" s="1"/>
  <c r="D26" i="77" s="1"/>
  <c r="D32" i="77" s="1"/>
  <c r="D38" i="77" s="1"/>
  <c r="D39"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C20" i="9"/>
  <c r="D2" i="33"/>
  <c r="L51" i="67"/>
  <c r="D35" i="9"/>
  <c r="C103" i="9" l="1"/>
  <c r="C38" i="77"/>
  <c r="C39" i="77" s="1"/>
  <c r="C40" i="77" s="1"/>
  <c r="C41" i="77" s="1"/>
  <c r="G32"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9" i="1"/>
  <c r="AO8" i="1"/>
  <c r="AO11" i="1"/>
  <c r="AO7" i="1"/>
  <c r="R48" i="39" l="1"/>
  <c r="C47" i="39" s="1"/>
  <c r="C7" i="71"/>
  <c r="D8" i="71"/>
  <c r="L46" i="15"/>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15"/>
  <c r="E2" i="77"/>
  <c r="B2" i="77" s="1"/>
  <c r="B3" i="77" s="1"/>
  <c r="D7" i="71"/>
  <c r="C6" i="71"/>
  <c r="B56" i="39"/>
  <c r="F56" i="39" s="1"/>
  <c r="B60" i="39"/>
  <c r="F60" i="39" s="1"/>
  <c r="B59" i="39"/>
  <c r="F59" i="39" s="1"/>
  <c r="I46" i="40"/>
  <c r="J46" i="40" s="1"/>
  <c r="R43" i="40"/>
  <c r="E42" i="40"/>
  <c r="G47" i="40"/>
  <c r="H47" i="40" s="1"/>
  <c r="G46" i="40"/>
  <c r="H46" i="40" s="1"/>
  <c r="D19" i="9"/>
  <c r="AO6" i="1"/>
  <c r="B62" i="39" l="1"/>
  <c r="F62" i="39" s="1"/>
  <c r="B61" i="39"/>
  <c r="F61" i="39" s="1"/>
  <c r="B58" i="39"/>
  <c r="F58" i="39" s="1"/>
  <c r="B64" i="39"/>
  <c r="F64" i="39" s="1"/>
  <c r="B57" i="39"/>
  <c r="F57" i="39" s="1"/>
  <c r="D102" i="9"/>
  <c r="D21" i="9"/>
  <c r="D22" i="9"/>
  <c r="G19" i="9"/>
  <c r="G21" i="9" s="1"/>
  <c r="B6" i="70"/>
  <c r="B2" i="70" s="1"/>
  <c r="B3" i="70" s="1"/>
  <c r="B3" i="15"/>
  <c r="D6" i="71"/>
  <c r="C5" i="71"/>
  <c r="D5" i="71" s="1"/>
  <c r="M24" i="43" s="1"/>
  <c r="C42" i="40"/>
  <c r="C43" i="40"/>
  <c r="E47" i="40"/>
  <c r="F47" i="40" s="1"/>
  <c r="E46" i="40"/>
  <c r="F46" i="40" s="1"/>
  <c r="I47" i="40"/>
  <c r="J47" i="40" s="1"/>
  <c r="D20" i="9"/>
  <c r="F65" i="39" l="1"/>
  <c r="B2" i="39" s="1"/>
  <c r="B3" i="39"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F118" i="9"/>
  <c r="F4" i="52" s="1"/>
  <c r="B51" i="72" s="1"/>
  <c r="H118" i="9"/>
  <c r="H119" i="9" s="1"/>
  <c r="H5" i="52" s="1"/>
  <c r="D4" i="52" l="1"/>
  <c r="B47" i="72" s="1"/>
  <c r="H101" i="9"/>
  <c r="D5" i="53" s="1"/>
  <c r="H4" i="52"/>
  <c r="I118" i="9"/>
  <c r="F119" i="9"/>
  <c r="F5" i="52" s="1"/>
  <c r="B53" i="72" s="1"/>
  <c r="C104" i="9"/>
  <c r="G118" i="9"/>
  <c r="G4" i="52" s="1"/>
  <c r="B52" i="72" s="1"/>
  <c r="M48" i="9" l="1"/>
  <c r="D14" i="74"/>
  <c r="D45" i="9"/>
  <c r="C85" i="9" s="1"/>
  <c r="H107" i="9"/>
  <c r="C105" i="9"/>
  <c r="I4" i="52"/>
  <c r="E118" i="9"/>
  <c r="E4" i="52" s="1"/>
  <c r="B48" i="72" s="1"/>
  <c r="H102" i="9"/>
  <c r="B20" i="72"/>
  <c r="D6" i="53"/>
  <c r="B22" i="72" s="1"/>
  <c r="D53" i="9" l="1"/>
  <c r="C72" i="9"/>
  <c r="D52" i="9"/>
  <c r="D13" i="53"/>
  <c r="D14" i="53" s="1"/>
  <c r="B32" i="72" s="1"/>
  <c r="G14" i="74"/>
  <c r="B6" i="74" s="1"/>
  <c r="D6" i="74" s="1"/>
  <c r="E14" i="74"/>
  <c r="F14" i="74"/>
  <c r="B5" i="74"/>
  <c r="D5" i="74" s="1"/>
  <c r="C78" i="9"/>
  <c r="C73" i="9" s="1"/>
  <c r="C64" i="9"/>
  <c r="C63" i="9" s="1"/>
  <c r="C67" i="9" s="1"/>
  <c r="D59" i="9" s="1"/>
  <c r="M55" i="9" s="1"/>
  <c r="C93" i="9"/>
  <c r="C86" i="9" s="1"/>
  <c r="C95" i="9" s="1"/>
  <c r="M49" i="9"/>
  <c r="L64" i="9" s="1"/>
  <c r="M64" i="9" s="1"/>
  <c r="D55" i="9"/>
  <c r="M53" i="9" s="1"/>
  <c r="D122" i="9"/>
  <c r="D123" i="9" s="1"/>
  <c r="D9" i="52" s="1"/>
  <c r="D7" i="53"/>
  <c r="B21" i="72" s="1"/>
  <c r="H108" i="9"/>
  <c r="C5" i="74" l="1"/>
  <c r="C79" i="9"/>
  <c r="C80" i="9" s="1"/>
  <c r="E80" i="9" s="1"/>
  <c r="E81" i="9" s="1"/>
  <c r="C68" i="9"/>
  <c r="D54" i="9" s="1"/>
  <c r="L67" i="9"/>
  <c r="M67" i="9" s="1"/>
  <c r="B30" i="72"/>
  <c r="L65" i="9"/>
  <c r="M65" i="9" s="1"/>
  <c r="L68" i="9"/>
  <c r="M68" i="9" s="1"/>
  <c r="L63" i="9"/>
  <c r="M63" i="9" s="1"/>
  <c r="L66" i="9"/>
  <c r="M66" i="9" s="1"/>
  <c r="D8" i="52"/>
  <c r="C96" i="9"/>
  <c r="E96" i="9" s="1"/>
  <c r="E97" i="9" s="1"/>
  <c r="C6" i="74"/>
  <c r="D15" i="53"/>
  <c r="B31" i="72" s="1"/>
  <c r="C81" i="9" l="1"/>
  <c r="M69" i="9"/>
  <c r="N69" i="9" s="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<sst xmlns="http://schemas.openxmlformats.org/spreadsheetml/2006/main" count="7945" uniqueCount="3522">
  <si>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</si>
  <si>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</si>
  <si>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</si>
  <si>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</si>
  <si>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</si>
  <si>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</si>
  <si>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</si>
  <si>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</si>
  <si>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</si>
  <si>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</si>
  <si>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</si>
  <si>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</si>
  <si>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</si>
  <si>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</si>
  <si>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</si>
  <si>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</si>
  <si>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</si>
  <si>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</si>
  <si>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</si>
  <si>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</si>
  <si>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</si>
  <si>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</si>
  <si>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</si>
  <si>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</si>
  <si>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</si>
  <si>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</si>
  <si>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</si>
  <si>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</si>
  <si>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</si>
  <si>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</si>
  <si>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</si>
  <si>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</si>
  <si>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</si>
  <si>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</si>
  <si>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</si>
  <si>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</si>
  <si>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</si>
  <si>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</si>
  <si>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</si>
  <si>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</si>
  <si>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</si>
  <si>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</si>
  <si>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</si>
  <si>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</si>
  <si>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</si>
  <si>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</si>
  <si>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</si>
  <si>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</si>
  <si>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</si>
  <si>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</si>
  <si>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</si>
  <si>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</si>
  <si>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</si>
  <si>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</si>
  <si>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</si>
  <si>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</si>
  <si>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</si>
  <si>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</si>
  <si>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</si>
  <si>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</si>
  <si>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</si>
  <si>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</si>
  <si>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</si>
  <si>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</si>
  <si>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</si>
  <si>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</si>
  <si>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</si>
  <si>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</si>
  <si>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</si>
  <si>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</si>
  <si>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</si>
  <si>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</si>
  <si>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</si>
  <si>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</si>
  <si>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</si>
  <si>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</si>
  <si>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</si>
  <si>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</si>
  <si>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</si>
  <si>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</si>
  <si>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</si>
  <si>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</si>
  <si>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</si>
  <si>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</si>
  <si>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</si>
  <si>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</si>
  <si>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</si>
  <si>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</si>
  <si>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</si>
  <si>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</si>
  <si>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</si>
  <si>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</si>
  <si>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</si>
  <si>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</si>
  <si>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</si>
  <si>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</si>
  <si>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</si>
  <si>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</si>
  <si>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</si>
  <si>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</si>
  <si>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</si>
  <si>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</si>
  <si>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</si>
  <si>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</si>
  <si>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</si>
  <si>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</si>
  <si>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</si>
  <si>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</si>
  <si>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</si>
  <si>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</si>
  <si>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</si>
  <si>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</si>
  <si>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</si>
  <si>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</si>
  <si>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</si>
  <si>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</si>
  <si>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</si>
  <si>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</si>
  <si>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</si>
  <si>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</si>
  <si>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</si>
  <si>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</si>
  <si>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</si>
  <si>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</si>
  <si>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</si>
  <si>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</si>
  <si>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</si>
  <si>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</si>
  <si>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</si>
  <si>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</si>
  <si>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</si>
  <si>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</si>
  <si>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</si>
  <si>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</si>
  <si>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</si>
  <si>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</si>
  <si>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</si>
  <si>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</si>
  <si>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</si>
  <si>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</si>
  <si>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</si>
  <si>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</si>
  <si>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</si>
  <si>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</si>
  <si>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</si>
  <si>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</si>
  <si>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</si>
  <si>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</si>
  <si>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</si>
  <si>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</si>
  <si>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</si>
  <si>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</si>
  <si>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</si>
  <si>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</si>
  <si>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</si>
  <si>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</si>
  <si>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</si>
  <si>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</si>
  <si>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</si>
  <si>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</si>
  <si>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</si>
  <si>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</si>
  <si>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</si>
  <si>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</si>
  <si>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</si>
  <si>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</si>
  <si>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</si>
  <si>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</si>
  <si>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</si>
  <si>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</si>
  <si>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</si>
  <si>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</si>
  <si>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</si>
  <si>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</si>
  <si>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</si>
  <si>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</si>
  <si>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</si>
  <si>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</si>
  <si>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</si>
  <si>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</si>
  <si>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</si>
  <si>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</si>
  <si>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</si>
  <si>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</si>
  <si>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</si>
  <si>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</si>
  <si>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</si>
  <si>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</si>
  <si>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</si>
  <si>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</si>
  <si>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</si>
  <si>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</si>
  <si>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</si>
  <si>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</si>
  <si>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</si>
  <si>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</si>
  <si>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</si>
  <si>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</si>
  <si>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</si>
  <si>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</si>
  <si>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</si>
  <si>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</si>
  <si>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</si>
  <si>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</si>
  <si>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</si>
  <si>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</si>
  <si>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</si>
  <si>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</si>
  <si>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</si>
  <si>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</si>
  <si>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</si>
  <si>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</si>
  <si>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</si>
  <si>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</si>
  <si>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</si>
  <si>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</si>
  <si>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</si>
  <si>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</si>
  <si>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</si>
  <si>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</si>
  <si>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</si>
  <si>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</si>
  <si>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</si>
  <si>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</si>
  <si>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</si>
  <si>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</si>
  <si>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</si>
  <si>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</si>
  <si>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</si>
  <si>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</si>
  <si>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</si>
  <si>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</si>
  <si>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</si>
  <si>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</si>
  <si>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</si>
  <si>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</si>
  <si>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</si>
  <si>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</si>
  <si>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</si>
  <si>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</si>
  <si>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</si>
  <si>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</si>
  <si>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</si>
  <si>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</si>
  <si>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</si>
  <si>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</si>
  <si>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</si>
  <si>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</si>
  <si>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</si>
  <si>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</si>
  <si>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</si>
  <si>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</si>
  <si>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</si>
  <si>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</si>
  <si>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</si>
  <si>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</si>
  <si>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</si>
  <si>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</si>
  <si>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</si>
  <si>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</si>
  <si>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</si>
  <si>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</si>
  <si>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</si>
  <si>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</si>
  <si>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</si>
  <si>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</si>
  <si>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</si>
  <si>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</si>
  <si>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</si>
  <si>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</si>
  <si>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</si>
  <si>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</si>
  <si>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</si>
  <si>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</si>
  <si>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</si>
  <si>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</si>
  <si>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</si>
  <si>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</si>
  <si>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</si>
  <si>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</si>
  <si>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</si>
  <si>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</si>
  <si>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</si>
  <si>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</si>
  <si>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</si>
  <si>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</si>
  <si>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</si>
  <si>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</si>
  <si>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</si>
  <si>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</si>
  <si>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</si>
  <si>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</si>
  <si>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</si>
  <si>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</si>
  <si>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</si>
  <si>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</si>
  <si>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</si>
  <si>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</si>
  <si>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</si>
  <si>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</si>
  <si>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</si>
  <si>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</si>
  <si>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</si>
  <si>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</si>
  <si>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</si>
  <si>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</si>
  <si>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</si>
  <si>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</si>
  <si>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</si>
  <si>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</si>
  <si>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</si>
  <si>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</si>
  <si>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</si>
  <si>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</si>
  <si>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</si>
  <si>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</si>
  <si>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</si>
  <si>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</si>
  <si>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</si>
  <si>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</si>
  <si>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</si>
  <si>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</si>
  <si>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</si>
  <si>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</si>
  <si>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</si>
  <si>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</si>
  <si>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</si>
  <si>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</si>
  <si>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</si>
  <si>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</si>
  <si>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</si>
  <si>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</si>
  <si>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</si>
  <si>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</si>
  <si>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</si>
  <si>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</si>
  <si>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</si>
  <si>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</si>
  <si>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</si>
  <si>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</si>
  <si>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</si>
  <si>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</si>
  <si>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</si>
  <si>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</si>
  <si>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</si>
  <si>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</si>
  <si>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</si>
  <si>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</si>
  <si>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</si>
  <si>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</si>
  <si>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</si>
  <si>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</si>
  <si>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</si>
  <si>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</si>
  <si>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</si>
  <si>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</si>
  <si>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</si>
  <si>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</si>
  <si>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</si>
  <si>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</si>
  <si>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</si>
  <si>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</si>
  <si>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</si>
  <si>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</si>
  <si>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</si>
  <si>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</si>
  <si>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</si>
  <si>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</si>
  <si>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</si>
  <si>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</si>
  <si>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</si>
  <si>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</si>
  <si>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</si>
  <si>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</si>
  <si>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</si>
  <si>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</si>
  <si>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</si>
  <si>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</si>
  <si>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</si>
  <si>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</si>
  <si>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</si>
  <si>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</si>
  <si>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</si>
  <si>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</si>
  <si>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</si>
  <si>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</si>
  <si>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</si>
  <si>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</si>
  <si>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</si>
  <si>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</si>
  <si>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</si>
  <si>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</si>
  <si>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</si>
  <si>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</si>
  <si>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</si>
  <si>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</si>
  <si>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</si>
  <si>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</si>
  <si>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</si>
  <si>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</si>
  <si>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</si>
  <si>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</si>
  <si>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</si>
  <si>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</si>
  <si>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</si>
  <si>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</si>
  <si>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</si>
  <si>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</si>
  <si>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</si>
  <si>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</si>
  <si>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</si>
  <si>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</si>
  <si>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</si>
  <si>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</si>
  <si>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</si>
  <si>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</si>
  <si>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</si>
  <si>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</si>
  <si>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</si>
  <si>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</si>
  <si>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</si>
  <si>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</si>
  <si>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</si>
  <si>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</si>
  <si>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</si>
  <si>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</si>
  <si>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</si>
  <si>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</si>
  <si>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</si>
  <si>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</si>
  <si>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</si>
  <si>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</si>
  <si>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</si>
  <si>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</si>
  <si>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</si>
  <si>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</si>
  <si>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</si>
  <si>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</si>
  <si>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</si>
  <si>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</si>
  <si>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</si>
  <si>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</si>
  <si>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</si>
  <si>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</si>
  <si>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</si>
  <si>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</si>
  <si>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</si>
  <si>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</si>
  <si>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</si>
  <si>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</si>
  <si>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</si>
  <si>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</si>
  <si>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</si>
  <si>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</si>
  <si>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</si>
  <si>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</si>
  <si>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</si>
  <si>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</si>
  <si>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</si>
  <si>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</si>
  <si>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</si>
  <si>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</si>
  <si>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</si>
  <si>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</si>
  <si>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</si>
  <si>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</si>
  <si>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</si>
  <si>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</si>
  <si>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</si>
  <si>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</si>
  <si>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</si>
  <si>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</si>
  <si>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</si>
  <si>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</si>
  <si>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</si>
  <si>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</si>
  <si>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</si>
  <si>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</si>
  <si>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</si>
  <si>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</si>
  <si>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</si>
  <si>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</si>
  <si>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</si>
  <si>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</si>
  <si>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</si>
  <si>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</si>
  <si>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</si>
  <si>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</si>
  <si>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</si>
  <si>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</si>
  <si>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</si>
  <si>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</si>
  <si>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</si>
  <si>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</si>
  <si>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</si>
  <si>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</si>
  <si>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</si>
  <si>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</si>
  <si>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</si>
  <si>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</si>
  <si>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</si>
  <si>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</si>
  <si>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</si>
  <si>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</si>
  <si>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</si>
  <si>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</si>
  <si>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</si>
  <si>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</si>
  <si>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</si>
  <si>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</si>
  <si>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</si>
  <si>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</si>
  <si>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</si>
  <si>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</si>
  <si>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</si>
  <si>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</si>
  <si>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</si>
  <si>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</si>
  <si>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</si>
  <si>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</si>
  <si>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</si>
  <si>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</si>
  <si>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</si>
  <si>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</si>
  <si>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</si>
  <si>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</si>
  <si>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</si>
  <si>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</si>
  <si>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</si>
  <si>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</si>
  <si>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</si>
  <si>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</si>
  <si>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</si>
  <si>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</si>
  <si>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</si>
  <si>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</si>
  <si>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</si>
  <si>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</si>
  <si>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</si>
  <si>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</si>
  <si>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</si>
  <si>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</si>
  <si>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</si>
  <si>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</si>
  <si>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</si>
  <si>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</si>
  <si>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</si>
  <si>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</si>
  <si>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</si>
  <si>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</si>
  <si>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</si>
  <si>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</si>
  <si>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</si>
  <si>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</si>
  <si>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</si>
  <si>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</si>
  <si>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</si>
  <si>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</si>
  <si>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</si>
  <si>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</si>
  <si>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</si>
  <si>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</si>
  <si>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</si>
  <si>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</si>
  <si>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</si>
  <si>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</si>
  <si>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</si>
  <si>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</si>
  <si>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</si>
  <si>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</si>
  <si>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</si>
  <si>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</si>
  <si>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</si>
  <si>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</si>
  <si>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</si>
  <si>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</si>
  <si>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</si>
  <si>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</si>
  <si>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</si>
  <si>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</si>
  <si>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</si>
  <si>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</si>
  <si>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</si>
  <si>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</si>
  <si>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</si>
  <si>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</si>
  <si>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</si>
  <si>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</si>
  <si>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</si>
  <si>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</si>
  <si>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</si>
  <si>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</si>
  <si>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</si>
  <si>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</si>
  <si>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</si>
  <si>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</si>
  <si>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</si>
  <si>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</si>
  <si>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</si>
  <si>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</si>
  <si>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</si>
  <si>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</si>
  <si>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</si>
  <si>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</si>
  <si>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</si>
  <si>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</si>
  <si>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</si>
  <si>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</si>
  <si>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</si>
  <si>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</si>
  <si>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</si>
  <si>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</si>
  <si>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</si>
  <si>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</si>
  <si>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</si>
  <si>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</si>
  <si>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</si>
  <si>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</si>
  <si>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</si>
  <si>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</si>
  <si>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</si>
  <si>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</si>
  <si>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</si>
  <si>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</si>
  <si>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</si>
  <si>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</si>
  <si>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</si>
  <si>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</si>
  <si>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</si>
  <si>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</si>
  <si>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</si>
  <si>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</si>
  <si>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</si>
  <si>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</si>
  <si>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</si>
  <si>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</si>
  <si>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</si>
  <si>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</si>
  <si>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</si>
  <si>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</si>
  <si>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</si>
  <si>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</si>
  <si>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</si>
  <si>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</si>
  <si>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</si>
  <si>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</si>
  <si>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</si>
  <si>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</si>
  <si>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</si>
  <si>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</si>
  <si>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</si>
  <si>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</si>
  <si>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</si>
  <si>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</si>
  <si>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</si>
  <si>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</si>
  <si>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</si>
  <si>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</si>
  <si>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</si>
  <si>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</si>
  <si>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</si>
  <si>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</si>
  <si>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</si>
  <si>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</si>
  <si>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</si>
  <si>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</si>
  <si>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</si>
  <si>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</si>
  <si>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</si>
  <si>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</si>
  <si>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</si>
  <si>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</si>
  <si>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</si>
  <si>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</si>
  <si>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</si>
  <si>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</si>
  <si>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</si>
  <si>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</si>
  <si>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</si>
  <si>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</si>
  <si>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</si>
  <si>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</si>
  <si>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</si>
  <si>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</si>
  <si>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</si>
  <si>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</si>
  <si>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</si>
  <si>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</si>
  <si>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</si>
  <si>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</si>
  <si>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</si>
  <si>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</si>
  <si>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</si>
  <si>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</si>
  <si>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</si>
  <si>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</si>
  <si>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</si>
  <si>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</si>
  <si>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</si>
  <si>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</si>
  <si>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</si>
  <si>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</si>
  <si>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</si>
  <si>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</si>
  <si>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</si>
  <si>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</si>
  <si>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</si>
  <si>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</si>
  <si>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</si>
  <si>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</si>
  <si>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</si>
  <si>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</si>
  <si>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</si>
  <si>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</si>
  <si>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</si>
  <si>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</si>
  <si>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</si>
  <si>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</si>
  <si>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</si>
  <si>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</si>
  <si>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</si>
  <si>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</si>
  <si>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</si>
  <si>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</si>
  <si>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</si>
  <si>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</si>
  <si>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</si>
  <si>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</si>
  <si>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</si>
  <si>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</si>
  <si>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</si>
  <si>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</si>
  <si>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</si>
  <si>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</si>
  <si>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</si>
  <si>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</si>
  <si>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</si>
  <si>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</si>
  <si>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</si>
  <si>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</si>
  <si>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</si>
  <si>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</si>
  <si>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</si>
  <si>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</si>
  <si>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</si>
  <si>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</si>
  <si>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</si>
  <si>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</si>
  <si>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</si>
  <si>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</si>
  <si>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</si>
  <si>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</si>
  <si>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</si>
  <si>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</si>
  <si>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</si>
  <si>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</si>
  <si>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</si>
  <si>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</si>
  <si>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</si>
  <si>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</si>
  <si>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</si>
  <si>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</si>
  <si>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</si>
  <si>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</si>
  <si>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</si>
  <si>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</si>
  <si>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</si>
  <si>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</si>
  <si>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</si>
  <si>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</si>
  <si>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</si>
  <si>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</si>
  <si>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</si>
  <si>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</si>
  <si>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</si>
  <si>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</si>
  <si>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</si>
  <si>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</si>
  <si>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</si>
  <si>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</si>
  <si>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</si>
  <si>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</si>
  <si>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</si>
  <si>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</si>
  <si>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</si>
  <si>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</si>
  <si>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</si>
  <si>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</si>
  <si>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</si>
  <si>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</si>
  <si>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</si>
  <si>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</si>
  <si>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</si>
  <si>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</si>
  <si>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</si>
  <si>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</si>
  <si>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</si>
  <si>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</si>
  <si>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</si>
  <si>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</si>
  <si>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</si>
  <si>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</si>
  <si>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</si>
  <si>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</si>
  <si>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</si>
  <si>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</si>
  <si>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</si>
  <si>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</si>
  <si>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</si>
  <si>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</si>
  <si>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</si>
  <si>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</si>
  <si>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</si>
  <si>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</si>
  <si>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</si>
  <si>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</si>
  <si>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</si>
  <si>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</si>
  <si>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</si>
  <si>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</si>
  <si>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</si>
  <si>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</si>
  <si>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</si>
  <si>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</si>
  <si>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</si>
  <si>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</si>
  <si>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</si>
  <si>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</si>
  <si>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</si>
  <si>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</si>
  <si>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</si>
  <si>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</si>
  <si>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</si>
  <si>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</si>
  <si>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</si>
  <si>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</si>
  <si>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</si>
  <si>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</si>
  <si>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</si>
  <si>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</si>
  <si>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</si>
  <si>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</si>
  <si>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</si>
  <si>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</si>
  <si>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</si>
  <si>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</si>
  <si>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</si>
  <si>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</si>
  <si>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</si>
  <si>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</si>
  <si>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</si>
  <si>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</si>
  <si>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</si>
  <si>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</si>
  <si>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</si>
  <si>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</si>
  <si>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</si>
  <si>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</si>
  <si>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</si>
  <si>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</si>
  <si>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</si>
  <si>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</si>
  <si>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</si>
  <si>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</si>
  <si>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</si>
  <si>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</si>
  <si>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</si>
  <si>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</si>
  <si>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</si>
  <si>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</si>
  <si>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</si>
  <si>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</si>
  <si>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</si>
  <si>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</si>
  <si>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</si>
  <si>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</si>
  <si>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</si>
  <si>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</si>
  <si>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</si>
  <si>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</si>
  <si>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</si>
  <si>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</si>
  <si>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</si>
  <si>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</si>
  <si>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</si>
  <si>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</si>
  <si>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</si>
  <si>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</si>
  <si>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</si>
  <si>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</si>
  <si>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</si>
  <si>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</si>
  <si>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</si>
  <si>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</si>
  <si>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</si>
  <si>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</si>
  <si>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</si>
  <si>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</si>
  <si>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</si>
  <si>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</si>
  <si>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</si>
  <si>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</si>
  <si>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</si>
  <si>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</si>
  <si>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</si>
  <si>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</si>
  <si>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</si>
  <si>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</si>
  <si>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</si>
  <si>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</si>
  <si>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</si>
  <si>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</si>
  <si>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</si>
  <si>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</si>
  <si>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</si>
  <si>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</si>
  <si>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</si>
  <si>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</si>
  <si>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</si>
  <si>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</si>
  <si>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</si>
  <si>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</si>
  <si>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</si>
  <si>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</si>
  <si>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</si>
  <si>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</si>
  <si>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</si>
  <si>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</si>
  <si>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</si>
  <si>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</si>
  <si>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</si>
  <si>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</si>
  <si>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</si>
  <si>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</si>
  <si>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</si>
  <si>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</si>
  <si>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</si>
  <si>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</si>
  <si>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</si>
  <si>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</si>
  <si>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</si>
  <si>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</si>
  <si>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</si>
  <si>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</si>
  <si>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</si>
  <si>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</si>
  <si>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</si>
  <si>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</si>
  <si>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</si>
  <si>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</si>
  <si>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</si>
  <si>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</si>
  <si>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</si>
  <si>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</si>
  <si>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</si>
  <si>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</si>
  <si>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</si>
  <si>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</si>
  <si>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</si>
  <si>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</si>
  <si>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</si>
  <si>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</si>
  <si>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</si>
  <si>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</si>
  <si>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</si>
  <si>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</si>
  <si>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</si>
  <si>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</si>
  <si>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</si>
  <si>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</si>
  <si>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</si>
  <si>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</si>
  <si>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</si>
  <si>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</si>
  <si>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</si>
  <si>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</si>
  <si>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</si>
  <si>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</si>
  <si>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</si>
  <si>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</si>
  <si>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</si>
  <si>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</si>
  <si>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</si>
  <si>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</si>
  <si>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</si>
  <si>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</si>
  <si>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</si>
  <si>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</si>
  <si>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</si>
  <si>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</si>
  <si>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</si>
  <si>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</si>
  <si>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</si>
  <si>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</si>
  <si>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</si>
  <si>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</si>
  <si>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</si>
  <si>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</si>
  <si>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</si>
  <si>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</si>
  <si>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</si>
  <si>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</si>
  <si>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</si>
  <si>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</si>
  <si>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</si>
  <si>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</si>
  <si>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</si>
  <si>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</si>
  <si>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</si>
  <si>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</si>
  <si>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</si>
  <si>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</si>
  <si>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</si>
  <si>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</si>
  <si>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</si>
  <si>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</si>
  <si>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</si>
  <si>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</si>
  <si>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</si>
  <si>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</si>
  <si>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</si>
  <si>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</si>
  <si>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</si>
  <si>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</si>
  <si>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</si>
  <si>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</si>
  <si>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</si>
  <si>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</si>
  <si>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</si>
  <si>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</si>
  <si>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</si>
  <si>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</si>
  <si>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</si>
  <si>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</si>
  <si>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</si>
  <si>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</si>
  <si>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</si>
  <si>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</si>
  <si>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</si>
  <si>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</si>
  <si>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</si>
  <si>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</si>
  <si>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</si>
  <si>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</si>
  <si>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</si>
  <si>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</si>
  <si>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</si>
  <si>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</si>
  <si>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</si>
  <si>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</si>
  <si>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</si>
  <si>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</si>
  <si>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</si>
  <si>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</si>
  <si>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</si>
  <si>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</si>
  <si>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</si>
  <si>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</si>
  <si>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</si>
  <si>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</si>
  <si>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</si>
  <si>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</si>
  <si>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</si>
  <si>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</si>
  <si>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</si>
  <si>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</si>
  <si>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</si>
  <si>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</si>
  <si>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</si>
  <si>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</si>
  <si>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</si>
  <si>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</si>
  <si>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</si>
  <si>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</si>
  <si>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</si>
  <si>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</si>
  <si>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</si>
  <si>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</si>
  <si>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</si>
  <si>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</si>
  <si>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</si>
  <si>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</si>
  <si>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</si>
  <si>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</si>
  <si>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</si>
  <si>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</si>
  <si>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</si>
  <si>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</si>
  <si>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</si>
  <si>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</si>
  <si>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</si>
  <si>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</si>
  <si>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</si>
  <si>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</si>
  <si>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</si>
  <si>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</si>
  <si>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</si>
  <si>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</si>
  <si>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</si>
  <si>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</si>
  <si>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</si>
  <si>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</si>
  <si>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</si>
  <si>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</si>
  <si>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</si>
  <si>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</si>
  <si>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</si>
  <si>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</si>
  <si>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</si>
  <si>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</si>
  <si>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</si>
  <si>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</si>
  <si>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</si>
  <si>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</si>
  <si>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</si>
  <si>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</si>
  <si>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</si>
  <si>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</si>
  <si>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</si>
  <si>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</si>
  <si>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</si>
  <si>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</si>
  <si>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</si>
  <si>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</si>
  <si>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</si>
  <si>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</si>
  <si>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</si>
  <si>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</si>
  <si>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</si>
  <si>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</si>
  <si>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</si>
  <si>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</si>
  <si>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</si>
  <si>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</si>
  <si>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</si>
  <si>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</si>
  <si>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</si>
  <si>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</si>
  <si>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</si>
  <si>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</si>
  <si>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</si>
  <si>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</si>
  <si>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</si>
  <si>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</si>
  <si>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</si>
  <si>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</si>
  <si>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</si>
  <si>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</si>
  <si>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</si>
  <si>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</si>
  <si>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</si>
  <si>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</si>
  <si>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</si>
  <si>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</si>
  <si>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</si>
  <si>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</si>
  <si>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</si>
  <si>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</si>
  <si>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</si>
  <si>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</si>
  <si>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</si>
  <si>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</si>
  <si>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</si>
  <si>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</si>
  <si>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</si>
  <si>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</si>
  <si>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</si>
  <si>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</si>
  <si>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</si>
  <si>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</si>
  <si>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</si>
  <si>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</si>
  <si>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</si>
  <si>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</si>
  <si>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</si>
  <si>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</si>
  <si>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</si>
  <si>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</si>
  <si>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</si>
  <si>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</si>
  <si>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</si>
  <si>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</si>
  <si>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</si>
  <si>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</si>
  <si>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</si>
  <si>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</si>
  <si>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</si>
  <si>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</si>
  <si>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</si>
  <si>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</si>
  <si>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</si>
  <si>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</si>
  <si>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</si>
  <si>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</si>
  <si>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</si>
  <si>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</si>
  <si>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</si>
  <si>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</si>
  <si>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</si>
  <si>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</si>
  <si>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</si>
  <si>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</si>
  <si>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</si>
  <si>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</si>
  <si>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</si>
  <si>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</si>
  <si>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</si>
  <si>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</si>
  <si>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</si>
  <si>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</si>
  <si>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</si>
  <si>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</si>
  <si>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</si>
  <si>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</si>
  <si>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</si>
  <si>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</si>
  <si>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</si>
  <si>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</si>
  <si>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</si>
  <si>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</si>
  <si>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</si>
  <si>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</si>
  <si>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</si>
  <si>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</si>
  <si>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</si>
  <si>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</si>
  <si>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</si>
  <si>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</si>
  <si>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</si>
  <si>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</si>
  <si>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</si>
  <si>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</si>
  <si>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</si>
  <si>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</si>
  <si>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</si>
  <si>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</si>
  <si>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</si>
  <si>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</si>
  <si>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</si>
  <si>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</si>
  <si>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</si>
  <si>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</si>
  <si>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</si>
  <si>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</si>
  <si>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</si>
  <si>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</si>
  <si>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</si>
  <si>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</si>
  <si>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</si>
  <si>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</si>
  <si>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</si>
  <si>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</si>
  <si>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</si>
  <si>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</si>
  <si>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</si>
  <si>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</si>
  <si>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</si>
  <si>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</si>
  <si>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</si>
  <si>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</si>
  <si>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</si>
  <si>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</si>
  <si>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</si>
  <si>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</si>
  <si>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</si>
  <si>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</si>
  <si>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</si>
  <si>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</si>
  <si>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</si>
  <si>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</si>
  <si>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</si>
  <si>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</si>
  <si>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</si>
  <si>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</si>
  <si>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</si>
  <si>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</si>
  <si>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</si>
  <si>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</si>
  <si>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</si>
  <si>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</si>
  <si>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</si>
  <si>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</si>
  <si>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</si>
  <si>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</si>
  <si>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</si>
  <si>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</si>
  <si>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</si>
  <si>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</si>
  <si>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</si>
  <si>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</si>
  <si>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</si>
  <si>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</si>
  <si>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</si>
  <si>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</si>
  <si>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</si>
  <si>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</si>
  <si>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</si>
  <si>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</si>
  <si>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</si>
  <si>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</si>
  <si>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</si>
  <si>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</si>
  <si>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</si>
  <si>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</si>
  <si>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</si>
  <si>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</si>
  <si>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</si>
  <si>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</si>
  <si>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</si>
  <si>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</si>
  <si>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</si>
  <si>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</si>
  <si>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</si>
  <si>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</si>
  <si>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</si>
  <si>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</si>
  <si>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</si>
  <si>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</si>
  <si>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</si>
  <si>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</si>
  <si>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</si>
  <si>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</si>
  <si>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</si>
  <si>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</si>
  <si>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</si>
  <si>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</si>
  <si>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</si>
  <si>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</si>
  <si>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</si>
  <si>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</si>
  <si>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</si>
  <si>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</si>
  <si>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</si>
  <si>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</si>
  <si>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</si>
  <si>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</si>
  <si>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</si>
  <si>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</si>
  <si>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</si>
  <si>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</si>
  <si>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</si>
  <si>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</si>
  <si>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</si>
  <si>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</si>
  <si>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</si>
  <si>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</si>
  <si>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</si>
  <si>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</si>
  <si>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</si>
  <si>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</si>
  <si>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</si>
  <si>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</si>
  <si>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</si>
  <si>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</si>
  <si>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</si>
  <si>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</si>
  <si>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</si>
  <si>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</si>
  <si>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</si>
  <si>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</si>
  <si>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</si>
  <si>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</si>
  <si>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</si>
  <si>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</si>
  <si>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</si>
  <si>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</si>
  <si>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</si>
  <si>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</si>
  <si>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</si>
  <si>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</si>
  <si>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</si>
  <si>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</si>
  <si>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</si>
  <si>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</si>
  <si>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</si>
  <si>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</si>
  <si>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</si>
  <si>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</si>
  <si>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</si>
  <si>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</si>
  <si>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</si>
  <si>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</si>
  <si>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</si>
  <si>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</si>
  <si>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</si>
  <si>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</si>
  <si>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</si>
  <si>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</si>
  <si>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</si>
  <si>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</si>
  <si>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</si>
  <si>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</si>
  <si>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</si>
  <si>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</si>
  <si>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</si>
  <si>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</si>
  <si>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</si>
  <si>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</si>
  <si>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</si>
  <si>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</si>
  <si>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</si>
  <si>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</si>
  <si>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</si>
  <si>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</si>
  <si>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</si>
  <si>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</si>
  <si>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</si>
  <si>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</si>
  <si>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</si>
  <si>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</si>
  <si>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</si>
  <si>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</si>
  <si>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</si>
  <si>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</si>
  <si>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</si>
  <si>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</si>
  <si>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</si>
  <si>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</si>
  <si>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</si>
  <si>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</si>
  <si>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</si>
  <si>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</si>
  <si>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</si>
  <si>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</si>
  <si>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</si>
  <si>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</si>
  <si>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</si>
  <si>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</si>
  <si>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</si>
  <si>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</si>
  <si>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</si>
  <si>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</si>
  <si>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</si>
  <si>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</si>
  <si>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</si>
  <si>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</si>
  <si>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</si>
  <si>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</si>
  <si>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</si>
  <si>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</si>
  <si>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</si>
  <si>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</si>
  <si>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</si>
  <si>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</si>
  <si>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</si>
  <si>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</si>
  <si>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</si>
  <si>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</si>
  <si>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</si>
  <si>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</si>
  <si>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</si>
  <si>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</si>
  <si>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</si>
  <si>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</si>
  <si>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</si>
  <si>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</si>
  <si>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</si>
  <si>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</si>
  <si>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</si>
  <si>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</si>
  <si>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</si>
  <si>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</si>
  <si>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</si>
  <si>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</si>
  <si>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</si>
  <si>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</si>
  <si>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</si>
  <si>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</si>
  <si>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</si>
  <si>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</si>
  <si>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</si>
  <si>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</si>
  <si>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</si>
  <si>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</si>
  <si>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</si>
  <si>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</si>
  <si>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</si>
  <si>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</si>
  <si>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</si>
  <si>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</si>
  <si>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</si>
  <si>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</si>
  <si>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</si>
  <si>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</si>
  <si>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</si>
  <si>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</si>
  <si>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</si>
  <si>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</si>
  <si>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</si>
  <si>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</si>
  <si>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</si>
  <si>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</si>
  <si>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</si>
  <si>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</si>
  <si>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</si>
  <si>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</si>
  <si>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</si>
  <si>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</si>
  <si>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</si>
  <si>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</si>
  <si>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</si>
  <si>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</si>
  <si>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</si>
  <si>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</si>
  <si>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</si>
  <si>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</si>
  <si>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</si>
  <si>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</si>
  <si>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</si>
  <si>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</si>
  <si>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</si>
  <si>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</si>
  <si>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</si>
  <si>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</si>
  <si>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</si>
  <si>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</si>
  <si>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</si>
  <si>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</si>
  <si>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</si>
  <si>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</si>
  <si>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</si>
  <si>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</si>
  <si>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</si>
  <si>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</si>
  <si>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</si>
  <si>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</si>
  <si>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</si>
  <si>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</si>
  <si>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</si>
  <si>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</si>
  <si>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</si>
  <si>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</si>
  <si>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</si>
  <si>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</si>
  <si>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</si>
  <si>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</si>
  <si>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</si>
  <si>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</si>
  <si>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</si>
  <si>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</si>
  <si>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</si>
  <si>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</si>
  <si>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</si>
  <si>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</si>
  <si>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</si>
  <si>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</si>
  <si>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</si>
  <si>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</si>
  <si>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</si>
  <si>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</si>
  <si>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</si>
  <si>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</si>
  <si>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</si>
  <si>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</si>
  <si>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</si>
  <si>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</si>
  <si>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</si>
  <si>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</si>
  <si>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</si>
  <si>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</si>
  <si>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</si>
  <si>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</si>
  <si>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</si>
  <si>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</si>
  <si>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</si>
  <si>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</si>
  <si>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</si>
  <si>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</si>
  <si>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</si>
  <si>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</si>
  <si>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</si>
  <si>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</si>
  <si>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</si>
  <si>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</si>
  <si>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</si>
  <si>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</si>
  <si>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</si>
  <si>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</si>
  <si>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</si>
  <si>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</si>
  <si>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</si>
  <si>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</si>
  <si>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</si>
  <si>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</si>
  <si>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</si>
  <si>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</si>
  <si>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</si>
  <si>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</si>
  <si>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</si>
  <si>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</si>
  <si>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</si>
  <si>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</si>
  <si>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</si>
  <si>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</si>
  <si>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</si>
  <si>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</si>
  <si>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</si>
  <si>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</si>
  <si>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</si>
  <si>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</si>
  <si>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</si>
  <si>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</si>
  <si>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</si>
  <si>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</si>
  <si>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</si>
  <si>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</si>
  <si>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</si>
  <si>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</si>
  <si>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</si>
  <si>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</si>
  <si>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</si>
  <si>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</si>
  <si>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</si>
  <si>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</si>
  <si>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</si>
  <si>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</si>
  <si>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</si>
  <si>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</si>
  <si>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</si>
  <si>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</si>
  <si>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</si>
  <si>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</si>
  <si>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</si>
  <si>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</si>
  <si>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</si>
  <si>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</si>
  <si>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</si>
  <si>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</si>
  <si>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</si>
  <si>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</si>
  <si>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</si>
  <si>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</si>
  <si>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</si>
  <si>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</si>
  <si>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</si>
  <si>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</si>
  <si>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</si>
  <si>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</si>
  <si>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</si>
  <si>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</si>
  <si>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</si>
  <si>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</si>
  <si>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</si>
  <si>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</si>
  <si>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</si>
  <si>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</si>
  <si>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</si>
  <si>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</si>
  <si>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</si>
  <si>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</si>
  <si>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</si>
  <si>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</si>
  <si>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</si>
  <si>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</si>
  <si>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</si>
  <si>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</si>
  <si>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</si>
  <si>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</si>
  <si>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</si>
  <si>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</si>
  <si>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</si>
  <si>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</si>
  <si>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</si>
  <si>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</si>
  <si>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</si>
  <si>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</si>
  <si>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</si>
  <si>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</si>
  <si>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</si>
  <si>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</si>
  <si>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</si>
  <si>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</si>
  <si>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</si>
  <si>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</si>
  <si>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</si>
  <si>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</si>
  <si>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</si>
  <si>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</si>
  <si>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</si>
  <si>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</si>
  <si>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</si>
  <si>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</si>
  <si>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</si>
  <si>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</si>
  <si>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</si>
  <si>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</si>
  <si>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</si>
  <si>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</si>
  <si>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</si>
  <si>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</si>
  <si>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</si>
  <si>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</si>
  <si>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</si>
  <si>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</si>
  <si>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</si>
  <si>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</si>
  <si>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</si>
  <si>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</si>
  <si>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</si>
  <si>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</si>
  <si>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</si>
  <si>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</si>
  <si>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</si>
  <si>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</si>
  <si>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</si>
  <si>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</si>
  <si>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</si>
  <si>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</si>
  <si>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</si>
  <si>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</si>
  <si>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</si>
  <si>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</si>
  <si>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</si>
  <si>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</si>
  <si>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</si>
  <si>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</si>
  <si>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</si>
  <si>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</si>
  <si>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</si>
  <si>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</si>
  <si>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</si>
  <si>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</si>
  <si>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</si>
  <si>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</si>
  <si>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</si>
  <si>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</si>
  <si>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</si>
  <si>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</si>
  <si>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</si>
  <si>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</si>
  <si>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</si>
  <si>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</si>
  <si>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</si>
  <si>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</si>
  <si>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</si>
  <si>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</si>
  <si>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</si>
  <si>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</si>
  <si>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</si>
  <si>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</si>
  <si>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</si>
  <si>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</si>
  <si>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</si>
  <si>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</si>
  <si>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</si>
  <si>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</si>
  <si>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</si>
  <si>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</si>
  <si>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</si>
  <si>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</si>
  <si>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</si>
  <si>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</si>
  <si>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</si>
  <si>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</si>
  <si>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</si>
  <si>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</si>
  <si>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</si>
  <si>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</si>
  <si>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</si>
  <si>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</si>
  <si>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</si>
  <si>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</si>
  <si>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</si>
  <si>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</si>
  <si>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</si>
  <si>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</si>
  <si>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</si>
  <si>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</si>
  <si>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</si>
  <si>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</si>
  <si>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</si>
  <si>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</si>
  <si>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</si>
  <si>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</si>
  <si>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</si>
  <si>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</si>
  <si>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</si>
  <si>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</si>
  <si>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</si>
  <si>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</si>
  <si>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</si>
  <si>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</si>
  <si>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</si>
  <si>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</si>
  <si>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</si>
  <si>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</si>
  <si>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</si>
  <si>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</si>
  <si>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</si>
  <si>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</si>
  <si>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</si>
  <si>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</si>
  <si>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</si>
  <si>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</si>
  <si>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</si>
  <si>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</si>
  <si>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</si>
  <si>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</si>
  <si>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</si>
  <si>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</si>
  <si>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</si>
  <si>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</si>
  <si>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</si>
  <si>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</si>
  <si>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</si>
  <si>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</si>
  <si>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</si>
  <si>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</si>
  <si>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</si>
  <si>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</si>
  <si>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</si>
  <si>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</si>
  <si>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</si>
  <si>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</si>
  <si>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</si>
  <si>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</si>
  <si>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</si>
  <si>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</si>
  <si>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</si>
  <si>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</si>
  <si>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</si>
  <si>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</si>
  <si>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</si>
  <si>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</si>
  <si>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</si>
  <si>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</si>
  <si>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</si>
  <si>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</si>
  <si>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</si>
  <si>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</si>
  <si>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</si>
  <si>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</si>
  <si>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</si>
  <si>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</si>
  <si>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</si>
  <si>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</si>
  <si>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</si>
  <si>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</si>
  <si>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</si>
  <si>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</si>
  <si>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</si>
  <si>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</si>
  <si>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</si>
  <si>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</si>
  <si>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</si>
  <si>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</si>
  <si>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</si>
  <si>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</si>
  <si>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</si>
  <si>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</si>
  <si>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</si>
  <si>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</si>
  <si>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</si>
  <si>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</si>
  <si>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</si>
  <si>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</si>
  <si>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</si>
  <si>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</si>
  <si>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</si>
  <si>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</si>
  <si>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</si>
  <si>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</si>
  <si>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</si>
  <si>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</si>
  <si>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</si>
  <si>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</si>
  <si>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</si>
  <si>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</si>
  <si>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</si>
  <si>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</si>
  <si>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</si>
  <si>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</si>
  <si>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</si>
  <si>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</si>
  <si>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</si>
  <si>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</si>
  <si>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</si>
  <si>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</si>
  <si>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</si>
  <si>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</si>
  <si>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</si>
  <si>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</si>
  <si>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</si>
  <si>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</si>
  <si>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</si>
  <si>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</si>
  <si>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</si>
  <si>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</si>
  <si>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</si>
  <si>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</si>
  <si>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</si>
  <si>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</si>
  <si>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</si>
  <si>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</si>
  <si>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</si>
  <si>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</si>
  <si>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</si>
  <si>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</si>
  <si>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</si>
  <si>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</si>
  <si>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</si>
  <si>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</si>
  <si>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</si>
  <si>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</si>
  <si>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</si>
  <si>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</si>
  <si>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</si>
  <si>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</si>
  <si>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</si>
  <si>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</si>
  <si>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</si>
  <si>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</si>
  <si>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</si>
  <si>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</si>
  <si>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</si>
  <si>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</si>
  <si>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</si>
  <si>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</si>
  <si>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</si>
  <si>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</si>
  <si>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</si>
  <si>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</si>
  <si>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</si>
  <si>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</si>
  <si>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</si>
  <si>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</si>
  <si>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</si>
  <si>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</si>
  <si>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</si>
  <si>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</si>
  <si>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</si>
  <si>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</si>
  <si>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</si>
  <si>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</si>
  <si>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</si>
  <si>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</si>
  <si>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</si>
  <si>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</si>
  <si>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</si>
  <si>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</si>
  <si>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</si>
  <si>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</si>
  <si>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</si>
  <si>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</si>
  <si>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</si>
  <si>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</si>
  <si>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</si>
  <si>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</si>
  <si>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</si>
  <si>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</si>
  <si>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</si>
  <si>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</si>
  <si>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</si>
  <si>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</si>
  <si>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</si>
  <si>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</si>
  <si>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</si>
  <si>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</si>
  <si>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</si>
  <si>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</si>
  <si>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</si>
  <si>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</si>
  <si>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</si>
  <si>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</si>
  <si>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</si>
  <si>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</si>
  <si>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</si>
  <si>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</si>
  <si>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</si>
  <si>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</si>
  <si>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</si>
  <si>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</si>
  <si>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</si>
  <si>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</si>
  <si>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</si>
  <si>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</si>
  <si>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</si>
  <si>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</si>
  <si>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</si>
  <si>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</si>
  <si>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</si>
  <si>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</si>
  <si>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</si>
  <si>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</si>
  <si>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</si>
  <si>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</si>
  <si>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</si>
  <si>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</si>
  <si>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</si>
  <si>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</si>
  <si>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</si>
  <si>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</si>
  <si>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</si>
  <si>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</si>
  <si>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</si>
  <si>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</si>
  <si>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</si>
  <si>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</si>
  <si>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</si>
  <si>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</si>
  <si>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</si>
  <si>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</si>
  <si>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</si>
  <si>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</si>
  <si>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</si>
  <si>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</si>
  <si>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</si>
  <si>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</si>
  <si>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</si>
  <si>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</si>
  <si>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</si>
  <si>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</si>
  <si>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</si>
  <si>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</si>
  <si>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</si>
  <si>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</si>
  <si>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</si>
  <si>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</si>
  <si>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</si>
  <si>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</si>
  <si>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</si>
  <si>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</si>
  <si>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</si>
  <si>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</si>
  <si>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</si>
  <si>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</si>
  <si>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</si>
  <si>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</si>
  <si>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</si>
  <si>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</si>
  <si>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</si>
  <si>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</si>
  <si>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</si>
  <si>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</si>
  <si>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</si>
  <si>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</si>
  <si>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</si>
  <si>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</si>
  <si>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</si>
  <si>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</si>
  <si>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</si>
  <si>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</si>
  <si>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</si>
  <si>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</si>
  <si>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</si>
  <si>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</si>
  <si>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</si>
  <si>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</si>
  <si>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</si>
  <si>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</si>
  <si>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</si>
  <si>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</si>
  <si>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</si>
  <si>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</si>
  <si>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</si>
  <si>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</si>
  <si>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</si>
  <si>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</si>
  <si>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</si>
  <si>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</si>
  <si>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</si>
  <si>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</si>
  <si>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</si>
  <si>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</si>
  <si>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</si>
  <si>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</si>
  <si>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</si>
  <si>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</si>
  <si>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</si>
  <si>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</si>
  <si>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</si>
  <si>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</si>
  <si>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</si>
  <si>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</si>
  <si>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</si>
  <si>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</si>
  <si>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</si>
  <si>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</si>
  <si>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</si>
  <si>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</si>
  <si>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</si>
  <si>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</si>
  <si>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</si>
  <si>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</si>
  <si>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</si>
  <si>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</si>
  <si>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</si>
  <si>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</si>
  <si>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</si>
  <si>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</si>
  <si>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</si>
  <si>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</si>
  <si>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</si>
  <si>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</si>
  <si>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</si>
  <si>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</si>
  <si>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</si>
  <si>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</si>
  <si>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</si>
  <si>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</si>
  <si>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</si>
  <si>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</si>
  <si>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</si>
  <si>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</si>
  <si>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</si>
  <si>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</si>
  <si>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</si>
  <si>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</si>
  <si>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</si>
  <si>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</si>
  <si>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</si>
  <si>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</si>
  <si>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</si>
  <si>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</si>
  <si>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</si>
  <si>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</si>
  <si>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</si>
  <si>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</si>
  <si>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</si>
  <si>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</si>
  <si>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</si>
  <si>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</si>
  <si>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</si>
  <si>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</si>
  <si>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</si>
  <si>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</si>
  <si>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</si>
  <si>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</si>
  <si>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</si>
  <si>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</si>
  <si>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</si>
  <si>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</si>
  <si>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</si>
  <si>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</si>
  <si>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</si>
  <si>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</si>
  <si>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</si>
  <si>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</si>
  <si>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</si>
  <si>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</si>
  <si>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</si>
  <si>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</si>
  <si>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</si>
  <si>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</si>
  <si>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</si>
  <si>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</si>
  <si>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</si>
  <si>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</si>
  <si>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</si>
  <si>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</si>
  <si>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</si>
  <si>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</si>
  <si>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</si>
  <si>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</si>
  <si>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</si>
  <si>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</si>
  <si>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</si>
  <si>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</si>
  <si>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</si>
  <si>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</si>
  <si>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</si>
  <si>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</si>
  <si>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</si>
  <si>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</si>
  <si>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</si>
  <si>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</si>
  <si>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</si>
  <si>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</si>
  <si>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</si>
  <si>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</si>
  <si>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</si>
  <si>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</si>
  <si>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</si>
  <si>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</si>
  <si>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</si>
  <si>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</si>
  <si>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</si>
  <si>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</si>
  <si>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</si>
  <si>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</si>
  <si>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</si>
  <si>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</si>
  <si>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</si>
  <si>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</si>
  <si>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</si>
  <si>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</si>
  <si>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</si>
  <si>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</si>
  <si>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</si>
  <si>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</si>
  <si>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</si>
  <si>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</si>
  <si>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</si>
  <si>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</si>
  <si>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</si>
  <si>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</si>
  <si>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</si>
  <si>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</si>
  <si>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</si>
  <si>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</si>
  <si>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</si>
  <si>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</si>
  <si>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</si>
  <si>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</si>
  <si>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</si>
  <si>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</si>
  <si>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</si>
  <si>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</si>
  <si>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</si>
  <si>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</si>
  <si>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</si>
  <si>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</si>
  <si>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</si>
  <si>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</si>
  <si>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</si>
  <si>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</si>
  <si>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</si>
  <si>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</si>
  <si>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</si>
  <si>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</si>
  <si>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</si>
  <si>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</si>
  <si>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</si>
  <si>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</si>
  <si>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</si>
  <si>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</si>
  <si>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</si>
  <si>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</si>
  <si>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</si>
  <si>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</si>
  <si>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</si>
  <si>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</si>
  <si>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</si>
  <si>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</si>
  <si>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</si>
  <si>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</si>
  <si>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</si>
  <si>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</si>
  <si>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</si>
  <si>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</si>
  <si>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</si>
  <si>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</si>
  <si>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</si>
  <si>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</si>
  <si>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</si>
  <si>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</si>
  <si>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</si>
  <si>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</si>
  <si>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</si>
  <si>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</si>
  <si>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</si>
  <si>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</si>
  <si>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</si>
  <si>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</si>
  <si>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</si>
  <si>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</si>
  <si>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</si>
  <si>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</si>
  <si>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</si>
  <si>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</si>
  <si>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</si>
  <si>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</si>
  <si>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</si>
  <si>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</si>
  <si>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</si>
  <si>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</si>
  <si>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</si>
  <si>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</si>
  <si>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</si>
  <si>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</si>
  <si>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</si>
  <si>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</si>
  <si>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</si>
  <si>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</si>
  <si>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</si>
  <si>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</si>
  <si>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</si>
  <si>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</si>
  <si>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</si>
  <si>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</si>
  <si>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</si>
  <si>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</si>
  <si>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</si>
  <si>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</si>
  <si>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</si>
  <si>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</si>
  <si>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</si>
  <si>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</si>
  <si>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</si>
  <si>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</si>
  <si>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</si>
  <si>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</si>
  <si>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</si>
  <si>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</si>
  <si>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</si>
  <si>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</si>
  <si>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</si>
  <si>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</si>
  <si>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</si>
  <si>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</si>
  <si>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</si>
  <si>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</si>
  <si>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</si>
  <si>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</si>
  <si>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</si>
  <si>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</si>
  <si>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</si>
  <si>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</si>
  <si>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</si>
  <si>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</si>
  <si>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</si>
  <si>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</si>
  <si>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</si>
  <si>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</si>
  <si>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</si>
  <si>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</si>
  <si>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</si>
  <si>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</si>
  <si>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</si>
  <si>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</si>
  <si>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</si>
  <si>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</si>
  <si>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</si>
  <si>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</si>
  <si>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</si>
  <si>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</si>
  <si>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</si>
  <si>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</si>
  <si>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</si>
  <si>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</si>
  <si>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</si>
  <si>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</si>
  <si>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</si>
  <si>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</si>
  <si>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</si>
  <si>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</si>
  <si>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</si>
  <si>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</si>
  <si>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</si>
  <si>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</si>
  <si>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</si>
  <si>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</si>
  <si>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</si>
  <si>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</si>
  <si>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</si>
  <si>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</si>
  <si>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</si>
  <si>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</si>
  <si>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</si>
  <si>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</si>
  <si>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</si>
  <si>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</si>
  <si>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</si>
  <si>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</si>
  <si>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</si>
  <si>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</si>
  <si>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</si>
  <si>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</si>
  <si>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</si>
  <si>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</si>
  <si>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</si>
  <si>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</si>
  <si>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</si>
  <si>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</si>
  <si>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</si>
  <si>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</si>
  <si>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</si>
  <si>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</si>
  <si>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</si>
  <si>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</si>
  <si>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</si>
  <si>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</si>
  <si>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</si>
  <si>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</si>
  <si>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</si>
  <si>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</si>
  <si>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</si>
  <si>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</si>
  <si>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</si>
  <si>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</si>
  <si>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</si>
  <si>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</si>
  <si>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</si>
  <si>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</si>
  <si>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</si>
  <si>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</si>
  <si>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</si>
  <si>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</si>
  <si>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</si>
  <si>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</si>
  <si>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</si>
  <si>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</si>
  <si>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</si>
  <si>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</si>
  <si>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</si>
  <si>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</si>
  <si>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</si>
  <si>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</si>
  <si>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</si>
  <si>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</si>
  <si>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</si>
  <si>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</si>
  <si>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</si>
  <si>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</si>
  <si>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</si>
  <si>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</si>
  <si>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</si>
  <si>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</si>
  <si>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</si>
  <si>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</si>
  <si>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</si>
  <si>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</si>
  <si>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</si>
  <si>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</si>
  <si>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</si>
  <si>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</si>
  <si>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</si>
  <si>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</si>
  <si>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</si>
  <si>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</si>
  <si>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</si>
  <si>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</si>
  <si>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</si>
  <si>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</si>
  <si>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</si>
  <si>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</si>
  <si>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</si>
  <si>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</si>
  <si>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</si>
  <si>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</si>
  <si>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</si>
  <si>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</si>
  <si>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</si>
  <si>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</si>
  <si>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</si>
  <si>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</si>
  <si>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</si>
  <si>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</si>
  <si>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</si>
  <si>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</si>
  <si>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</si>
  <si>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</si>
  <si>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</si>
  <si>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</si>
  <si>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</si>
  <si>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</si>
  <si>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</si>
  <si>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</si>
  <si>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</si>
  <si>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</si>
  <si>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</si>
  <si>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</si>
  <si>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</si>
  <si>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</si>
  <si>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</si>
  <si>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</si>
  <si>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</si>
  <si>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</si>
  <si>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</si>
  <si>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</si>
  <si>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</si>
  <si>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</si>
  <si>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</si>
  <si>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</si>
  <si>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</si>
  <si>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</si>
  <si>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</si>
  <si>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</si>
  <si>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</si>
  <si>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</si>
  <si>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</si>
  <si>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</si>
  <si>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</si>
  <si>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</si>
  <si>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</si>
  <si>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</si>
  <si>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</si>
  <si>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</si>
  <si>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</si>
  <si>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</si>
  <si>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</si>
  <si>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</si>
  <si>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</si>
  <si>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</si>
  <si>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</si>
  <si>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</si>
  <si>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</si>
  <si>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</si>
  <si>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</si>
  <si>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</si>
  <si>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</si>
  <si>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</si>
  <si>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</si>
  <si>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</si>
  <si>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</si>
  <si>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</si>
  <si>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</si>
  <si>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</si>
  <si>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</si>
  <si>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</si>
  <si>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</si>
  <si>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</si>
  <si>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</si>
  <si>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</si>
  <si>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</si>
  <si>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</si>
  <si>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</si>
  <si>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</si>
  <si>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</si>
  <si>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</si>
  <si>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</si>
  <si>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</si>
  <si>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</si>
  <si>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</si>
  <si>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</si>
  <si>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</si>
  <si>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</si>
  <si>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</si>
  <si>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</si>
  <si>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</si>
  <si>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</si>
  <si>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</si>
  <si>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</si>
  <si>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</si>
  <si>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</si>
  <si>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</si>
  <si>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</si>
  <si>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</si>
  <si>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</si>
  <si>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</si>
  <si>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</si>
  <si>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</si>
  <si>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</si>
  <si>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</si>
  <si>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</si>
  <si>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</si>
  <si>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</si>
  <si>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</si>
  <si>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</si>
  <si>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</si>
  <si>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</si>
  <si>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</si>
  <si>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</si>
  <si>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</si>
  <si>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</si>
  <si>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</si>
  <si>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</si>
  <si>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</si>
  <si>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</si>
  <si>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</si>
  <si>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</si>
  <si>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</si>
  <si>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</si>
  <si>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</si>
  <si>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</si>
  <si>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</si>
  <si>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</si>
  <si>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</si>
  <si>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</si>
  <si>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</si>
  <si>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</si>
  <si>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</si>
  <si>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</si>
  <si>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</si>
  <si>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</si>
  <si>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</si>
  <si>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</si>
  <si>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</si>
  <si>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</si>
  <si>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</si>
  <si>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</si>
  <si>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</si>
  <si>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</si>
  <si>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</si>
  <si>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</si>
  <si>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</si>
  <si>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</si>
  <si>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</si>
  <si>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</si>
  <si>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</si>
  <si>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</si>
  <si>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</si>
  <si>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</si>
  <si>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</si>
  <si>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</si>
  <si>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</si>
  <si>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</si>
  <si>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</si>
  <si>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</si>
  <si>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</si>
  <si>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</si>
  <si>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</si>
  <si>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</si>
  <si>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</si>
  <si>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</si>
  <si>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</si>
  <si>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</si>
  <si>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</si>
  <si>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</si>
  <si>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</si>
  <si>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</si>
  <si>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</si>
  <si>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</si>
  <si>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</si>
  <si>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</si>
  <si>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</si>
  <si>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</si>
  <si>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</si>
  <si>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</si>
  <si>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</si>
  <si>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</si>
  <si>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</si>
  <si>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</si>
  <si>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</si>
  <si>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</si>
  <si>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</si>
  <si>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</si>
  <si>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</si>
  <si>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</si>
  <si>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</si>
  <si>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</si>
  <si>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</si>
  <si>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</si>
  <si>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</si>
  <si>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</si>
  <si>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</si>
  <si>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</si>
  <si>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</si>
  <si>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</si>
  <si>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</si>
  <si>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</si>
  <si>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</si>
  <si>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</si>
  <si>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</si>
  <si>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</si>
  <si>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</si>
  <si>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</si>
  <si>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</si>
  <si>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</si>
  <si>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</si>
  <si>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</si>
  <si>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</si>
  <si>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</si>
  <si>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</si>
  <si>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</si>
  <si>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</si>
  <si>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</si>
  <si>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</si>
  <si>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</si>
  <si>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</si>
  <si>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</si>
  <si>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</si>
  <si>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</si>
  <si>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</si>
  <si>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</si>
  <si>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</si>
  <si>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</si>
  <si>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</si>
  <si>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</si>
  <si>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</si>
  <si>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</si>
  <si>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</si>
  <si>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</si>
  <si>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</si>
  <si>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</si>
  <si>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</si>
  <si>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</si>
  <si>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</si>
  <si>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</si>
  <si>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</si>
  <si>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</si>
  <si>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</si>
  <si>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</si>
  <si>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</si>
  <si>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</si>
  <si>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</si>
  <si>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</si>
  <si>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</si>
  <si>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</si>
  <si>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</si>
  <si>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</si>
  <si>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</si>
  <si>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</si>
  <si>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</si>
  <si>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</si>
  <si>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</si>
  <si>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</si>
  <si>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</si>
  <si>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</si>
  <si>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</si>
  <si>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</si>
  <si>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</si>
  <si>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</si>
  <si>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</si>
  <si>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</si>
  <si>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</si>
  <si>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</si>
  <si>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</si>
  <si>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</si>
  <si>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</si>
  <si>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</si>
  <si>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</si>
  <si>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</si>
  <si>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</si>
  <si>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</si>
  <si>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</si>
  <si>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</si>
  <si>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</si>
  <si>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</si>
  <si>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</si>
  <si>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</si>
  <si>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</si>
  <si>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</si>
  <si>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</si>
  <si>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</si>
  <si>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</si>
  <si>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</si>
  <si>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</si>
  <si>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</si>
  <si>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</si>
  <si>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</si>
  <si>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</si>
  <si>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</si>
  <si>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</si>
  <si>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</si>
  <si>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</si>
  <si>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</si>
  <si>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</si>
  <si>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</si>
  <si>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</si>
  <si>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</si>
  <si>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</si>
  <si>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</si>
  <si>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</si>
  <si>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</si>
  <si>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</si>
  <si>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</si>
  <si>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</si>
  <si>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</si>
  <si>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</si>
  <si>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</si>
  <si>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</si>
  <si>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</si>
  <si>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</si>
  <si>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</si>
  <si>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</si>
  <si>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</si>
  <si>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</si>
  <si>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</si>
  <si>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</si>
  <si>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</si>
  <si>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</si>
  <si>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</si>
  <si>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</si>
  <si>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</si>
  <si>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</si>
  <si>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</si>
  <si>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</si>
  <si>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</si>
  <si>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</si>
  <si>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</si>
  <si>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</si>
  <si>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</si>
  <si>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</si>
  <si>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</si>
  <si>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</si>
  <si>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</si>
  <si>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</si>
  <si>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</si>
  <si>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</si>
  <si>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</si>
  <si>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</si>
  <si>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</si>
  <si>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</si>
  <si>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</si>
  <si>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</si>
  <si>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</si>
  <si>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</si>
  <si>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</si>
  <si>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</si>
  <si>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</si>
  <si>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</si>
  <si>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</si>
  <si>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</si>
  <si>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</si>
  <si>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</si>
  <si>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</si>
  <si>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</si>
  <si>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</si>
  <si>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</si>
  <si>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</si>
  <si>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</si>
  <si>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</si>
  <si>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</si>
  <si>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</si>
  <si>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</si>
  <si>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</si>
  <si>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</si>
  <si>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</si>
  <si>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</si>
  <si>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</si>
  <si>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</si>
  <si>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</si>
  <si>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</si>
  <si>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</si>
  <si>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</si>
  <si>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</si>
  <si>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</si>
  <si>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</si>
  <si>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</si>
  <si>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</si>
  <si>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</si>
  <si>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</si>
  <si>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</si>
  <si>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</si>
  <si>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</si>
  <si>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</si>
  <si>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</si>
  <si>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</si>
  <si>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</si>
  <si>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</si>
  <si>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</si>
  <si>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</si>
  <si>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</si>
  <si>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</si>
  <si>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</si>
  <si>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</si>
  <si>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</si>
  <si>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</si>
  <si>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</si>
  <si>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</si>
  <si>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</si>
  <si>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</si>
  <si>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</si>
  <si>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</si>
  <si>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</si>
  <si>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</si>
  <si>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</si>
  <si>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</si>
  <si>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</si>
  <si>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</si>
  <si>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</si>
  <si>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</si>
  <si>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</si>
  <si>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</si>
  <si>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</si>
  <si>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</si>
  <si>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</si>
  <si>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</si>
  <si>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</si>
  <si>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</si>
  <si>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</si>
  <si>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</si>
  <si>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</si>
  <si>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</si>
  <si>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</si>
  <si>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</si>
  <si>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</si>
  <si>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</si>
  <si>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</si>
  <si>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</si>
  <si>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</si>
  <si>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</si>
  <si>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</si>
  <si>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</si>
  <si>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</si>
  <si>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</si>
  <si>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</si>
  <si>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</si>
  <si>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</si>
  <si>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</si>
  <si>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</si>
  <si>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</si>
  <si>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</si>
  <si>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</si>
  <si>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</si>
  <si>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</si>
  <si>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</si>
  <si>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</si>
  <si>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</si>
  <si>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</si>
  <si>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</si>
  <si>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</si>
  <si>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</si>
  <si>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</si>
  <si>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</si>
  <si>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</si>
  <si>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</si>
  <si>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</si>
  <si>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</si>
  <si>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</si>
  <si>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</si>
  <si>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</si>
  <si>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</si>
  <si>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</si>
  <si>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</si>
  <si>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</si>
  <si>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</si>
  <si>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</si>
  <si>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</si>
  <si>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</si>
  <si>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</si>
  <si>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</si>
  <si>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</si>
  <si>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</si>
  <si>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</si>
  <si>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</si>
  <si>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</si>
  <si>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</si>
  <si>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</si>
  <si>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</si>
  <si>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</si>
  <si>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</si>
  <si>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</si>
  <si>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</si>
  <si>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</si>
  <si>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</si>
  <si>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</si>
  <si>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</si>
  <si>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</si>
  <si>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</si>
  <si>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</si>
  <si>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</si>
  <si>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</si>
  <si>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</si>
  <si>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</si>
  <si>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</si>
  <si>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</si>
  <si>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</si>
  <si>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</si>
  <si>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</si>
  <si>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</si>
  <si>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</si>
  <si>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</si>
  <si>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</si>
  <si>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</si>
  <si>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</si>
  <si>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</si>
  <si>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</si>
  <si>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</si>
  <si>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</si>
  <si>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</si>
  <si>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</si>
  <si>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</si>
  <si>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</si>
  <si>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</si>
  <si>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</si>
  <si>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</si>
  <si>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</si>
  <si>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</si>
  <si>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</si>
  <si>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</si>
  <si>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</si>
  <si>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</si>
  <si>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</si>
  <si>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</si>
  <si>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</si>
  <si>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</si>
  <si>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</si>
  <si>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</si>
  <si>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</si>
  <si>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</si>
  <si>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</si>
  <si>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</si>
  <si>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</si>
  <si>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</si>
  <si>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</si>
  <si>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</si>
  <si>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</si>
  <si>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</si>
  <si>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</si>
  <si>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</si>
  <si>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</si>
  <si>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</si>
  <si>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</si>
  <si>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</si>
  <si>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</si>
  <si>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</si>
  <si>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</si>
  <si>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</si>
  <si>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</si>
  <si>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</si>
  <si>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</si>
  <si>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</si>
  <si>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</si>
  <si>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</si>
  <si>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</si>
  <si>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</si>
  <si>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</si>
  <si>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</si>
  <si>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</si>
  <si>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</si>
  <si>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</si>
  <si>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</si>
  <si>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</si>
  <si>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</si>
  <si>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</si>
  <si>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</si>
  <si>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</si>
  <si>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</si>
  <si>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</si>
  <si>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</si>
  <si>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</si>
  <si>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</si>
  <si>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</si>
  <si>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</si>
  <si>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</si>
  <si>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</si>
  <si>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</si>
  <si>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</si>
  <si>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</si>
  <si>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</si>
  <si>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</si>
  <si>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</si>
  <si>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</si>
  <si>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</si>
  <si>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</si>
  <si>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</si>
  <si>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</si>
  <si>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</si>
  <si>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</si>
  <si>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</si>
  <si>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</si>
  <si>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</si>
  <si>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</si>
  <si>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</si>
  <si>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</si>
  <si>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</si>
  <si>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</si>
  <si>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</si>
  <si>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</si>
  <si>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</si>
  <si>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</si>
  <si>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</si>
  <si>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</si>
  <si>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</si>
  <si>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</si>
  <si>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</si>
  <si>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</si>
  <si>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</si>
  <si>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</si>
  <si>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</si>
  <si>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</si>
  <si>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</si>
  <si>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</si>
  <si>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</si>
  <si>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</si>
  <si>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</si>
  <si>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</si>
  <si>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</si>
  <si>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</si>
  <si>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</si>
  <si>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</si>
  <si>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</si>
  <si>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</si>
  <si>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</si>
  <si>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</si>
  <si>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</si>
  <si>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</si>
  <si>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</si>
  <si>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</si>
  <si>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</si>
  <si>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</si>
  <si>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</si>
  <si>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</si>
  <si>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</si>
  <si>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</si>
  <si>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</si>
  <si>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</si>
  <si>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</si>
  <si>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</si>
  <si>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</si>
  <si>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</si>
  <si>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</si>
  <si>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</si>
  <si>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</si>
  <si>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</si>
  <si>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</si>
  <si>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</si>
  <si>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</si>
  <si>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</si>
  <si>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</si>
  <si>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</si>
  <si>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</si>
  <si>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</si>
  <si>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</si>
  <si>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</si>
  <si>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</si>
  <si>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</si>
  <si>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</si>
  <si>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</si>
  <si>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</si>
  <si>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</si>
  <si>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</si>
  <si>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</si>
  <si>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</si>
  <si>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</si>
  <si>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</si>
  <si>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</si>
  <si>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</si>
  <si>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</si>
  <si>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</si>
  <si>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</si>
  <si>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</si>
  <si>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</si>
  <si>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</si>
  <si>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</si>
  <si>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</si>
  <si>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</si>
  <si>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</si>
  <si>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</si>
  <si>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</si>
  <si>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</si>
  <si>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</si>
  <si>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</si>
  <si>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</si>
  <si>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</si>
  <si>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</si>
  <si>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</si>
  <si>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</si>
  <si>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</si>
  <si>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</si>
  <si>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</si>
  <si>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</si>
  <si>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</si>
  <si>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</si>
  <si>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</si>
  <si>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</si>
  <si>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</si>
  <si>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</si>
  <si>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</si>
  <si>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</si>
  <si>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</si>
  <si>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</si>
  <si>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</si>
  <si>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</si>
  <si>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</si>
  <si>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</si>
  <si>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</si>
  <si>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</si>
  <si>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</si>
  <si>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</si>
  <si>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</si>
  <si>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</si>
  <si>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</si>
  <si>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</si>
  <si>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</si>
  <si>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</si>
  <si>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</si>
  <si>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</si>
  <si>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</si>
  <si>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</si>
  <si>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</si>
  <si>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</si>
  <si>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</si>
  <si>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</si>
  <si>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</si>
  <si>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</si>
  <si>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</si>
  <si>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</si>
  <si>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</si>
  <si>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</si>
  <si>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</si>
  <si>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</si>
  <si>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</si>
  <si>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</si>
  <si>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</si>
  <si>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</si>
  <si>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</si>
  <si>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</si>
  <si>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</si>
  <si>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</si>
  <si>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</si>
  <si>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</si>
  <si>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</si>
  <si>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</si>
  <si>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</si>
  <si>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</si>
  <si>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</si>
  <si>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</si>
  <si>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</si>
  <si>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</si>
  <si>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</si>
  <si>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</si>
  <si>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</si>
  <si>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</si>
  <si>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</si>
  <si>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</si>
  <si>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</si>
  <si>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</si>
  <si>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</si>
  <si>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</si>
  <si>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</si>
  <si>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</si>
  <si>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</si>
  <si>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</si>
  <si>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</si>
  <si>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</si>
  <si>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</si>
  <si>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</si>
  <si>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</si>
  <si>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</si>
  <si>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</si>
  <si>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</si>
  <si>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</si>
  <si>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</si>
  <si>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</si>
  <si>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</si>
  <si>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</si>
  <si>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</si>
  <si>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</si>
  <si>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</si>
  <si>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</si>
  <si>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</si>
  <si>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</si>
  <si>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</si>
  <si>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</si>
  <si>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</si>
  <si>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</si>
  <si>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</si>
  <si>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</si>
  <si>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</si>
  <si>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</si>
  <si>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</si>
  <si>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</si>
  <si>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</si>
  <si>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</si>
  <si>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</si>
  <si>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</si>
  <si>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</si>
  <si>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</si>
  <si>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</si>
  <si>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</si>
  <si>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</si>
  <si>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</si>
  <si>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</si>
  <si>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</si>
  <si>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</si>
  <si>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</si>
  <si>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</si>
  <si>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</si>
  <si>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</si>
  <si>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</si>
  <si>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</si>
  <si>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</si>
  <si>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</si>
  <si>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</si>
  <si>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</si>
  <si>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</si>
  <si>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</si>
  <si>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</si>
  <si>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</si>
  <si>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</si>
  <si>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</si>
  <si>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</si>
  <si>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</si>
  <si>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</si>
  <si>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</si>
  <si>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</si>
  <si>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</si>
  <si>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</si>
  <si>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</si>
  <si>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</si>
  <si>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</si>
  <si>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</si>
  <si>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</si>
  <si>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</si>
  <si>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</si>
  <si>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</si>
  <si>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</si>
  <si>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</si>
  <si>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</si>
  <si>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</si>
  <si>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</si>
  <si>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</si>
  <si>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</si>
  <si>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</si>
  <si>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</si>
  <si>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</si>
  <si>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</si>
  <si>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</si>
  <si>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</si>
  <si>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</si>
  <si>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</si>
  <si>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</si>
  <si>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</si>
  <si>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</si>
  <si>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</si>
  <si>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</si>
  <si>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</si>
  <si>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</si>
  <si>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</si>
  <si>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</si>
  <si>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</si>
  <si>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</si>
  <si>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</si>
  <si>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</si>
  <si>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</si>
  <si>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</si>
  <si>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</si>
  <si>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</si>
  <si>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</si>
  <si>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</si>
  <si>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</si>
  <si>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</si>
  <si>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</si>
  <si>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</si>
  <si>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</si>
  <si>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</si>
  <si>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</si>
  <si>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</si>
  <si>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</si>
  <si>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</si>
  <si>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</si>
  <si>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</si>
  <si>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</si>
  <si>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</si>
  <si>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</si>
  <si>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</si>
  <si>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</si>
  <si>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</si>
  <si>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</si>
  <si>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</si>
  <si>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</si>
  <si>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</si>
  <si>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</si>
  <si>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</si>
  <si>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</si>
  <si>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</si>
  <si>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</si>
  <si>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</si>
  <si>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</si>
  <si>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</si>
  <si>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</si>
  <si>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</si>
  <si>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</si>
  <si>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</si>
  <si>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</si>
  <si>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</si>
  <si>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</si>
  <si>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</si>
  <si>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</si>
  <si>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</si>
  <si>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</si>
  <si>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</si>
  <si>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</si>
  <si>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</si>
  <si>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</si>
  <si>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</si>
  <si>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</si>
  <si>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</si>
  <si>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</si>
  <si>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</si>
  <si>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</si>
  <si>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</si>
  <si>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</si>
  <si>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</si>
  <si>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</si>
  <si>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</si>
  <si>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</si>
  <si>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</si>
  <si>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</si>
  <si>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</si>
  <si>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</si>
  <si>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</si>
  <si>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</si>
  <si>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</si>
  <si>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</si>
  <si>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</si>
  <si>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</si>
  <si>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</si>
  <si>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</si>
  <si>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</si>
  <si>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</si>
  <si>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</si>
  <si>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</si>
  <si>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</si>
  <si>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</si>
  <si>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</si>
  <si>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</si>
  <si>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</si>
  <si>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</si>
  <si>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</si>
  <si>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</si>
  <si>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</si>
  <si>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</si>
  <si>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</si>
  <si>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</si>
  <si>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</si>
  <si>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</si>
  <si>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</si>
  <si>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</si>
  <si>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</si>
  <si>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</si>
  <si>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</si>
  <si>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</si>
  <si>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</si>
  <si>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</si>
  <si>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</si>
  <si>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</si>
  <si>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</si>
  <si>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</si>
  <si>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</si>
  <si>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</si>
  <si>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</si>
  <si>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t>吴薇</t>
  </si>
  <si>
    <t>郑燚</t>
  </si>
  <si>
    <t>抵押</t>
  </si>
  <si>
    <t>天津银行</t>
    <phoneticPr fontId="6" type="noConversion"/>
  </si>
  <si>
    <t>房地产抵押价值</t>
  </si>
  <si>
    <t>北京市</t>
  </si>
  <si>
    <t>企业</t>
  </si>
  <si>
    <t>商业项目</t>
  </si>
  <si>
    <t>无</t>
  </si>
  <si>
    <t>否</t>
  </si>
  <si>
    <t>现房</t>
  </si>
  <si>
    <t>产权证号</t>
  </si>
  <si>
    <t>权利人</t>
  </si>
  <si>
    <t>坐落</t>
  </si>
  <si>
    <t>建筑面积</t>
  </si>
  <si>
    <t>房屋总层数</t>
  </si>
  <si>
    <t>所在层</t>
  </si>
  <si>
    <t>使用期限</t>
  </si>
  <si>
    <t>京（2023）平不动产权第0001688号</t>
  </si>
  <si>
    <t>北京泰龙翔置业有限公司</t>
  </si>
  <si>
    <t>平谷区金海湖镇金海东路7号院1号楼1至5层101</t>
  </si>
  <si>
    <t>酒店客房楼</t>
  </si>
  <si>
    <t>1-5层</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</si>
  <si>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</si>
  <si>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</si>
  <si>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</si>
  <si>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</si>
  <si>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</si>
  <si>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</si>
  <si>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</si>
  <si>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</si>
  <si>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</si>
  <si>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</si>
  <si>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</si>
  <si>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t>人防</t>
  </si>
  <si>
    <t>物业、非机动车库、换热站</t>
  </si>
  <si>
    <t>合计</t>
  </si>
  <si>
    <t>合计</t>
    <phoneticPr fontId="134" type="noConversion"/>
  </si>
  <si>
    <t>楼层</t>
    <phoneticPr fontId="134" type="noConversion"/>
  </si>
  <si>
    <t>测绘建筑面积</t>
    <phoneticPr fontId="134" type="noConversion"/>
  </si>
  <si>
    <t>产证建面</t>
    <phoneticPr fontId="134" type="noConversion"/>
  </si>
  <si>
    <t>不含人防建面</t>
    <phoneticPr fontId="134" type="noConversion"/>
  </si>
  <si>
    <t>工规证建面</t>
    <phoneticPr fontId="134" type="noConversion"/>
  </si>
  <si>
    <t>土地面积</t>
    <phoneticPr fontId="134" type="noConversion"/>
  </si>
  <si>
    <t>地上</t>
  </si>
  <si>
    <t>地上</t>
    <phoneticPr fontId="134" type="noConversion"/>
  </si>
  <si>
    <t>地下</t>
  </si>
  <si>
    <t>地下</t>
    <phoneticPr fontId="134" type="noConversion"/>
  </si>
  <si>
    <t>是</t>
  </si>
  <si>
    <t>酒店</t>
  </si>
  <si>
    <t>车库—商业</t>
  </si>
  <si>
    <t>酒店</t>
    <phoneticPr fontId="7" type="noConversion"/>
  </si>
  <si>
    <t>主体</t>
  </si>
  <si>
    <t>装修</t>
  </si>
  <si>
    <t>设备</t>
  </si>
  <si>
    <t>建面</t>
  </si>
  <si>
    <t>单方建安</t>
  </si>
  <si>
    <t>建安</t>
  </si>
  <si>
    <t>人防设备</t>
  </si>
  <si>
    <t>综合平均</t>
  </si>
  <si>
    <t>室外</t>
    <phoneticPr fontId="3" type="noConversion"/>
  </si>
  <si>
    <t>成新度</t>
  </si>
  <si>
    <t>收益法</t>
  </si>
  <si>
    <t>自定义</t>
  </si>
  <si>
    <t>钢混</t>
  </si>
  <si>
    <t>非生产用房</t>
  </si>
  <si>
    <t>自定义容积率</t>
  </si>
  <si>
    <t>不临65条商业街</t>
  </si>
  <si>
    <t>与级别开发程度不一致</t>
  </si>
  <si>
    <t>通路</t>
  </si>
  <si>
    <t>通电</t>
  </si>
  <si>
    <t>通上水</t>
  </si>
  <si>
    <t>通讯</t>
  </si>
  <si>
    <t>通下水</t>
  </si>
  <si>
    <t>燃气</t>
  </si>
  <si>
    <t>平整</t>
  </si>
  <si>
    <t>较差</t>
  </si>
  <si>
    <t>较好</t>
  </si>
  <si>
    <t>一般</t>
  </si>
  <si>
    <t>差</t>
  </si>
  <si>
    <t>未包含在土地购买价格中</t>
  </si>
  <si>
    <t>全部缴纳</t>
  </si>
  <si>
    <t>已包含在土地取得成本中</t>
  </si>
  <si>
    <t>出让合同土地面积</t>
    <phoneticPr fontId="134" type="noConversion"/>
  </si>
  <si>
    <t>出让合同建面</t>
    <phoneticPr fontId="134" type="noConversion"/>
  </si>
  <si>
    <t>地上容积率</t>
    <phoneticPr fontId="134" type="noConversion"/>
  </si>
  <si>
    <t>成本法</t>
  </si>
  <si>
    <t>收益法-酒店模型</t>
  </si>
  <si>
    <t>高级大床房</t>
  </si>
  <si>
    <t>家庭套房</t>
  </si>
  <si>
    <t>商务套房</t>
  </si>
  <si>
    <t>按比例</t>
  </si>
  <si>
    <t>总价</t>
  </si>
  <si>
    <t>成本比率</t>
  </si>
  <si>
    <t>标准双床房</t>
  </si>
  <si>
    <t>标准大床房</t>
  </si>
  <si>
    <t>商业</t>
    <phoneticPr fontId="30" type="noConversion"/>
  </si>
  <si>
    <t>较规则</t>
    <phoneticPr fontId="30" type="noConversion"/>
  </si>
  <si>
    <t>七通</t>
    <phoneticPr fontId="30" type="noConversion"/>
  </si>
  <si>
    <t>六通</t>
    <phoneticPr fontId="30" type="noConversion"/>
  </si>
  <si>
    <t>五通</t>
    <phoneticPr fontId="30" type="noConversion"/>
  </si>
  <si>
    <t>四通</t>
    <phoneticPr fontId="30" type="noConversion"/>
  </si>
  <si>
    <t>较好</t>
    <phoneticPr fontId="30" type="noConversion"/>
  </si>
  <si>
    <t>旅馆用地</t>
    <phoneticPr fontId="30" type="noConversion"/>
  </si>
  <si>
    <t>营业收入</t>
    <phoneticPr fontId="134" type="noConversion"/>
  </si>
  <si>
    <t>审计报告</t>
    <phoneticPr fontId="134" type="noConversion"/>
  </si>
  <si>
    <t>合计</t>
    <phoneticPr fontId="134" type="noConversion"/>
  </si>
  <si>
    <t>平均</t>
    <phoneticPr fontId="134" type="noConversion"/>
  </si>
  <si>
    <t>分摊土地面积</t>
    <phoneticPr fontId="134" type="noConversion"/>
  </si>
  <si>
    <t>合计</t>
    <phoneticPr fontId="134" type="noConversion"/>
  </si>
  <si>
    <t>土地分摊报告</t>
    <phoneticPr fontId="134" type="noConversion"/>
  </si>
  <si>
    <t>人防建面</t>
    <phoneticPr fontId="134" type="noConversion"/>
  </si>
  <si>
    <t>不含人防建面</t>
    <phoneticPr fontId="134" type="noConversion"/>
  </si>
  <si>
    <t>证载竣工时间</t>
    <phoneticPr fontId="134" type="noConversion"/>
  </si>
  <si>
    <t>2023-2</t>
    <phoneticPr fontId="134" type="noConversion"/>
  </si>
  <si>
    <t>成新</t>
    <phoneticPr fontId="13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</si>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</sst>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7" fontId="0" fillId="0" borderId="1" xfId="0" applyNumberFormat="1" applyFill="1" applyBorder="1" applyAlignment="1">
      <alignment horizontal="right" vertical="center"/>
    </xf>
    <xf numFmtId="0" fontId="0" fillId="0" borderId="1" xfId="0" applyBorder="1" applyAlignment="1">
      <alignment horizontal="center" vertical="center"/>
    </xf>
    <xf numFmtId="196" fontId="0" fillId="0" borderId="1" xfId="0" applyNumberFormat="1" applyFill="1" applyBorder="1">
      <alignment vertical="center"/>
    </xf>
    <xf numFmtId="196" fontId="0" fillId="0" borderId="1" xfId="0" applyNumberFormat="1" applyBorder="1">
      <alignment vertical="center"/>
    </xf>
    <xf numFmtId="43" fontId="0" fillId="0" borderId="0" xfId="19" applyFont="1">
      <alignment vertical="center"/>
    </xf>
    <xf numFmtId="0" fontId="0" fillId="0" borderId="1" xfId="0" applyFill="1" applyBorder="1" applyAlignment="1">
      <alignment horizontal="center" vertical="center"/>
    </xf>
    <xf numFmtId="0" fontId="0" fillId="0" borderId="0" xfId="0" applyFill="1">
      <alignment vertical="center"/>
    </xf>
    <xf numFmtId="10" fontId="0" fillId="0" borderId="1" xfId="17" applyNumberFormat="1" applyFont="1" applyFill="1" applyBorder="1">
      <alignment vertical="center"/>
    </xf>
    <xf numFmtId="0" fontId="0" fillId="0" borderId="0" xfId="0" applyAlignment="1">
      <alignment horizontal="center" vertical="center"/>
    </xf>
    <xf numFmtId="196" fontId="0" fillId="0" borderId="0" xfId="0" applyNumberFormat="1" applyFill="1">
      <alignment vertical="center"/>
    </xf>
    <xf numFmtId="196" fontId="0" fillId="0" borderId="0" xfId="0" applyNumberFormat="1">
      <alignment vertical="center"/>
    </xf>
    <xf numFmtId="0" fontId="77" fillId="7" borderId="150" xfId="0" applyFont="1" applyFill="1" applyBorder="1" applyAlignment="1" applyProtection="1">
      <alignment vertical="center" wrapText="1"/>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58" fontId="107" fillId="0" borderId="1" xfId="0" applyNumberFormat="1" applyFont="1" applyBorder="1" applyAlignment="1">
      <alignment horizontal="left" vertical="center"/>
    </xf>
    <xf numFmtId="49" fontId="107" fillId="0" borderId="1" xfId="0" applyNumberFormat="1" applyFont="1" applyBorder="1" applyAlignment="1">
      <alignment horizontal="left" vertical="center"/>
    </xf>
    <xf numFmtId="14" fontId="107" fillId="0" borderId="1" xfId="0" applyNumberFormat="1"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center" vertical="center" wrapText="1"/>
    </xf>
    <xf numFmtId="178" fontId="107" fillId="0" borderId="0" xfId="0" applyNumberFormat="1" applyFont="1" applyAlignment="1">
      <alignment horizontal="left" vertical="center"/>
    </xf>
    <xf numFmtId="0" fontId="270" fillId="12" borderId="0" xfId="0" applyFont="1" applyFill="1" applyAlignment="1" applyProtection="1">
      <alignment vertical="center"/>
      <protection locked="0"/>
    </xf>
    <xf numFmtId="0" fontId="270"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8" borderId="1" xfId="0" applyNumberFormat="1" applyFont="1" applyFill="1" applyBorder="1" applyAlignment="1" applyProtection="1">
      <alignment horizontal="left" vertical="center"/>
      <protection locked="0"/>
    </xf>
    <xf numFmtId="1" fontId="52" fillId="18" borderId="1" xfId="0" applyNumberFormat="1" applyFont="1" applyFill="1" applyBorder="1" applyAlignment="1" applyProtection="1">
      <alignment horizontal="left" vertical="center"/>
      <protection locked="0"/>
    </xf>
    <xf numFmtId="179" fontId="107" fillId="0" borderId="0" xfId="0" applyNumberFormat="1" applyFont="1" applyAlignment="1">
      <alignment horizontal="left" vertical="center"/>
    </xf>
    <xf numFmtId="0" fontId="19" fillId="0" borderId="5" xfId="4" applyFont="1" applyFill="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0" borderId="0" xfId="0" applyNumberFormat="1" applyFill="1">
      <alignment vertical="center"/>
    </xf>
    <xf numFmtId="0" fontId="0" fillId="0" borderId="0" xfId="0" applyNumberFormat="1" applyAlignment="1">
      <alignment horizontal="center" vertical="center"/>
    </xf>
    <xf numFmtId="0" fontId="95" fillId="0" borderId="0" xfId="0" applyNumberFormat="1" applyFont="1" applyAlignment="1">
      <alignment horizontal="center" vertical="center"/>
    </xf>
    <xf numFmtId="0" fontId="53" fillId="13" borderId="1" xfId="4" applyFont="1" applyFill="1" applyBorder="1" applyAlignment="1" applyProtection="1">
      <alignment horizontal="left" vertical="center"/>
      <protection locked="0"/>
    </xf>
    <xf numFmtId="179" fontId="47" fillId="13" borderId="1" xfId="0" applyNumberFormat="1" applyFont="1" applyFill="1" applyBorder="1" applyAlignment="1" applyProtection="1">
      <alignment horizontal="center" vertical="center" wrapText="1"/>
      <protection locked="0"/>
    </xf>
    <xf numFmtId="10" fontId="47" fillId="13" borderId="1" xfId="1" applyNumberFormat="1" applyFont="1" applyFill="1" applyBorder="1" applyAlignment="1" applyProtection="1">
      <alignment horizontal="center" vertical="center"/>
      <protection locked="0"/>
    </xf>
    <xf numFmtId="0" fontId="47" fillId="13" borderId="32" xfId="4" applyFont="1" applyFill="1" applyBorder="1" applyAlignment="1" applyProtection="1">
      <alignment horizontal="left" vertical="center"/>
      <protection locked="0"/>
    </xf>
    <xf numFmtId="14" fontId="159" fillId="12" borderId="0" xfId="12" applyNumberForma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center" vertical="center" wrapText="1"/>
    </xf>
    <xf numFmtId="0" fontId="107" fillId="0" borderId="13" xfId="0" applyFont="1" applyBorder="1" applyAlignment="1">
      <alignment horizontal="center" vertical="center"/>
    </xf>
    <xf numFmtId="0" fontId="107" fillId="0" borderId="15" xfId="0" applyFont="1" applyBorder="1" applyAlignment="1">
      <alignment horizontal="center" vertical="center"/>
    </xf>
    <xf numFmtId="0" fontId="107" fillId="0" borderId="2" xfId="0" applyFont="1" applyBorder="1" applyAlignment="1">
      <alignment horizontal="center" vertical="center"/>
    </xf>
    <xf numFmtId="49" fontId="107" fillId="0" borderId="1" xfId="0" applyNumberFormat="1"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53" fillId="13" borderId="1" xfId="0" applyFont="1" applyFill="1" applyBorder="1" applyAlignment="1" applyProtection="1">
      <alignment vertical="center" wrapText="1"/>
      <protection locked="0"/>
    </xf>
    <xf numFmtId="0" fontId="54" fillId="13" borderId="34" xfId="4" applyFont="1" applyFill="1" applyBorder="1" applyAlignment="1" applyProtection="1">
      <alignment horizontal="lef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85725</xdr:rowOff>
    </xdr:from>
    <xdr:to>
      <xdr:col>10</xdr:col>
      <xdr:colOff>446238</xdr:colOff>
      <xdr:row>48</xdr:row>
      <xdr:rowOff>66182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90925"/>
          <a:ext cx="11504763" cy="3942857"/>
        </a:xfrm>
        <a:prstGeom prst="rect">
          <a:avLst/>
        </a:prstGeom>
      </xdr:spPr>
    </xdr:pic>
    <xdr:clientData/>
  </xdr:twoCellAnchor>
  <xdr:twoCellAnchor editAs="oneCell">
    <xdr:from>
      <xdr:col>1</xdr:col>
      <xdr:colOff>0</xdr:colOff>
      <xdr:row>65</xdr:row>
      <xdr:rowOff>0</xdr:rowOff>
    </xdr:from>
    <xdr:to>
      <xdr:col>10</xdr:col>
      <xdr:colOff>131994</xdr:colOff>
      <xdr:row>103</xdr:row>
      <xdr:rowOff>123086</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10629900"/>
          <a:ext cx="10857144"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57150</xdr:rowOff>
    </xdr:from>
    <xdr:to>
      <xdr:col>5</xdr:col>
      <xdr:colOff>647021</xdr:colOff>
      <xdr:row>66</xdr:row>
      <xdr:rowOff>18391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57900"/>
          <a:ext cx="5438096" cy="5276191"/>
        </a:xfrm>
        <a:prstGeom prst="rect">
          <a:avLst/>
        </a:prstGeom>
      </xdr:spPr>
    </xdr:pic>
    <xdr:clientData/>
  </xdr:twoCellAnchor>
  <xdr:twoCellAnchor editAs="oneCell">
    <xdr:from>
      <xdr:col>5</xdr:col>
      <xdr:colOff>685800</xdr:colOff>
      <xdr:row>35</xdr:row>
      <xdr:rowOff>95250</xdr:rowOff>
    </xdr:from>
    <xdr:to>
      <xdr:col>10</xdr:col>
      <xdr:colOff>218388</xdr:colOff>
      <xdr:row>66</xdr:row>
      <xdr:rowOff>56491</xdr:rowOff>
    </xdr:to>
    <xdr:pic>
      <xdr:nvPicPr>
        <xdr:cNvPr id="3" name="图片 2"/>
        <xdr:cNvPicPr>
          <a:picLocks noChangeAspect="1"/>
        </xdr:cNvPicPr>
      </xdr:nvPicPr>
      <xdr:blipFill>
        <a:blip xmlns:r="http://schemas.openxmlformats.org/officeDocument/2006/relationships" r:embed="rId2"/>
        <a:stretch>
          <a:fillRect/>
        </a:stretch>
      </xdr:blipFill>
      <xdr:spPr>
        <a:xfrm>
          <a:off x="5476875" y="6096000"/>
          <a:ext cx="5495238" cy="5276191"/>
        </a:xfrm>
        <a:prstGeom prst="rect">
          <a:avLst/>
        </a:prstGeom>
      </xdr:spPr>
    </xdr:pic>
    <xdr:clientData/>
  </xdr:twoCellAnchor>
  <xdr:twoCellAnchor editAs="oneCell">
    <xdr:from>
      <xdr:col>10</xdr:col>
      <xdr:colOff>76200</xdr:colOff>
      <xdr:row>35</xdr:row>
      <xdr:rowOff>95250</xdr:rowOff>
    </xdr:from>
    <xdr:to>
      <xdr:col>16</xdr:col>
      <xdr:colOff>408767</xdr:colOff>
      <xdr:row>67</xdr:row>
      <xdr:rowOff>56469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9925" y="6096000"/>
          <a:ext cx="6466667" cy="5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104775</xdr:rowOff>
    </xdr:from>
    <xdr:to>
      <xdr:col>16</xdr:col>
      <xdr:colOff>103391</xdr:colOff>
      <xdr:row>47</xdr:row>
      <xdr:rowOff>85213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48125"/>
          <a:ext cx="11076191" cy="4095238"/>
        </a:xfrm>
        <a:prstGeom prst="rect">
          <a:avLst/>
        </a:prstGeom>
      </xdr:spPr>
    </xdr:pic>
    <xdr:clientData/>
  </xdr:twoCellAnchor>
  <xdr:twoCellAnchor editAs="oneCell">
    <xdr:from>
      <xdr:col>0</xdr:col>
      <xdr:colOff>0</xdr:colOff>
      <xdr:row>47</xdr:row>
      <xdr:rowOff>123825</xdr:rowOff>
    </xdr:from>
    <xdr:to>
      <xdr:col>16</xdr:col>
      <xdr:colOff>227201</xdr:colOff>
      <xdr:row>71</xdr:row>
      <xdr:rowOff>47121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81975"/>
          <a:ext cx="11200001" cy="4038096"/>
        </a:xfrm>
        <a:prstGeom prst="rect">
          <a:avLst/>
        </a:prstGeom>
      </xdr:spPr>
    </xdr:pic>
    <xdr:clientData/>
  </xdr:twoCellAnchor>
  <xdr:twoCellAnchor editAs="oneCell">
    <xdr:from>
      <xdr:col>0</xdr:col>
      <xdr:colOff>0</xdr:colOff>
      <xdr:row>70</xdr:row>
      <xdr:rowOff>133350</xdr:rowOff>
    </xdr:from>
    <xdr:to>
      <xdr:col>16</xdr:col>
      <xdr:colOff>141486</xdr:colOff>
      <xdr:row>94</xdr:row>
      <xdr:rowOff>104265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34850"/>
          <a:ext cx="11114286" cy="4085715"/>
        </a:xfrm>
        <a:prstGeom prst="rect">
          <a:avLst/>
        </a:prstGeom>
      </xdr:spPr>
    </xdr:pic>
    <xdr:clientData/>
  </xdr:twoCellAnchor>
  <xdr:twoCellAnchor editAs="oneCell">
    <xdr:from>
      <xdr:col>0</xdr:col>
      <xdr:colOff>0</xdr:colOff>
      <xdr:row>95</xdr:row>
      <xdr:rowOff>9525</xdr:rowOff>
    </xdr:from>
    <xdr:to>
      <xdr:col>16</xdr:col>
      <xdr:colOff>112915</xdr:colOff>
      <xdr:row>107</xdr:row>
      <xdr:rowOff>47363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97275"/>
          <a:ext cx="11085715" cy="2095238"/>
        </a:xfrm>
        <a:prstGeom prst="rect">
          <a:avLst/>
        </a:prstGeom>
      </xdr:spPr>
    </xdr:pic>
    <xdr:clientData/>
  </xdr:twoCellAnchor>
  <xdr:twoCellAnchor editAs="oneCell">
    <xdr:from>
      <xdr:col>0</xdr:col>
      <xdr:colOff>0</xdr:colOff>
      <xdr:row>0</xdr:row>
      <xdr:rowOff>0</xdr:rowOff>
    </xdr:from>
    <xdr:to>
      <xdr:col>16</xdr:col>
      <xdr:colOff>293867</xdr:colOff>
      <xdr:row>23</xdr:row>
      <xdr:rowOff>142365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11266667" cy="4085715"/>
        </a:xfrm>
        <a:prstGeom prst="rect">
          <a:avLst/>
        </a:prstGeom>
      </xdr:spPr>
    </xdr:pic>
    <xdr:clientData/>
  </xdr:twoCellAnchor>
  <xdr:twoCellAnchor editAs="oneCell">
    <xdr:from>
      <xdr:col>0</xdr:col>
      <xdr:colOff>0</xdr:colOff>
      <xdr:row>111</xdr:row>
      <xdr:rowOff>0</xdr:rowOff>
    </xdr:from>
    <xdr:to>
      <xdr:col>16</xdr:col>
      <xdr:colOff>8153</xdr:colOff>
      <xdr:row>134</xdr:row>
      <xdr:rowOff>9031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030950"/>
          <a:ext cx="10980953" cy="3952381"/>
        </a:xfrm>
        <a:prstGeom prst="rect">
          <a:avLst/>
        </a:prstGeom>
      </xdr:spPr>
    </xdr:pic>
    <xdr:clientData/>
  </xdr:twoCellAnchor>
  <xdr:twoCellAnchor editAs="oneCell">
    <xdr:from>
      <xdr:col>0</xdr:col>
      <xdr:colOff>0</xdr:colOff>
      <xdr:row>134</xdr:row>
      <xdr:rowOff>0</xdr:rowOff>
    </xdr:from>
    <xdr:to>
      <xdr:col>16</xdr:col>
      <xdr:colOff>151010</xdr:colOff>
      <xdr:row>157</xdr:row>
      <xdr:rowOff>85222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974300"/>
          <a:ext cx="11123810" cy="4028572"/>
        </a:xfrm>
        <a:prstGeom prst="rect">
          <a:avLst/>
        </a:prstGeom>
      </xdr:spPr>
    </xdr:pic>
    <xdr:clientData/>
  </xdr:twoCellAnchor>
  <xdr:twoCellAnchor editAs="oneCell">
    <xdr:from>
      <xdr:col>0</xdr:col>
      <xdr:colOff>0</xdr:colOff>
      <xdr:row>158</xdr:row>
      <xdr:rowOff>0</xdr:rowOff>
    </xdr:from>
    <xdr:to>
      <xdr:col>16</xdr:col>
      <xdr:colOff>141486</xdr:colOff>
      <xdr:row>182</xdr:row>
      <xdr:rowOff>9010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089100"/>
          <a:ext cx="11114286" cy="4123810"/>
        </a:xfrm>
        <a:prstGeom prst="rect">
          <a:avLst/>
        </a:prstGeom>
      </xdr:spPr>
    </xdr:pic>
    <xdr:clientData/>
  </xdr:twoCellAnchor>
  <xdr:twoCellAnchor editAs="oneCell">
    <xdr:from>
      <xdr:col>0</xdr:col>
      <xdr:colOff>0</xdr:colOff>
      <xdr:row>182</xdr:row>
      <xdr:rowOff>0</xdr:rowOff>
    </xdr:from>
    <xdr:to>
      <xdr:col>16</xdr:col>
      <xdr:colOff>131963</xdr:colOff>
      <xdr:row>205</xdr:row>
      <xdr:rowOff>151888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203900"/>
          <a:ext cx="11104763" cy="4095238"/>
        </a:xfrm>
        <a:prstGeom prst="rect">
          <a:avLst/>
        </a:prstGeom>
      </xdr:spPr>
    </xdr:pic>
    <xdr:clientData/>
  </xdr:twoCellAnchor>
  <xdr:twoCellAnchor editAs="oneCell">
    <xdr:from>
      <xdr:col>0</xdr:col>
      <xdr:colOff>0</xdr:colOff>
      <xdr:row>206</xdr:row>
      <xdr:rowOff>0</xdr:rowOff>
    </xdr:from>
    <xdr:to>
      <xdr:col>16</xdr:col>
      <xdr:colOff>103391</xdr:colOff>
      <xdr:row>230</xdr:row>
      <xdr:rowOff>75676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318700"/>
          <a:ext cx="11076191" cy="4190476"/>
        </a:xfrm>
        <a:prstGeom prst="rect">
          <a:avLst/>
        </a:prstGeom>
      </xdr:spPr>
    </xdr:pic>
    <xdr:clientData/>
  </xdr:twoCellAnchor>
  <xdr:twoCellAnchor editAs="oneCell">
    <xdr:from>
      <xdr:col>0</xdr:col>
      <xdr:colOff>0</xdr:colOff>
      <xdr:row>233</xdr:row>
      <xdr:rowOff>0</xdr:rowOff>
    </xdr:from>
    <xdr:to>
      <xdr:col>16</xdr:col>
      <xdr:colOff>208153</xdr:colOff>
      <xdr:row>256</xdr:row>
      <xdr:rowOff>56650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9947850"/>
          <a:ext cx="11180953" cy="4000000"/>
        </a:xfrm>
        <a:prstGeom prst="rect">
          <a:avLst/>
        </a:prstGeom>
      </xdr:spPr>
    </xdr:pic>
    <xdr:clientData/>
  </xdr:twoCellAnchor>
  <xdr:twoCellAnchor editAs="oneCell">
    <xdr:from>
      <xdr:col>0</xdr:col>
      <xdr:colOff>0</xdr:colOff>
      <xdr:row>257</xdr:row>
      <xdr:rowOff>0</xdr:rowOff>
    </xdr:from>
    <xdr:to>
      <xdr:col>14</xdr:col>
      <xdr:colOff>370229</xdr:colOff>
      <xdr:row>286</xdr:row>
      <xdr:rowOff>56522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4062650"/>
          <a:ext cx="9971429" cy="5028572"/>
        </a:xfrm>
        <a:prstGeom prst="rect">
          <a:avLst/>
        </a:prstGeom>
      </xdr:spPr>
    </xdr:pic>
    <xdr:clientData/>
  </xdr:twoCellAnchor>
  <xdr:twoCellAnchor editAs="oneCell">
    <xdr:from>
      <xdr:col>0</xdr:col>
      <xdr:colOff>0</xdr:colOff>
      <xdr:row>287</xdr:row>
      <xdr:rowOff>0</xdr:rowOff>
    </xdr:from>
    <xdr:to>
      <xdr:col>14</xdr:col>
      <xdr:colOff>408324</xdr:colOff>
      <xdr:row>299</xdr:row>
      <xdr:rowOff>75933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9206150"/>
          <a:ext cx="10009524" cy="2133333"/>
        </a:xfrm>
        <a:prstGeom prst="rect">
          <a:avLst/>
        </a:prstGeom>
      </xdr:spPr>
    </xdr:pic>
    <xdr:clientData/>
  </xdr:twoCellAnchor>
  <xdr:twoCellAnchor editAs="oneCell">
    <xdr:from>
      <xdr:col>0</xdr:col>
      <xdr:colOff>0</xdr:colOff>
      <xdr:row>303</xdr:row>
      <xdr:rowOff>0</xdr:rowOff>
    </xdr:from>
    <xdr:to>
      <xdr:col>14</xdr:col>
      <xdr:colOff>608325</xdr:colOff>
      <xdr:row>323</xdr:row>
      <xdr:rowOff>171000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949350"/>
          <a:ext cx="10209525" cy="3600000"/>
        </a:xfrm>
        <a:prstGeom prst="rect">
          <a:avLst/>
        </a:prstGeom>
      </xdr:spPr>
    </xdr:pic>
    <xdr:clientData/>
  </xdr:twoCellAnchor>
  <xdr:twoCellAnchor editAs="oneCell">
    <xdr:from>
      <xdr:col>0</xdr:col>
      <xdr:colOff>0</xdr:colOff>
      <xdr:row>324</xdr:row>
      <xdr:rowOff>0</xdr:rowOff>
    </xdr:from>
    <xdr:to>
      <xdr:col>13</xdr:col>
      <xdr:colOff>475077</xdr:colOff>
      <xdr:row>353</xdr:row>
      <xdr:rowOff>170807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55549800"/>
          <a:ext cx="9390477" cy="5142857"/>
        </a:xfrm>
        <a:prstGeom prst="rect">
          <a:avLst/>
        </a:prstGeom>
      </xdr:spPr>
    </xdr:pic>
    <xdr:clientData/>
  </xdr:twoCellAnchor>
  <xdr:twoCellAnchor editAs="oneCell">
    <xdr:from>
      <xdr:col>0</xdr:col>
      <xdr:colOff>0</xdr:colOff>
      <xdr:row>354</xdr:row>
      <xdr:rowOff>0</xdr:rowOff>
    </xdr:from>
    <xdr:to>
      <xdr:col>13</xdr:col>
      <xdr:colOff>541744</xdr:colOff>
      <xdr:row>376</xdr:row>
      <xdr:rowOff>94767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0693300"/>
          <a:ext cx="9457144" cy="3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179496</xdr:colOff>
      <xdr:row>31</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38096" cy="5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556;&#38634;\1.&#24050;&#24402;&#26723;\2024\41.2024-1-0727&#36890;&#24030;&#21306;&#24352;&#23478;&#28286;&#38215;&#20013;&#34903;&#26449;&#36836;&#21271;&#29275;&#22561;&#23663;&#32463;&#27982;&#36866;&#29992;&#25151;&#20303;&#25151;&#39033;&#30446;&#22312;&#24314;&#24037;&#31243;\P01\&#26368;&#32456;\&#20108;&#23457;&#22797;&#26680;-&#20027;&#34920;&#21010;&#25320;-&#29275;&#22561;&#23663;&#22312;&#24314;&#32463;&#27982;&#36866;&#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租金平均增长率计算表"/>
      <sheetName val="系统读取表"/>
      <sheetName val="结果表"/>
      <sheetName val="土增税政策"/>
      <sheetName val="建造成本"/>
      <sheetName val="成本法"/>
      <sheetName val="典型户型修正"/>
      <sheetName val="成本法 (元)"/>
      <sheetName val="基准地价修正"/>
      <sheetName val="土地比较法-住宅、综合"/>
      <sheetName val="商办土地案例"/>
      <sheetName val="假设开发法"/>
      <sheetName val="收益法"/>
      <sheetName val="收益法 (元)"/>
      <sheetName val="收益法-酒店模型"/>
      <sheetName val="收益法（汇总）"/>
      <sheetName val="收益法-仓储"/>
      <sheetName val="收益法-车库"/>
      <sheetName val="比较法-住宅"/>
      <sheetName val="比较法-商业"/>
      <sheetName val="比较法-办公"/>
      <sheetName val="比较法-工业"/>
      <sheetName val="比较法-车位"/>
      <sheetName val="比较法-仓储"/>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2"/>
      <sheetName val="商业"/>
      <sheetName val="仓储租金"/>
      <sheetName val="车库租金"/>
      <sheetName val="保障房中指"/>
      <sheetName val="车位中指"/>
      <sheetName val="仓储中指"/>
      <sheetName val="通州公租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t="str">
        <f>'预评函-封皮'!B40</f>
        <v>天津银行</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估价对象为北京市房地产，为所有。根据《国有土地使用证》[]，估价对象（分摊）出让国有建设用地使用权面积为22981.55平方米，建筑面积为33618.59平方米。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估价对象为北京市房地产,属开发建设的商业项目，该项目尚在开发建设中。根据《国有土地使用证》[]，估价对象（分摊）出让国有建设用地使用权面积为22981.55平方米，规划建筑面积为33618.59平方米。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为估价委托人在向办理贷款手续过程中，确定房地产抵押贷款额度提供参考依据而评估房地产抵押价值。</v>
      </c>
    </row>
    <row r="12" spans="1:2" s="1201" customFormat="1">
      <c r="A12" s="1199" t="s">
        <v>528</v>
      </c>
      <c r="B12" s="1200" t="str">
        <f>'预评函-1'!A15</f>
        <v>2024年9月30日（评估专业人员实地查勘之日）</v>
      </c>
    </row>
    <row r="13" spans="1:2" s="1201" customFormat="1">
      <c r="A13" s="1199" t="s">
        <v>529</v>
      </c>
      <c r="B13" s="1200"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48844</v>
      </c>
    </row>
    <row r="21" spans="1:2" s="1201" customFormat="1">
      <c r="A21" s="1199" t="s">
        <v>537</v>
      </c>
      <c r="B21" s="1200">
        <f ca="1">'预评函-2'!D7</f>
        <v>14529</v>
      </c>
    </row>
    <row r="22" spans="1:2" s="1201" customFormat="1">
      <c r="A22" s="1199" t="s">
        <v>538</v>
      </c>
      <c r="B22" s="1200" t="str">
        <f ca="1">'预评函-2'!D6</f>
        <v>肆亿捌仟捌佰肆拾肆万元整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48844</v>
      </c>
    </row>
    <row r="31" spans="1:2" s="1201" customFormat="1">
      <c r="A31" s="1199" t="s">
        <v>576</v>
      </c>
      <c r="B31" s="1200">
        <f ca="1">'预评函-2'!D15</f>
        <v>14529</v>
      </c>
    </row>
    <row r="32" spans="1:2" s="1201" customFormat="1">
      <c r="A32" s="1199" t="s">
        <v>543</v>
      </c>
      <c r="B32" s="1200" t="str">
        <f ca="1">'预评函-2'!D14</f>
        <v>肆亿捌仟捌佰肆拾肆万元整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33618.589999999997</v>
      </c>
    </row>
    <row r="44" spans="1:2" s="1201" customFormat="1">
      <c r="A44" s="1199" t="s">
        <v>575</v>
      </c>
      <c r="B44" s="1200" t="str">
        <f>'预评函-3'!C2</f>
        <v>(分摊)土地面积</v>
      </c>
    </row>
    <row r="45" spans="1:2" s="1201" customFormat="1">
      <c r="A45" s="1199" t="s">
        <v>547</v>
      </c>
      <c r="B45" s="1200">
        <f>'预评函-3'!C4</f>
        <v>22981.55</v>
      </c>
    </row>
    <row r="46" spans="1:2" s="1201" customFormat="1">
      <c r="A46" s="1199" t="s">
        <v>573</v>
      </c>
      <c r="B46" s="1200" t="str">
        <f>'预评函-3'!D2</f>
        <v>出让国有建设用地使用权价值</v>
      </c>
    </row>
    <row r="47" spans="1:2" s="1201" customFormat="1">
      <c r="A47" s="1199" t="s">
        <v>548</v>
      </c>
      <c r="B47" s="1200">
        <f ca="1">'预评函-3'!D4</f>
        <v>9280</v>
      </c>
    </row>
    <row r="48" spans="1:2" s="1201" customFormat="1">
      <c r="A48" s="1199" t="s">
        <v>549</v>
      </c>
      <c r="B48" s="1200">
        <f ca="1">'预评函-3'!E4</f>
        <v>2761</v>
      </c>
    </row>
    <row r="49" spans="1:2" s="1201" customFormat="1">
      <c r="A49" s="1199" t="s">
        <v>550</v>
      </c>
      <c r="B49" s="1200" t="str">
        <f ca="1">'预评函-3'!D5</f>
        <v>玖仟贰佰捌拾万元整</v>
      </c>
    </row>
    <row r="50" spans="1:2" s="1201" customFormat="1">
      <c r="A50" s="1199" t="s">
        <v>574</v>
      </c>
      <c r="B50" s="1200" t="str">
        <f>'预评函-3'!F2</f>
        <v>在建建筑物价值</v>
      </c>
    </row>
    <row r="51" spans="1:2" s="1201" customFormat="1">
      <c r="A51" s="1199" t="s">
        <v>551</v>
      </c>
      <c r="B51" s="1200">
        <f ca="1">'预评函-3'!F4</f>
        <v>39564</v>
      </c>
    </row>
    <row r="52" spans="1:2" s="1201" customFormat="1">
      <c r="A52" s="1199" t="s">
        <v>552</v>
      </c>
      <c r="B52" s="1200">
        <f ca="1">'预评函-3'!G4</f>
        <v>11768</v>
      </c>
    </row>
    <row r="53" spans="1:2" s="1201" customFormat="1">
      <c r="A53" s="1199" t="s">
        <v>580</v>
      </c>
      <c r="B53" s="1200" t="str">
        <f ca="1">'预评函-3'!F5</f>
        <v>叁亿玖仟伍佰陆拾肆万元整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3334</v>
      </c>
    </row>
    <row r="8" spans="1:23">
      <c r="A8" s="1544" t="s">
        <v>1026</v>
      </c>
      <c r="B8" s="1544" t="s">
        <v>1027</v>
      </c>
      <c r="C8" s="1545" t="s">
        <v>319</v>
      </c>
      <c r="F8" s="1546" t="s">
        <v>1028</v>
      </c>
      <c r="H8" s="1546" t="s">
        <v>2570</v>
      </c>
      <c r="I8" s="1546" t="s">
        <v>3335</v>
      </c>
    </row>
    <row r="9" spans="1:23">
      <c r="A9" s="1544" t="s">
        <v>1029</v>
      </c>
      <c r="B9" s="1544" t="s">
        <v>1030</v>
      </c>
      <c r="C9" s="1545" t="s">
        <v>320</v>
      </c>
      <c r="F9" s="1546" t="s">
        <v>1031</v>
      </c>
      <c r="H9" s="1546"/>
      <c r="I9" s="1549" t="s">
        <v>3336</v>
      </c>
    </row>
    <row r="10" spans="1:23">
      <c r="A10" s="1544" t="s">
        <v>1032</v>
      </c>
      <c r="B10" s="1544" t="s">
        <v>1033</v>
      </c>
      <c r="C10" s="1545" t="s">
        <v>321</v>
      </c>
      <c r="F10" s="1546" t="s">
        <v>2571</v>
      </c>
      <c r="I10" s="1549" t="s">
        <v>3337</v>
      </c>
    </row>
    <row r="11" spans="1:23">
      <c r="A11" s="1544" t="s">
        <v>1034</v>
      </c>
      <c r="B11" s="1544" t="s">
        <v>1035</v>
      </c>
      <c r="C11" s="1545" t="s">
        <v>322</v>
      </c>
      <c r="F11" s="1546" t="s">
        <v>13</v>
      </c>
      <c r="I11" s="1549" t="s">
        <v>3338</v>
      </c>
    </row>
    <row r="12" spans="1:23">
      <c r="A12" s="1544" t="s">
        <v>1036</v>
      </c>
      <c r="B12" s="1544" t="s">
        <v>1037</v>
      </c>
      <c r="C12" s="1545" t="s">
        <v>323</v>
      </c>
      <c r="I12" s="1549" t="s">
        <v>3339</v>
      </c>
    </row>
    <row r="13" spans="1:23">
      <c r="A13" s="1544" t="s">
        <v>1038</v>
      </c>
      <c r="B13" s="1544" t="s">
        <v>1039</v>
      </c>
      <c r="C13" s="1545" t="s">
        <v>324</v>
      </c>
      <c r="I13" s="1549" t="s">
        <v>3340</v>
      </c>
    </row>
    <row r="14" spans="1:23">
      <c r="A14" s="1544" t="s">
        <v>1040</v>
      </c>
      <c r="B14" s="1544" t="s">
        <v>1041</v>
      </c>
      <c r="C14" s="1546" t="s">
        <v>13</v>
      </c>
      <c r="I14" s="1549" t="s">
        <v>3341</v>
      </c>
    </row>
    <row r="15" spans="1:23">
      <c r="A15" s="1544" t="s">
        <v>1042</v>
      </c>
      <c r="B15" s="1544" t="s">
        <v>1043</v>
      </c>
      <c r="C15" s="1545"/>
      <c r="I15" s="1549" t="s">
        <v>3342</v>
      </c>
    </row>
    <row r="16" spans="1:23">
      <c r="A16" s="1544" t="s">
        <v>1044</v>
      </c>
      <c r="B16" s="1544" t="s">
        <v>312</v>
      </c>
      <c r="C16" s="1545"/>
    </row>
    <row r="17" spans="1:3">
      <c r="A17" s="1544" t="s">
        <v>1045</v>
      </c>
      <c r="B17" s="1544" t="s">
        <v>2292</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52" t="s">
        <v>385</v>
      </c>
      <c r="C54" s="1549" t="s">
        <v>583</v>
      </c>
    </row>
    <row r="55" spans="1:4">
      <c r="A55" s="3534"/>
      <c r="B55" s="1552" t="s">
        <v>386</v>
      </c>
      <c r="C55" s="1549" t="s">
        <v>584</v>
      </c>
    </row>
    <row r="56" spans="1:4">
      <c r="A56" s="3534"/>
      <c r="B56" s="1552" t="s">
        <v>387</v>
      </c>
      <c r="C56" s="1549" t="s">
        <v>588</v>
      </c>
    </row>
    <row r="57" spans="1:4">
      <c r="A57" s="353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2493</v>
      </c>
      <c r="B1" s="3009"/>
      <c r="C1" s="3009"/>
      <c r="D1" s="3009"/>
      <c r="E1" s="3009"/>
      <c r="F1" s="3010"/>
      <c r="I1" s="3432" t="s">
        <v>2586</v>
      </c>
      <c r="J1" s="3221"/>
      <c r="K1" s="3221"/>
      <c r="L1" s="3221"/>
      <c r="M1" s="3221"/>
      <c r="N1" s="3433"/>
      <c r="O1" s="3433"/>
      <c r="P1" s="3433"/>
      <c r="Q1" s="3433"/>
      <c r="R1" s="3433"/>
    </row>
    <row r="2" spans="1:18">
      <c r="A2" s="3012"/>
      <c r="B2" s="3013"/>
      <c r="C2" s="3013"/>
      <c r="D2" s="3013"/>
      <c r="E2" s="3013"/>
      <c r="F2" s="3014"/>
      <c r="I2" s="3535" t="s">
        <v>2573</v>
      </c>
      <c r="J2" s="3535"/>
      <c r="K2" s="3535"/>
      <c r="L2" s="3535"/>
      <c r="M2" s="3535"/>
      <c r="N2" s="3535"/>
      <c r="O2" s="3535"/>
      <c r="P2" s="3535"/>
      <c r="Q2" s="3535"/>
      <c r="R2" s="3535"/>
    </row>
    <row r="3" spans="1:18">
      <c r="A3" s="3015" t="s">
        <v>2494</v>
      </c>
      <c r="B3" s="3016">
        <f>项目基本情况!D3</f>
        <v>45565</v>
      </c>
      <c r="C3" s="3018"/>
      <c r="D3" s="3018"/>
      <c r="E3" s="3018"/>
      <c r="F3" s="3014"/>
      <c r="I3" s="3434"/>
      <c r="J3" s="3434" t="s">
        <v>2577</v>
      </c>
      <c r="K3" s="3434" t="s">
        <v>2578</v>
      </c>
      <c r="L3" s="3434" t="s">
        <v>2579</v>
      </c>
      <c r="M3" s="3434" t="s">
        <v>2580</v>
      </c>
      <c r="N3" s="3435" t="s">
        <v>2581</v>
      </c>
      <c r="O3" s="3435" t="s">
        <v>2582</v>
      </c>
      <c r="P3" s="3435" t="s">
        <v>2583</v>
      </c>
      <c r="Q3" s="3435" t="s">
        <v>2584</v>
      </c>
      <c r="R3" s="3435" t="s">
        <v>2585</v>
      </c>
    </row>
    <row r="4" spans="1:18">
      <c r="A4" s="3015" t="s">
        <v>2495</v>
      </c>
      <c r="B4" s="3018" t="s">
        <v>2496</v>
      </c>
      <c r="C4" s="3018" t="s">
        <v>2497</v>
      </c>
      <c r="D4" s="3018" t="s">
        <v>2498</v>
      </c>
      <c r="E4" s="3018" t="s">
        <v>2499</v>
      </c>
      <c r="F4" s="3014"/>
      <c r="I4" s="3434" t="s">
        <v>2574</v>
      </c>
      <c r="J4" s="3434">
        <v>80</v>
      </c>
      <c r="K4" s="3434">
        <v>70</v>
      </c>
      <c r="L4" s="3434">
        <v>20</v>
      </c>
      <c r="M4" s="3434">
        <v>30</v>
      </c>
      <c r="N4" s="3018">
        <v>45</v>
      </c>
      <c r="O4" s="3018">
        <v>60</v>
      </c>
      <c r="P4" s="3018">
        <v>50</v>
      </c>
      <c r="Q4" s="3018">
        <v>20</v>
      </c>
      <c r="R4" s="3018">
        <v>375</v>
      </c>
    </row>
    <row r="5" spans="1:18">
      <c r="A5" s="3019">
        <v>40</v>
      </c>
      <c r="B5" s="3016">
        <v>46375</v>
      </c>
      <c r="C5" s="3018">
        <f>ROUNDDOWN(MIN((B5-B3)/365,A5),2)</f>
        <v>2.21</v>
      </c>
      <c r="D5" s="3020">
        <f>IF(ISERROR(ROUND(POWER(1+E5,A5-C5)*(POWER(1+E5,C5)-1)/(POWER(1+E5,A5)-1),3)),0,ROUND(POWER(1+E5,A5-C5)*(POWER(1+E5,C5)-1)/(POWER(1+E5,A5)-1),4))</f>
        <v>0.10489999999999999</v>
      </c>
      <c r="E5" s="3021">
        <v>0.04</v>
      </c>
      <c r="F5" s="3014"/>
      <c r="I5" s="3434" t="s">
        <v>2575</v>
      </c>
      <c r="J5" s="3434">
        <v>70</v>
      </c>
      <c r="K5" s="3434">
        <v>60</v>
      </c>
      <c r="L5" s="3434">
        <v>15</v>
      </c>
      <c r="M5" s="3434">
        <v>25</v>
      </c>
      <c r="N5" s="3018">
        <v>40</v>
      </c>
      <c r="O5" s="3018">
        <v>50</v>
      </c>
      <c r="P5" s="3018">
        <v>40</v>
      </c>
      <c r="Q5" s="3018">
        <v>15</v>
      </c>
      <c r="R5" s="3018">
        <v>315</v>
      </c>
    </row>
    <row r="6" spans="1:18">
      <c r="A6" s="3019">
        <v>50</v>
      </c>
      <c r="B6" s="3016">
        <v>50028</v>
      </c>
      <c r="C6" s="3018">
        <f>ROUNDDOWN(MIN((B6-B3)/365,A6),2)</f>
        <v>12.22</v>
      </c>
      <c r="D6" s="3020">
        <f>IF(ISERROR(ROUND(POWER(1+E6,A6-C6)*(POWER(1+E6,C6)-1)/(POWER(1+E6,A6)-1),3)),0,ROUND(POWER(1+E6,A6-C6)*(POWER(1+E6,C6)-1)/(POWER(1+E6,A6)-1),4))</f>
        <v>0.44309999999999999</v>
      </c>
      <c r="E6" s="3021">
        <v>0.04</v>
      </c>
      <c r="F6" s="3014"/>
      <c r="I6" s="3434" t="s">
        <v>2576</v>
      </c>
      <c r="J6" s="3434">
        <v>60</v>
      </c>
      <c r="K6" s="3434">
        <v>50</v>
      </c>
      <c r="L6" s="3434">
        <v>10</v>
      </c>
      <c r="M6" s="3434">
        <v>20</v>
      </c>
      <c r="N6" s="3018">
        <v>35</v>
      </c>
      <c r="O6" s="3018">
        <v>40</v>
      </c>
      <c r="P6" s="3018">
        <v>30</v>
      </c>
      <c r="Q6" s="3018">
        <v>10</v>
      </c>
      <c r="R6" s="3018">
        <v>255</v>
      </c>
    </row>
    <row r="7" spans="1:18">
      <c r="A7" s="3019">
        <v>70</v>
      </c>
      <c r="B7" s="3016">
        <v>57333</v>
      </c>
      <c r="C7" s="3018">
        <f>ROUNDDOWN(MIN((B7-B3)/365,A7),2)</f>
        <v>32.24</v>
      </c>
      <c r="D7" s="3020">
        <f>IF(ISERROR(ROUND(POWER(1+E7,A7-C7)*(POWER(1+E7,C7)-1)/(POWER(1+E7,A7)-1),3)),0,ROUND(POWER(1+E7,A7-C7)*(POWER(1+E7,C7)-1)/(POWER(1+E7,A7)-1),4))</f>
        <v>0.76690000000000003</v>
      </c>
      <c r="E7" s="3021">
        <v>0.04</v>
      </c>
      <c r="F7" s="3014"/>
    </row>
    <row r="8" spans="1:18">
      <c r="A8" s="3012"/>
      <c r="B8" s="3013"/>
      <c r="C8" s="3013"/>
      <c r="D8" s="3013"/>
      <c r="E8" s="3013"/>
      <c r="F8" s="3014"/>
    </row>
    <row r="9" spans="1:18">
      <c r="A9" s="3015" t="s">
        <v>2500</v>
      </c>
      <c r="B9" s="3018"/>
      <c r="C9" s="3018"/>
      <c r="D9" s="3018"/>
      <c r="E9" s="3018"/>
      <c r="F9" s="3022"/>
    </row>
    <row r="10" spans="1:18">
      <c r="A10" s="3015" t="s">
        <v>2501</v>
      </c>
      <c r="B10" s="3018"/>
      <c r="C10" s="3018"/>
      <c r="D10" s="3018" t="s">
        <v>2499</v>
      </c>
      <c r="E10" s="3018"/>
      <c r="F10" s="3022" t="s">
        <v>2498</v>
      </c>
    </row>
    <row r="11" spans="1:18">
      <c r="A11" s="3015" t="s">
        <v>2502</v>
      </c>
      <c r="B11" s="3023">
        <v>70</v>
      </c>
      <c r="C11" s="3018" t="s">
        <v>2503</v>
      </c>
      <c r="D11" s="3024">
        <v>4.4999999999999998E-2</v>
      </c>
      <c r="E11" s="3018" t="s">
        <v>2504</v>
      </c>
      <c r="F11" s="3025">
        <f>ROUND(1-(1/(POWER(1+D11,B11))),4)</f>
        <v>0.95409999999999995</v>
      </c>
    </row>
    <row r="12" spans="1:18">
      <c r="A12" s="3015" t="s">
        <v>2505</v>
      </c>
      <c r="B12" s="3023">
        <v>40</v>
      </c>
      <c r="C12" s="3018" t="s">
        <v>2506</v>
      </c>
      <c r="D12" s="3024">
        <v>4.4999999999999998E-2</v>
      </c>
      <c r="E12" s="3018" t="s">
        <v>2507</v>
      </c>
      <c r="F12" s="3025">
        <f>ROUND(1-(1/(POWER(1+D12,B12))),4)</f>
        <v>0.82809999999999995</v>
      </c>
    </row>
    <row r="13" spans="1:18">
      <c r="A13" s="3015" t="s">
        <v>2508</v>
      </c>
      <c r="B13" s="3018"/>
      <c r="C13" s="3018"/>
      <c r="D13" s="3013"/>
      <c r="E13" s="3013"/>
      <c r="F13" s="3014"/>
    </row>
    <row r="14" spans="1:18">
      <c r="A14" s="3015" t="s">
        <v>2509</v>
      </c>
      <c r="B14" s="3023">
        <v>5000</v>
      </c>
      <c r="C14" s="3017"/>
      <c r="D14" s="3013"/>
      <c r="E14" s="3013"/>
      <c r="F14" s="3014"/>
    </row>
    <row r="15" spans="1:18">
      <c r="A15" s="3015" t="s">
        <v>2510</v>
      </c>
      <c r="B15" s="3018">
        <f>ROUND(B14*F12/F11,2)</f>
        <v>4339.6899999999996</v>
      </c>
      <c r="C15" s="3018">
        <f>ROUND(F12/F11,4)</f>
        <v>0.8679</v>
      </c>
      <c r="D15" s="3013"/>
      <c r="E15" s="3013"/>
      <c r="F15" s="3014"/>
    </row>
    <row r="16" spans="1:18">
      <c r="A16" s="3015" t="s">
        <v>2511</v>
      </c>
      <c r="B16" s="3018"/>
      <c r="C16" s="3018"/>
      <c r="D16" s="3013"/>
      <c r="E16" s="3013"/>
      <c r="F16" s="3014"/>
    </row>
    <row r="17" spans="1:13">
      <c r="A17" s="3015" t="s">
        <v>2510</v>
      </c>
      <c r="B17" s="3024">
        <v>4810</v>
      </c>
      <c r="C17" s="3017"/>
      <c r="D17" s="3013"/>
      <c r="E17" s="3013"/>
      <c r="F17" s="3014"/>
    </row>
    <row r="18" spans="1:13" ht="14.25" thickBot="1">
      <c r="A18" s="3026" t="s">
        <v>2509</v>
      </c>
      <c r="B18" s="3027">
        <f>ROUND(B17*F11/F12,2)</f>
        <v>5541.87</v>
      </c>
      <c r="C18" s="3027">
        <f>ROUND(F11/F12,4)</f>
        <v>1.1521999999999999</v>
      </c>
      <c r="D18" s="3028"/>
      <c r="E18" s="3028"/>
      <c r="F18" s="3029"/>
    </row>
    <row r="19" spans="1:13" ht="14.25" thickBot="1"/>
    <row r="20" spans="1:13" s="3064" customFormat="1" ht="14.25" thickTop="1">
      <c r="A20" s="3061" t="s">
        <v>2512</v>
      </c>
      <c r="B20" s="3062"/>
      <c r="C20" s="3062"/>
      <c r="D20" s="3062"/>
      <c r="E20" s="3062"/>
      <c r="F20" s="3062"/>
      <c r="G20" s="3063"/>
      <c r="I20" s="3065" t="s">
        <v>2557</v>
      </c>
      <c r="J20" s="3065" t="s">
        <v>2562</v>
      </c>
      <c r="K20" s="3065"/>
      <c r="L20" s="3065"/>
      <c r="M20" s="3065"/>
    </row>
    <row r="21" spans="1:13">
      <c r="A21" s="3030"/>
      <c r="B21" s="3031" t="s">
        <v>2513</v>
      </c>
      <c r="C21" s="3031" t="s">
        <v>2514</v>
      </c>
      <c r="D21" s="3031" t="s">
        <v>2515</v>
      </c>
      <c r="E21" s="3031" t="s">
        <v>2516</v>
      </c>
      <c r="F21" s="3031" t="s">
        <v>2517</v>
      </c>
      <c r="G21" s="3032" t="s">
        <v>2518</v>
      </c>
      <c r="I21" s="3053">
        <v>5</v>
      </c>
      <c r="J21" s="3053">
        <v>54.2</v>
      </c>
    </row>
    <row r="22" spans="1:13">
      <c r="A22" s="3030" t="s">
        <v>2519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2560</v>
      </c>
      <c r="M23" s="3053" t="s">
        <v>2561</v>
      </c>
    </row>
    <row r="24" spans="1:13">
      <c r="A24" s="3030" t="s">
        <v>2521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2559</v>
      </c>
      <c r="M24" s="3053">
        <v>10</v>
      </c>
    </row>
    <row r="25" spans="1:13">
      <c r="A25" s="3030" t="s">
        <v>2522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2563</v>
      </c>
      <c r="M25" s="3053">
        <v>8</v>
      </c>
    </row>
    <row r="26" spans="1:13">
      <c r="A26" s="3035"/>
      <c r="B26" s="3036"/>
      <c r="C26" s="3036"/>
      <c r="D26" s="3036"/>
      <c r="E26" s="3036"/>
      <c r="F26" s="3036"/>
      <c r="G26" s="3037"/>
      <c r="I26" s="3053">
        <v>30</v>
      </c>
      <c r="J26" s="3053">
        <v>90.5</v>
      </c>
      <c r="K26" s="3053">
        <f t="shared" si="2"/>
        <v>4.2000000000000028</v>
      </c>
      <c r="L26" s="3053" t="s">
        <v>2564</v>
      </c>
      <c r="M26" s="3053">
        <v>5</v>
      </c>
    </row>
    <row r="27" spans="1:13">
      <c r="A27" s="3035" t="s">
        <v>2523</v>
      </c>
      <c r="B27" s="3036"/>
      <c r="C27" s="3036"/>
      <c r="D27" s="3036"/>
      <c r="E27" s="3036"/>
      <c r="F27" s="3036"/>
      <c r="G27" s="3037"/>
      <c r="I27" s="3053">
        <v>35</v>
      </c>
      <c r="J27" s="3053">
        <v>93.8</v>
      </c>
      <c r="K27" s="3053">
        <f t="shared" si="2"/>
        <v>3.2999999999999972</v>
      </c>
      <c r="L27" s="3053" t="s">
        <v>2565</v>
      </c>
      <c r="M27" s="3053">
        <v>3</v>
      </c>
    </row>
    <row r="28" spans="1:13">
      <c r="A28" s="3035" t="s">
        <v>2524</v>
      </c>
      <c r="B28" s="3036"/>
      <c r="C28" s="3036"/>
      <c r="D28" s="3036"/>
      <c r="E28" s="3036"/>
      <c r="F28" s="3036"/>
      <c r="G28" s="3037"/>
      <c r="I28" s="3053">
        <v>40</v>
      </c>
      <c r="J28" s="3053">
        <v>96.4</v>
      </c>
      <c r="K28" s="3053">
        <f t="shared" si="2"/>
        <v>2.6000000000000085</v>
      </c>
      <c r="L28" s="3053" t="s">
        <v>2566</v>
      </c>
      <c r="M28" s="3053">
        <v>2</v>
      </c>
    </row>
    <row r="29" spans="1:13">
      <c r="A29" s="3035" t="s">
        <v>2525</v>
      </c>
      <c r="B29" s="3036"/>
      <c r="C29" s="3036"/>
      <c r="D29" s="3036"/>
      <c r="E29" s="3036"/>
      <c r="F29" s="3036"/>
      <c r="G29" s="3037"/>
      <c r="I29" s="3053">
        <v>45</v>
      </c>
      <c r="J29" s="3053">
        <v>98.4</v>
      </c>
      <c r="K29" s="3053">
        <f t="shared" si="2"/>
        <v>2</v>
      </c>
    </row>
    <row r="30" spans="1:13">
      <c r="A30" s="3035" t="s">
        <v>2526</v>
      </c>
      <c r="B30" s="3036"/>
      <c r="C30" s="3036"/>
      <c r="D30" s="3036"/>
      <c r="E30" s="3036"/>
      <c r="F30" s="3036"/>
      <c r="G30" s="3037"/>
      <c r="I30" s="3053">
        <v>50</v>
      </c>
      <c r="J30" s="3053">
        <v>100</v>
      </c>
      <c r="K30" s="3053">
        <f t="shared" si="2"/>
        <v>1.5999999999999943</v>
      </c>
    </row>
    <row r="31" spans="1:13">
      <c r="A31" s="3035" t="s">
        <v>2527</v>
      </c>
      <c r="B31" s="3036"/>
      <c r="C31" s="3036"/>
      <c r="D31" s="3036"/>
      <c r="E31" s="3036"/>
      <c r="F31" s="3036"/>
      <c r="G31" s="3037"/>
      <c r="I31" s="3053" t="s">
        <v>2558</v>
      </c>
    </row>
    <row r="32" spans="1:13">
      <c r="A32" s="3035" t="s">
        <v>2528</v>
      </c>
      <c r="B32" s="3036"/>
      <c r="C32" s="3036"/>
      <c r="D32" s="3036"/>
      <c r="E32" s="3036"/>
      <c r="F32" s="3036"/>
      <c r="G32" s="3037"/>
    </row>
    <row r="33" spans="1:13">
      <c r="A33" s="3035" t="s">
        <v>2529</v>
      </c>
      <c r="B33" s="3036"/>
      <c r="C33" s="3036"/>
      <c r="D33" s="3036"/>
      <c r="E33" s="3036"/>
      <c r="F33" s="3036"/>
      <c r="G33" s="3037"/>
      <c r="I33" s="3053" t="s">
        <v>2557</v>
      </c>
      <c r="J33" s="3053" t="s">
        <v>2567</v>
      </c>
    </row>
    <row r="34" spans="1:13">
      <c r="A34" s="3035" t="s">
        <v>2530</v>
      </c>
      <c r="B34" s="3036"/>
      <c r="C34" s="3036"/>
      <c r="D34" s="3036"/>
      <c r="E34" s="3036"/>
      <c r="F34" s="3036"/>
      <c r="G34" s="3037"/>
      <c r="I34" s="3053">
        <v>5</v>
      </c>
      <c r="J34" s="3053">
        <v>55.1</v>
      </c>
    </row>
    <row r="35" spans="1:13">
      <c r="A35" s="3035" t="s">
        <v>2531</v>
      </c>
      <c r="B35" s="3036"/>
      <c r="C35" s="3036"/>
      <c r="D35" s="3036"/>
      <c r="E35" s="3036"/>
      <c r="F35" s="3036"/>
      <c r="G35" s="3037"/>
      <c r="I35" s="3053">
        <v>10</v>
      </c>
      <c r="J35" s="3053">
        <v>67</v>
      </c>
      <c r="K35" s="3053">
        <f>J35-J34</f>
        <v>11.899999999999999</v>
      </c>
    </row>
    <row r="36" spans="1:13">
      <c r="A36" s="3035" t="s">
        <v>2532</v>
      </c>
      <c r="B36" s="3036"/>
      <c r="C36" s="3036"/>
      <c r="D36" s="3036"/>
      <c r="E36" s="3036"/>
      <c r="F36" s="3036"/>
      <c r="G36" s="3037"/>
      <c r="I36" s="3053">
        <v>15</v>
      </c>
      <c r="J36" s="3053">
        <v>76.3</v>
      </c>
      <c r="K36" s="3053">
        <f t="shared" ref="K36:K41" si="3">J36-J35</f>
        <v>9.2999999999999972</v>
      </c>
      <c r="L36" s="3053" t="s">
        <v>2560</v>
      </c>
      <c r="M36" s="3053" t="s">
        <v>2561</v>
      </c>
    </row>
    <row r="37" spans="1:13">
      <c r="A37" s="3035" t="s">
        <v>2533</v>
      </c>
      <c r="B37" s="3036"/>
      <c r="C37" s="3036"/>
      <c r="D37" s="3036"/>
      <c r="E37" s="3036"/>
      <c r="F37" s="3036"/>
      <c r="G37" s="3037"/>
      <c r="I37" s="3053">
        <v>20</v>
      </c>
      <c r="J37" s="3053">
        <v>83.6</v>
      </c>
      <c r="K37" s="3053">
        <f t="shared" si="3"/>
        <v>7.2999999999999972</v>
      </c>
      <c r="L37" s="3053" t="s">
        <v>2559</v>
      </c>
      <c r="M37" s="3053">
        <v>10</v>
      </c>
    </row>
    <row r="38" spans="1:13">
      <c r="A38" s="3035" t="s">
        <v>2534</v>
      </c>
      <c r="B38" s="3036"/>
      <c r="C38" s="3036"/>
      <c r="D38" s="3036"/>
      <c r="E38" s="3036"/>
      <c r="F38" s="3036"/>
      <c r="G38" s="3037"/>
      <c r="I38" s="3053">
        <v>25</v>
      </c>
      <c r="J38" s="3053">
        <v>89.3</v>
      </c>
      <c r="K38" s="3053">
        <f t="shared" si="3"/>
        <v>5.7000000000000028</v>
      </c>
      <c r="L38" s="3053" t="s">
        <v>2563</v>
      </c>
      <c r="M38" s="3053">
        <v>8</v>
      </c>
    </row>
    <row r="39" spans="1:13">
      <c r="A39" s="3035"/>
      <c r="B39" s="3036"/>
      <c r="C39" s="3036"/>
      <c r="D39" s="3036"/>
      <c r="E39" s="3036"/>
      <c r="F39" s="3036"/>
      <c r="G39" s="3037"/>
      <c r="I39" s="3053">
        <v>30</v>
      </c>
      <c r="J39" s="3053">
        <v>93.8</v>
      </c>
      <c r="K39" s="3053">
        <f t="shared" si="3"/>
        <v>4.5</v>
      </c>
      <c r="L39" s="3053" t="s">
        <v>2564</v>
      </c>
      <c r="M39" s="3053">
        <v>6</v>
      </c>
    </row>
    <row r="40" spans="1:13">
      <c r="A40" s="3038" t="s">
        <v>2535</v>
      </c>
      <c r="B40" s="3039"/>
      <c r="C40" s="3039"/>
      <c r="D40" s="3039"/>
      <c r="E40" s="3039"/>
      <c r="F40" s="3039"/>
      <c r="G40" s="3040"/>
      <c r="I40" s="3053">
        <v>35</v>
      </c>
      <c r="J40" s="3053">
        <v>97.2</v>
      </c>
      <c r="K40" s="3053">
        <f t="shared" si="3"/>
        <v>3.4000000000000057</v>
      </c>
      <c r="L40" s="3053" t="s">
        <v>2565</v>
      </c>
      <c r="M40" s="3053">
        <v>3</v>
      </c>
    </row>
    <row r="41" spans="1:13">
      <c r="A41" s="3041" t="s">
        <v>2536</v>
      </c>
      <c r="B41" s="3042" t="s">
        <v>2537</v>
      </c>
      <c r="C41" s="3043" t="s">
        <v>2538</v>
      </c>
      <c r="D41" s="3043" t="s">
        <v>2539</v>
      </c>
      <c r="E41" s="3044"/>
      <c r="F41" s="3045"/>
      <c r="G41" s="3046"/>
      <c r="I41" s="3053">
        <v>40</v>
      </c>
      <c r="J41" s="3053">
        <v>100</v>
      </c>
      <c r="K41" s="3053">
        <f t="shared" si="3"/>
        <v>2.7999999999999972</v>
      </c>
    </row>
    <row r="42" spans="1:13">
      <c r="A42" s="3041" t="s">
        <v>2540</v>
      </c>
      <c r="B42" s="3042" t="s">
        <v>2541</v>
      </c>
      <c r="C42" s="3043" t="s">
        <v>2542</v>
      </c>
      <c r="D42" s="3047" t="s">
        <v>2543</v>
      </c>
      <c r="E42" s="3039" t="s">
        <v>2544</v>
      </c>
      <c r="F42" s="3039"/>
      <c r="G42" s="3040"/>
    </row>
    <row r="43" spans="1:13">
      <c r="A43" s="3041" t="s">
        <v>2545</v>
      </c>
      <c r="B43" s="3042" t="s">
        <v>2546</v>
      </c>
      <c r="C43" s="3043" t="s">
        <v>2547</v>
      </c>
      <c r="D43" s="3043" t="s">
        <v>2548</v>
      </c>
      <c r="E43" s="3044" t="s">
        <v>2549</v>
      </c>
      <c r="F43" s="3045"/>
      <c r="G43" s="3046"/>
      <c r="I43" s="3053" t="s">
        <v>2557</v>
      </c>
      <c r="J43" s="3053" t="s">
        <v>2568</v>
      </c>
    </row>
    <row r="44" spans="1:13">
      <c r="A44" s="3041" t="s">
        <v>2550</v>
      </c>
      <c r="B44" s="3042" t="s">
        <v>2551</v>
      </c>
      <c r="C44" s="3043" t="s">
        <v>2552</v>
      </c>
      <c r="D44" s="3047">
        <v>0.5</v>
      </c>
      <c r="E44" s="3044" t="s">
        <v>2553</v>
      </c>
      <c r="F44" s="3045"/>
      <c r="G44" s="3046"/>
      <c r="I44" s="3053">
        <v>30</v>
      </c>
      <c r="J44" s="3053">
        <v>81.7</v>
      </c>
    </row>
    <row r="45" spans="1:13" ht="14.25" thickBot="1">
      <c r="A45" s="3048" t="s">
        <v>2554</v>
      </c>
      <c r="B45" s="3049" t="s">
        <v>2541</v>
      </c>
      <c r="C45" s="3050" t="s">
        <v>2541</v>
      </c>
      <c r="D45" s="3050" t="s">
        <v>2555</v>
      </c>
      <c r="E45" s="3051" t="s">
        <v>2556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G31" sqref="G3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44" t="str">
        <f>IF(B10="北京市","北京市",C10)&amp;F10&amp;IF(结果表!G1="在建","出让国有建设用地使用权及在建建筑物",IF(结果表!G1="土地","出让国有建设用地使用权",))&amp;B9&amp;"预评估"</f>
        <v>北京市房地产抵押价值预评估</v>
      </c>
      <c r="C1" s="3545"/>
      <c r="D1" s="3545"/>
      <c r="E1" s="3545"/>
      <c r="F1" s="3545"/>
      <c r="G1" s="3545"/>
      <c r="H1" s="3545"/>
      <c r="I1" s="3546"/>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45565</v>
      </c>
      <c r="C3" s="2372" t="s">
        <v>2170</v>
      </c>
      <c r="D3" s="2371">
        <f>B3</f>
        <v>45565</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9" t="s">
        <v>2171</v>
      </c>
      <c r="B4" s="2373" t="s">
        <v>3405</v>
      </c>
      <c r="C4" s="2374">
        <f ca="1">SUMIF(注册房地产估价师,B4,估价师及机构信息!B3:B24)</f>
        <v>1419970001</v>
      </c>
      <c r="D4" s="2373" t="s">
        <v>3406</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2172</v>
      </c>
      <c r="B5" s="3455" t="s">
        <v>3408</v>
      </c>
      <c r="C5" s="2378"/>
      <c r="D5" s="2379"/>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3407</v>
      </c>
      <c r="C8" s="2387"/>
      <c r="D8" s="3547" t="s">
        <v>2176</v>
      </c>
      <c r="E8" s="2388" t="s">
        <v>3409</v>
      </c>
      <c r="F8" s="2389"/>
      <c r="G8" s="2660"/>
      <c r="H8" s="2660"/>
      <c r="I8" s="2660"/>
      <c r="J8" s="2436"/>
      <c r="K8" s="2611"/>
      <c r="L8" s="2610"/>
      <c r="M8" s="2610"/>
      <c r="N8" s="2436"/>
      <c r="O8" s="2447"/>
      <c r="P8" s="2436"/>
      <c r="Q8" s="2436"/>
      <c r="R8" s="2436"/>
    </row>
    <row r="9" spans="1:30" ht="13.5" thickBot="1">
      <c r="A9" s="2390" t="s">
        <v>2177</v>
      </c>
      <c r="B9" s="2391" t="s">
        <v>3409</v>
      </c>
      <c r="C9" s="2392"/>
      <c r="D9" s="3548"/>
      <c r="E9" s="2391"/>
      <c r="F9" s="2393"/>
      <c r="G9" s="2662"/>
      <c r="H9" s="2662"/>
      <c r="I9" s="2662"/>
      <c r="J9" s="2436"/>
      <c r="K9" s="2613"/>
      <c r="L9" s="2610"/>
      <c r="M9" s="2610"/>
      <c r="N9" s="2436"/>
      <c r="O9" s="2447"/>
      <c r="P9" s="2436"/>
      <c r="Q9" s="2436"/>
      <c r="R9" s="2436"/>
    </row>
    <row r="10" spans="1:30" ht="13.5" thickTop="1">
      <c r="A10" s="2394" t="s">
        <v>2178</v>
      </c>
      <c r="B10" s="2395" t="s">
        <v>3410</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3411</v>
      </c>
      <c r="C11" s="2400"/>
      <c r="D11" s="2401"/>
      <c r="E11" s="2368"/>
      <c r="F11" s="2368"/>
      <c r="G11" s="2368"/>
      <c r="H11" s="2368"/>
      <c r="I11" s="2368"/>
      <c r="J11" s="3056"/>
      <c r="K11" s="3055"/>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4" t="s">
        <v>2569</v>
      </c>
      <c r="J12" s="3057"/>
      <c r="K12" s="2610"/>
      <c r="L12" s="2610"/>
      <c r="M12" s="2436"/>
      <c r="N12" s="2447"/>
      <c r="O12" s="2436"/>
      <c r="P12" s="2436"/>
      <c r="Q12" s="2436"/>
      <c r="AD12" s="1743"/>
    </row>
    <row r="13" spans="1:30">
      <c r="A13" s="3418" t="s">
        <v>3324</v>
      </c>
      <c r="B13" s="2404" t="s">
        <v>2189</v>
      </c>
      <c r="C13" s="855"/>
      <c r="D13" s="855">
        <v>57777</v>
      </c>
      <c r="E13" s="855"/>
      <c r="F13" s="855">
        <v>61430</v>
      </c>
      <c r="G13" s="855"/>
      <c r="H13" s="855"/>
      <c r="I13" s="855"/>
      <c r="J13" s="3057"/>
      <c r="K13" s="2610"/>
      <c r="L13" s="2610"/>
      <c r="M13" s="2436"/>
      <c r="N13" s="2447"/>
      <c r="O13" s="2436"/>
      <c r="P13" s="2436"/>
      <c r="Q13" s="2436"/>
      <c r="AD13" s="1743"/>
    </row>
    <row r="14" spans="1:30">
      <c r="A14" s="1080"/>
      <c r="B14" s="2404" t="s">
        <v>2190</v>
      </c>
      <c r="C14" s="2405"/>
      <c r="D14" s="2405">
        <v>40</v>
      </c>
      <c r="E14" s="2405"/>
      <c r="F14" s="2405">
        <v>50</v>
      </c>
      <c r="G14" s="2405"/>
      <c r="H14" s="2405"/>
      <c r="I14" s="2405"/>
      <c r="J14" s="3058"/>
      <c r="K14" s="2610"/>
      <c r="L14" s="2610"/>
      <c r="M14" s="2436"/>
      <c r="N14" s="2447"/>
      <c r="O14" s="2436"/>
      <c r="P14" s="2436"/>
      <c r="Q14" s="2436"/>
      <c r="AD14" s="1743"/>
    </row>
    <row r="15" spans="1:30">
      <c r="A15" s="319"/>
      <c r="B15" s="2406" t="s">
        <v>2191</v>
      </c>
      <c r="C15" s="2407" t="str">
        <f>IF(A13="出让",IF(C13="","",ROUNDDOWN(MIN((C13-$D$3)/365,C14),2)),C14)</f>
        <v/>
      </c>
      <c r="D15" s="2407">
        <f>IF(A13="出让",IF(D13="","",ROUNDDOWN(MIN((D13-$D$3)/365,D14),2)),D14)</f>
        <v>33.450000000000003</v>
      </c>
      <c r="E15" s="2407" t="str">
        <f>IF(A13="出让",IF(E13="","",ROUNDDOWN(MIN((E13-$D$3)/365,E14),2)),E14)</f>
        <v/>
      </c>
      <c r="F15" s="2407">
        <f>IF(A13="出让",IF(F13="","",ROUNDDOWN(MIN((F13-$D$3)/365,F14),2)),F14)</f>
        <v>43.46</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3"/>
    </row>
    <row r="16" spans="1:30">
      <c r="A16" s="2397" t="s">
        <v>2192</v>
      </c>
      <c r="B16" s="3554"/>
      <c r="C16" s="3555"/>
      <c r="D16" s="3556"/>
      <c r="E16" s="2410" t="s">
        <v>2193</v>
      </c>
      <c r="F16" s="3557"/>
      <c r="G16" s="3558"/>
      <c r="H16" s="3558"/>
      <c r="I16" s="3559"/>
      <c r="J16" s="2436"/>
      <c r="K16" s="2614"/>
      <c r="L16" s="2448"/>
      <c r="M16" s="2448"/>
      <c r="N16" s="2506"/>
      <c r="O16" s="2448"/>
      <c r="P16" s="2506"/>
      <c r="Q16" s="2436"/>
      <c r="R16" s="2436"/>
    </row>
    <row r="17" spans="1:28">
      <c r="A17" s="312" t="s">
        <v>2194</v>
      </c>
      <c r="B17" s="301" t="s">
        <v>2195</v>
      </c>
      <c r="C17" s="8">
        <f>'数据-汇总表'!E3</f>
        <v>33618.589999999997</v>
      </c>
      <c r="D17" s="2320" t="s">
        <v>2196</v>
      </c>
      <c r="E17" s="3560" t="s">
        <v>2197</v>
      </c>
      <c r="F17" s="3561"/>
      <c r="G17" s="3561"/>
      <c r="H17" s="3561"/>
      <c r="I17" s="3562"/>
      <c r="J17" s="2436"/>
      <c r="K17" s="2615"/>
      <c r="L17" s="2448"/>
      <c r="M17" s="2448"/>
      <c r="N17" s="2506"/>
      <c r="O17" s="2448"/>
      <c r="P17" s="2506"/>
      <c r="Q17" s="2436"/>
      <c r="R17" s="2436"/>
      <c r="S17" s="2436"/>
      <c r="T17" s="2436"/>
      <c r="U17" s="2436"/>
      <c r="V17" s="2436"/>
    </row>
    <row r="18" spans="1:28" ht="24.75" thickBot="1">
      <c r="A18" s="2411" t="s">
        <v>2198</v>
      </c>
      <c r="B18" s="1089" t="s">
        <v>2199</v>
      </c>
      <c r="C18" s="2412">
        <f>'数据-汇总表'!D3</f>
        <v>22981.55</v>
      </c>
      <c r="D18" s="1091" t="s">
        <v>2200</v>
      </c>
      <c r="E18" s="3563" t="s">
        <v>2201</v>
      </c>
      <c r="F18" s="3564"/>
      <c r="G18" s="3564"/>
      <c r="H18" s="3564"/>
      <c r="I18" s="3565"/>
      <c r="J18" s="2436"/>
      <c r="K18" s="2615"/>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50" t="s">
        <v>2205</v>
      </c>
      <c r="C20" s="3551"/>
      <c r="D20" s="3552" t="s">
        <v>2206</v>
      </c>
      <c r="E20" s="3553"/>
      <c r="F20" s="2644" t="s">
        <v>1056</v>
      </c>
      <c r="G20" s="2661"/>
      <c r="H20" s="2661"/>
      <c r="I20" s="2661"/>
      <c r="J20" s="2436"/>
      <c r="K20" s="354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4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4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7" t="s">
        <v>2213</v>
      </c>
      <c r="B27" s="319" t="s">
        <v>2214</v>
      </c>
      <c r="C27" s="2413" t="s">
        <v>3412</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7"/>
      <c r="B28" s="301" t="s">
        <v>2215</v>
      </c>
      <c r="C28" s="2415" t="s">
        <v>3413</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7"/>
      <c r="B29" s="301" t="s">
        <v>2216</v>
      </c>
      <c r="C29" s="2417" t="s">
        <v>3414</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8"/>
      <c r="B30" s="301" t="s">
        <v>2217</v>
      </c>
      <c r="C30" s="3539"/>
      <c r="D30" s="3540"/>
      <c r="E30" s="2661"/>
      <c r="F30" s="2661"/>
      <c r="G30" s="2661"/>
      <c r="H30" s="2661"/>
      <c r="I30" s="2661"/>
      <c r="J30" s="2436"/>
      <c r="K30" s="2613"/>
      <c r="L30" s="2610"/>
      <c r="M30" s="2610"/>
      <c r="N30" s="2436"/>
      <c r="O30" s="2447"/>
      <c r="P30" s="2436"/>
      <c r="Q30" s="2436"/>
      <c r="R30" s="2436"/>
      <c r="S30" s="2436"/>
      <c r="T30" s="2436"/>
      <c r="U30" s="2436"/>
      <c r="V30" s="2436"/>
    </row>
    <row r="31" spans="1:28">
      <c r="A31" s="3541" t="s">
        <v>2218</v>
      </c>
      <c r="B31" s="2419" t="s">
        <v>3415</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42"/>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42"/>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4"/>
      <c r="C34" s="2024"/>
      <c r="D34" s="2024"/>
      <c r="E34" s="2024"/>
      <c r="F34" s="2024"/>
      <c r="G34" s="2024"/>
      <c r="H34" s="2024"/>
      <c r="I34" s="2661"/>
      <c r="J34" s="2436"/>
      <c r="K34" s="2424">
        <f>COUNTIF(B34:H34,"——")</f>
        <v>0</v>
      </c>
      <c r="L34" s="322" t="s">
        <v>2220</v>
      </c>
      <c r="M34" s="322" t="s">
        <v>2221</v>
      </c>
      <c r="N34" s="322" t="s">
        <v>2222</v>
      </c>
      <c r="O34" s="322" t="s">
        <v>2223</v>
      </c>
      <c r="P34" s="322" t="s">
        <v>2224</v>
      </c>
      <c r="Q34" s="322" t="s">
        <v>2225</v>
      </c>
      <c r="R34" s="322" t="s">
        <v>2226</v>
      </c>
      <c r="S34" s="3536" t="s">
        <v>2227</v>
      </c>
      <c r="T34" s="2425" t="str">
        <f>NUMBERSTRING(7-K34,1)&amp;"通"</f>
        <v>七通</v>
      </c>
      <c r="U34" s="2436"/>
      <c r="V34" s="2436"/>
    </row>
    <row r="35" spans="1:30">
      <c r="A35" s="2426"/>
      <c r="B35" s="3543" t="s">
        <v>2228</v>
      </c>
      <c r="C35" s="3543"/>
      <c r="D35" s="3543"/>
      <c r="E35" s="3543"/>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6"/>
      <c r="T35" s="328" t="str">
        <f>IF(T34="一通",L35,IF(T34="二通",M35,IF(T34="三通",N35,IF(T34="四通",O35,IF(T34="五通",P35,IF(T34="六通",Q35,R35))))))</f>
        <v>、、、、、、</v>
      </c>
      <c r="U35" s="2436"/>
      <c r="V35" s="2436"/>
    </row>
    <row r="36" spans="1:30">
      <c r="A36" s="2427"/>
      <c r="B36" s="663" t="s">
        <v>2184</v>
      </c>
      <c r="C36" s="663" t="s">
        <v>2185</v>
      </c>
      <c r="D36" s="663" t="s">
        <v>2183</v>
      </c>
      <c r="E36" s="663" t="s">
        <v>2188</v>
      </c>
      <c r="F36" s="3060" t="s">
        <v>2572</v>
      </c>
      <c r="G36" s="2661"/>
      <c r="H36" s="2661"/>
      <c r="I36" s="2661"/>
      <c r="J36" s="2436"/>
      <c r="K36" s="2613"/>
      <c r="L36" s="2610"/>
      <c r="M36" s="2610"/>
      <c r="N36" s="2436"/>
      <c r="O36" s="2447"/>
      <c r="P36" s="2436"/>
      <c r="Q36" s="2436"/>
      <c r="R36" s="2436"/>
      <c r="S36" s="2436"/>
      <c r="T36" s="2436"/>
      <c r="U36" s="2436"/>
      <c r="V36" s="2436"/>
    </row>
    <row r="37" spans="1:30">
      <c r="A37" s="2627" t="s">
        <v>2229</v>
      </c>
      <c r="B37" s="2428" t="s">
        <v>369</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229</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3490">
        <f>面积整理!L9</f>
        <v>22981.550000000003</v>
      </c>
      <c r="B3" s="10">
        <f>IF(C3="否",G5-AT5,G5)</f>
        <v>33618.589999999997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1" t="s">
        <v>1071</v>
      </c>
      <c r="B5" s="1345"/>
      <c r="C5" s="1345"/>
      <c r="D5" s="1347"/>
      <c r="E5" s="12" t="s">
        <v>0</v>
      </c>
      <c r="F5" s="12">
        <f>SUM(F13:F587)</f>
        <v>0</v>
      </c>
      <c r="G5" s="12">
        <f>SUM(G13:G587)</f>
        <v>33618.589999999997</v>
      </c>
      <c r="H5" s="12">
        <f t="shared" ref="H5:AT5" si="0">SUM(H13:H656)</f>
        <v>33618.589999999997</v>
      </c>
      <c r="I5" s="12">
        <f t="shared" si="0"/>
        <v>22613.18</v>
      </c>
      <c r="J5" s="12">
        <f t="shared" si="0"/>
        <v>0</v>
      </c>
      <c r="K5" s="12">
        <f t="shared" si="0"/>
        <v>11005.41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4"/>
      <c r="AV5" s="11" t="s">
        <v>1071</v>
      </c>
      <c r="AW5" s="1345"/>
      <c r="AX5" s="1345"/>
      <c r="AY5" s="13" t="s">
        <v>2</v>
      </c>
      <c r="AZ5" s="14">
        <f t="shared" ref="AZ5:BT5" si="1">SUM(AZ13:AZ656)</f>
        <v>33618.589999999997</v>
      </c>
      <c r="BA5" s="14">
        <f t="shared" si="1"/>
        <v>33618.589999999997</v>
      </c>
      <c r="BB5" s="14">
        <f t="shared" si="1"/>
        <v>22613.18</v>
      </c>
      <c r="BC5" s="14">
        <f t="shared" si="1"/>
        <v>11005.41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7" customFormat="1" ht="12.75">
      <c r="A6" s="11" t="s">
        <v>1072</v>
      </c>
      <c r="B6" s="1584"/>
      <c r="C6" s="1584"/>
      <c r="D6" s="1585"/>
      <c r="E6" s="12">
        <f>H6+AC6+AT6</f>
        <v>22981.550000000003</v>
      </c>
      <c r="F6" s="12" t="s">
        <v>0</v>
      </c>
      <c r="G6" s="12" t="s">
        <v>1</v>
      </c>
      <c r="H6" s="16">
        <f>SUMIF(I$12:AB$12,"总值",I6:AB6)</f>
        <v>22981.550000000003</v>
      </c>
      <c r="I6" s="12">
        <f t="shared" ref="I6:AB6" si="2">ROUND($A$3*I5/$B$3,2)</f>
        <v>15458.29</v>
      </c>
      <c r="J6" s="12">
        <f t="shared" si="2"/>
        <v>0</v>
      </c>
      <c r="K6" s="12">
        <f t="shared" si="2"/>
        <v>7523.26</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6"/>
      <c r="AV6" s="11" t="s">
        <v>1072</v>
      </c>
      <c r="AW6" s="1584"/>
      <c r="AX6" s="1584"/>
      <c r="AY6" s="17">
        <f>IF(AY3&gt;0,AY3,ROUND($A$3*AZ5/$B$3,2))</f>
        <v>22981.55</v>
      </c>
      <c r="AZ6" s="12" t="s">
        <v>2</v>
      </c>
      <c r="BA6" s="12">
        <f>ROUND($AY$6*BA5/$AZ$5,2)</f>
        <v>22981.55</v>
      </c>
      <c r="BB6" s="12">
        <f>ROUND($AY$6*BB5/$AZ$5,2)</f>
        <v>15458.29</v>
      </c>
      <c r="BC6" s="12">
        <f t="shared" ref="BC6:BH6" si="4">ROUND($AY$6*BC5/$AZ$5,2)</f>
        <v>7523.26</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19" t="s">
        <v>1081</v>
      </c>
      <c r="AW7" s="1576" t="s">
        <v>1082</v>
      </c>
      <c r="AX7" s="19"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2"/>
    </row>
    <row r="9" spans="1:72" s="1599" customFormat="1" ht="12.75">
      <c r="A9" s="1592"/>
      <c r="B9" s="1592"/>
      <c r="C9" s="1592"/>
      <c r="D9" s="1592"/>
      <c r="E9" s="1592"/>
      <c r="F9" s="1592"/>
      <c r="G9" s="1069"/>
      <c r="H9" s="1600" t="s">
        <v>1091</v>
      </c>
      <c r="I9" s="1601" t="s">
        <v>3449</v>
      </c>
      <c r="J9" s="808"/>
      <c r="K9" s="1601" t="s">
        <v>3451</v>
      </c>
      <c r="L9" s="808"/>
      <c r="M9" s="1601"/>
      <c r="N9" s="808"/>
      <c r="O9" s="1601"/>
      <c r="P9" s="808"/>
      <c r="Q9" s="1601"/>
      <c r="R9" s="808"/>
      <c r="S9" s="1601"/>
      <c r="T9" s="808"/>
      <c r="U9" s="1601"/>
      <c r="V9" s="808"/>
      <c r="W9" s="1601"/>
      <c r="X9" s="1602"/>
      <c r="Y9" s="1601"/>
      <c r="Z9" s="808"/>
      <c r="AA9" s="1601"/>
      <c r="AB9" s="808"/>
      <c r="AC9" s="1593" t="s">
        <v>1091</v>
      </c>
      <c r="AD9" s="11" t="s">
        <v>1092</v>
      </c>
      <c r="AE9" s="1075"/>
      <c r="AF9" s="11" t="s">
        <v>1093</v>
      </c>
      <c r="AG9" s="1075"/>
      <c r="AH9" s="11" t="s">
        <v>1092</v>
      </c>
      <c r="AI9" s="1075"/>
      <c r="AJ9" s="11" t="s">
        <v>1093</v>
      </c>
      <c r="AK9" s="1075"/>
      <c r="AL9" s="11" t="s">
        <v>1092</v>
      </c>
      <c r="AM9" s="1075"/>
      <c r="AN9" s="11" t="s">
        <v>1093</v>
      </c>
      <c r="AO9" s="1075"/>
      <c r="AP9" s="11" t="s">
        <v>1092</v>
      </c>
      <c r="AQ9" s="1075"/>
      <c r="AR9" s="11" t="s">
        <v>1093</v>
      </c>
      <c r="AS9" s="1603"/>
      <c r="AT9" s="1592"/>
      <c r="AU9" s="1592" t="s">
        <v>1094</v>
      </c>
      <c r="AV9" s="1069"/>
      <c r="AW9" s="1575"/>
      <c r="AX9" s="1069"/>
      <c r="AY9" s="24"/>
      <c r="AZ9" s="24" t="s">
        <v>1084</v>
      </c>
      <c r="BA9" s="1604" t="s">
        <v>1095</v>
      </c>
      <c r="BB9" s="1605"/>
      <c r="BC9" s="1087"/>
      <c r="BD9" s="1087"/>
      <c r="BE9" s="1087"/>
      <c r="BF9" s="1087"/>
      <c r="BG9" s="1087"/>
      <c r="BH9" s="1087"/>
      <c r="BI9" s="1087"/>
      <c r="BJ9" s="1087"/>
      <c r="BK9" s="1606"/>
      <c r="BL9" s="11" t="s">
        <v>1096</v>
      </c>
      <c r="BM9" s="1358"/>
      <c r="BN9" s="1595"/>
      <c r="BO9" s="1358"/>
      <c r="BP9" s="1358"/>
      <c r="BQ9" s="1358"/>
      <c r="BR9" s="1358"/>
      <c r="BS9" s="1358"/>
      <c r="BT9" s="22"/>
    </row>
    <row r="10" spans="1:72" s="1599" customFormat="1" ht="12.75">
      <c r="A10" s="1592"/>
      <c r="B10" s="1592"/>
      <c r="C10" s="1592"/>
      <c r="D10" s="1592"/>
      <c r="E10" s="1592"/>
      <c r="F10" s="1592"/>
      <c r="G10" s="1069"/>
      <c r="H10" s="24"/>
      <c r="I10" s="1601" t="s">
        <v>673</v>
      </c>
      <c r="J10" s="808"/>
      <c r="K10" s="1607" t="s">
        <v>3455</v>
      </c>
      <c r="L10" s="808"/>
      <c r="M10" s="1607"/>
      <c r="N10" s="808"/>
      <c r="O10" s="1607"/>
      <c r="P10" s="808"/>
      <c r="Q10" s="1607"/>
      <c r="R10" s="808"/>
      <c r="S10" s="1607"/>
      <c r="T10" s="808"/>
      <c r="U10" s="1607"/>
      <c r="V10" s="808"/>
      <c r="W10" s="1607"/>
      <c r="X10" s="808"/>
      <c r="Y10" s="1607"/>
      <c r="Z10" s="808"/>
      <c r="AA10" s="1607"/>
      <c r="AB10" s="808"/>
      <c r="AC10" s="1069"/>
      <c r="AD10" s="11" t="s">
        <v>1097</v>
      </c>
      <c r="AE10" s="1608"/>
      <c r="AF10" s="11" t="s">
        <v>1097</v>
      </c>
      <c r="AG10" s="1608"/>
      <c r="AH10" s="11" t="s">
        <v>1098</v>
      </c>
      <c r="AI10" s="1608"/>
      <c r="AJ10" s="11" t="s">
        <v>1098</v>
      </c>
      <c r="AK10" s="1608"/>
      <c r="AL10" s="11" t="s">
        <v>1099</v>
      </c>
      <c r="AM10" s="1075"/>
      <c r="AN10" s="11" t="s">
        <v>1099</v>
      </c>
      <c r="AO10" s="1075"/>
      <c r="AP10" s="11" t="s">
        <v>1100</v>
      </c>
      <c r="AQ10" s="1075"/>
      <c r="AR10" s="11" t="s">
        <v>1100</v>
      </c>
      <c r="AS10" s="1075"/>
      <c r="AT10" s="1592"/>
      <c r="AU10" s="1592"/>
      <c r="AV10" s="1069"/>
      <c r="AW10" s="1575"/>
      <c r="AX10" s="1069"/>
      <c r="AY10" s="24"/>
      <c r="AZ10" s="24"/>
      <c r="BA10" s="1609" t="s">
        <v>1091</v>
      </c>
      <c r="BB10" s="1610" t="str">
        <f>I9</f>
        <v>地上</v>
      </c>
      <c r="BC10" s="25" t="str">
        <f>K9</f>
        <v>地下</v>
      </c>
      <c r="BD10" s="25">
        <f>M9</f>
        <v>0</v>
      </c>
      <c r="BE10" s="25">
        <f>O9</f>
        <v>0</v>
      </c>
      <c r="BF10" s="25">
        <f>Q9</f>
        <v>0</v>
      </c>
      <c r="BG10" s="25">
        <f>S9</f>
        <v>0</v>
      </c>
      <c r="BH10" s="25">
        <f>U9</f>
        <v>0</v>
      </c>
      <c r="BI10" s="25">
        <f>W9</f>
        <v>0</v>
      </c>
      <c r="BJ10" s="25">
        <f>Y9</f>
        <v>0</v>
      </c>
      <c r="BK10" s="25">
        <f>AA9</f>
        <v>0</v>
      </c>
      <c r="BL10" s="21" t="s">
        <v>1091</v>
      </c>
      <c r="BM10" s="1357" t="str">
        <f>AD9</f>
        <v>地上</v>
      </c>
      <c r="BN10" s="25" t="str">
        <f>AF9</f>
        <v>地下</v>
      </c>
      <c r="BO10" s="1357" t="str">
        <f>AH9</f>
        <v>地上</v>
      </c>
      <c r="BP10" s="25" t="str">
        <f>AJ9</f>
        <v>地下</v>
      </c>
      <c r="BQ10" s="1357" t="str">
        <f>AL9</f>
        <v>地上</v>
      </c>
      <c r="BR10" s="25" t="str">
        <f>AN9</f>
        <v>地下</v>
      </c>
      <c r="BS10" s="1357" t="str">
        <f>AP9</f>
        <v>地上</v>
      </c>
      <c r="BT10" s="1611" t="str">
        <f>AR9</f>
        <v>地下</v>
      </c>
    </row>
    <row r="11" spans="1:72" s="1599" customFormat="1" ht="12.75">
      <c r="A11" s="1592"/>
      <c r="B11" s="1592"/>
      <c r="C11" s="1592"/>
      <c r="D11" s="1592"/>
      <c r="E11" s="1592"/>
      <c r="F11" s="1592"/>
      <c r="G11" s="1069"/>
      <c r="H11" s="1609"/>
      <c r="I11" s="1612" t="s">
        <v>3454</v>
      </c>
      <c r="J11" s="1613"/>
      <c r="K11" s="1612" t="s">
        <v>3325</v>
      </c>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4"/>
      <c r="AZ11" s="24"/>
      <c r="BA11" s="24"/>
      <c r="BB11" s="1597" t="str">
        <f>I10</f>
        <v>商业</v>
      </c>
      <c r="BC11" s="1597" t="str">
        <f>K10</f>
        <v>车库—商业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0" t="str">
        <f>AH10</f>
        <v>物业管理用房</v>
      </c>
      <c r="BP11" s="20" t="str">
        <f>AJ10</f>
        <v>物业管理用房</v>
      </c>
      <c r="BQ11" s="20" t="str">
        <f>AL10</f>
        <v>设备及其他</v>
      </c>
      <c r="BR11" s="20" t="str">
        <f>AN10</f>
        <v>设备及其他</v>
      </c>
      <c r="BS11" s="21" t="str">
        <f>AP10</f>
        <v>未注明</v>
      </c>
      <c r="BT11" s="1616" t="str">
        <f>AR10</f>
        <v>未注明</v>
      </c>
    </row>
    <row r="12" spans="1:72" s="1577" customFormat="1" ht="12.75">
      <c r="A12" s="1617"/>
      <c r="B12" s="1617"/>
      <c r="C12" s="1617"/>
      <c r="D12" s="1617"/>
      <c r="E12" s="1617"/>
      <c r="F12" s="1617"/>
      <c r="G12" s="26"/>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7" t="s">
        <v>1104</v>
      </c>
      <c r="AT12" s="1620"/>
      <c r="AU12" s="1617"/>
      <c r="AV12" s="27"/>
      <c r="AW12" s="1576"/>
      <c r="AX12" s="27"/>
      <c r="AY12" s="1621"/>
      <c r="AZ12" s="24"/>
      <c r="BA12" s="1609"/>
      <c r="BB12" s="20" t="str">
        <f>I11</f>
        <v>酒店</v>
      </c>
      <c r="BC12" s="1622" t="str">
        <f>K11</f>
        <v>车库</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0" t="str">
        <f>AH11</f>
        <v>（住宅、计出让金）</v>
      </c>
      <c r="BP12" s="20" t="str">
        <f>AJ11</f>
        <v>（住宅、计出让金）</v>
      </c>
      <c r="BQ12" s="20">
        <f>AL11</f>
        <v>0</v>
      </c>
      <c r="BR12" s="20">
        <f>AN11</f>
        <v>0</v>
      </c>
      <c r="BS12" s="21">
        <f>AP11</f>
        <v>0</v>
      </c>
      <c r="BT12" s="1616">
        <f>AR11</f>
        <v>0</v>
      </c>
    </row>
    <row r="13" spans="1:72" s="1577" customFormat="1" ht="12.75">
      <c r="A13" s="1050"/>
      <c r="B13" s="1050"/>
      <c r="C13" s="1050"/>
      <c r="D13" s="1623" t="s">
        <v>3453</v>
      </c>
      <c r="E13" s="12">
        <f>IF($C$3="是",ROUND($A$3*G13/$B$3,2),ROUND($A$3*(G13-AT13)/$B$3,2))</f>
        <v>22981.55</v>
      </c>
      <c r="F13" s="28"/>
      <c r="G13" s="29">
        <f>H13+AC13+AT13</f>
        <v>33618.589999999997</v>
      </c>
      <c r="H13" s="16">
        <f>SUMIF(I$12:AB$12,"总值",I13:AB13)</f>
        <v>33618.589999999997</v>
      </c>
      <c r="I13" s="1624">
        <f>面积整理!G7</f>
        <v>22613.18</v>
      </c>
      <c r="J13" s="1624"/>
      <c r="K13" s="1624">
        <f>面积整理!G8</f>
        <v>11005.41</v>
      </c>
      <c r="L13" s="1624"/>
      <c r="M13" s="1624"/>
      <c r="N13" s="1624"/>
      <c r="O13" s="1624"/>
      <c r="P13" s="1624"/>
      <c r="Q13" s="1624"/>
      <c r="R13" s="1624"/>
      <c r="S13" s="1624"/>
      <c r="T13" s="1624"/>
      <c r="U13" s="1624"/>
      <c r="V13" s="1624"/>
      <c r="W13" s="1624"/>
      <c r="X13" s="1624"/>
      <c r="Y13" s="1624"/>
      <c r="Z13" s="1624"/>
      <c r="AA13" s="1624"/>
      <c r="AB13" s="1624"/>
      <c r="AC13" s="12">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22981.55</v>
      </c>
      <c r="AZ13" s="12">
        <f>BA13+BL13</f>
        <v>33618.589999999997</v>
      </c>
      <c r="BA13" s="12">
        <f>SUM(BB13:BK13)</f>
        <v>33618.589999999997</v>
      </c>
      <c r="BB13" s="12">
        <f>IF($D13="是",I13-J13,0)</f>
        <v>22613.18</v>
      </c>
      <c r="BC13" s="12">
        <f>IF($D13="是",K13-L13,0)</f>
        <v>11005.41</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7" customFormat="1" ht="12.75">
      <c r="A14" s="1050"/>
      <c r="B14" s="1050"/>
      <c r="C14" s="1568"/>
      <c r="D14" s="1623"/>
      <c r="E14" s="12">
        <f>IF($C$3="是",ROUND($A$3*G14/$B$3,2),ROUND($A$3*(G14-AT14)/$B$3,2))</f>
        <v>0</v>
      </c>
      <c r="F14" s="28"/>
      <c r="G14" s="29">
        <f>H14+AC14+AT14</f>
        <v>0</v>
      </c>
      <c r="H14" s="16">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2">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7" customFormat="1" ht="12.75">
      <c r="A15" s="1050"/>
      <c r="B15" s="1050"/>
      <c r="C15" s="1568"/>
      <c r="D15" s="1623"/>
      <c r="E15" s="12">
        <f>IF($C$3="是",ROUND($A$3*G15/$B$3,2),ROUND($A$3*(G15-AT15)/$B$3,2))</f>
        <v>0</v>
      </c>
      <c r="F15" s="28"/>
      <c r="G15" s="29">
        <f>H15+AC15+AT15</f>
        <v>0</v>
      </c>
      <c r="H15" s="16">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2">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7" customFormat="1" ht="12.75">
      <c r="A16" s="1050"/>
      <c r="B16" s="1050"/>
      <c r="C16" s="1568"/>
      <c r="D16" s="1623"/>
      <c r="E16" s="12">
        <f>IF($C$3="是",ROUND($A$3*G16/$B$3,2),ROUND($A$3*(G16-AT16)/$B$3,2))</f>
        <v>0</v>
      </c>
      <c r="F16" s="28"/>
      <c r="G16" s="29">
        <f>H16+AC16+AT16</f>
        <v>0</v>
      </c>
      <c r="H16" s="16">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2">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7" customFormat="1" ht="12.75">
      <c r="A17" s="1050"/>
      <c r="B17" s="1050"/>
      <c r="C17" s="1568"/>
      <c r="D17" s="1623"/>
      <c r="E17" s="12">
        <f>IF($C$3="是",ROUND($A$3*G17/$B$3,2),ROUND($A$3*(G17-AT17)/$B$3,2))</f>
        <v>0</v>
      </c>
      <c r="F17" s="28"/>
      <c r="G17" s="29">
        <f>H17+AC17+AT17</f>
        <v>0</v>
      </c>
      <c r="H17" s="16">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2">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8"/>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9"/>
      <c r="AV18" s="1341">
        <f t="shared" ref="AV18:AV112" si="11">A18</f>
        <v>0</v>
      </c>
      <c r="AW18" s="1341">
        <f t="shared" ref="AW18:AW112" si="12">B18</f>
        <v>0</v>
      </c>
      <c r="AX18" s="1341">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8"/>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9"/>
      <c r="AV19" s="1341">
        <f t="shared" si="11"/>
        <v>0</v>
      </c>
      <c r="AW19" s="1341">
        <f t="shared" si="12"/>
        <v>0</v>
      </c>
      <c r="AX19" s="1341">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8"/>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9"/>
      <c r="AV20" s="1341">
        <f t="shared" si="11"/>
        <v>0</v>
      </c>
      <c r="AW20" s="1341">
        <f t="shared" si="12"/>
        <v>0</v>
      </c>
      <c r="AX20" s="1341">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8"/>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9"/>
      <c r="AV21" s="1341">
        <f t="shared" si="11"/>
        <v>0</v>
      </c>
      <c r="AW21" s="1341">
        <f t="shared" si="12"/>
        <v>0</v>
      </c>
      <c r="AX21" s="1341">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8"/>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9"/>
      <c r="AV22" s="1341">
        <f t="shared" si="11"/>
        <v>0</v>
      </c>
      <c r="AW22" s="1341">
        <f t="shared" si="12"/>
        <v>0</v>
      </c>
      <c r="AX22" s="1341">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8"/>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9"/>
      <c r="AV23" s="1341">
        <f t="shared" si="11"/>
        <v>0</v>
      </c>
      <c r="AW23" s="1341">
        <f t="shared" si="12"/>
        <v>0</v>
      </c>
      <c r="AX23" s="1341">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8"/>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9"/>
      <c r="AV24" s="1341">
        <f t="shared" si="11"/>
        <v>0</v>
      </c>
      <c r="AW24" s="1341">
        <f t="shared" si="12"/>
        <v>0</v>
      </c>
      <c r="AX24" s="1341">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8"/>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9"/>
      <c r="AV25" s="1341">
        <f t="shared" si="11"/>
        <v>0</v>
      </c>
      <c r="AW25" s="1341">
        <f t="shared" si="12"/>
        <v>0</v>
      </c>
      <c r="AX25" s="1341">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8"/>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9"/>
      <c r="AV26" s="1341">
        <f t="shared" si="11"/>
        <v>0</v>
      </c>
      <c r="AW26" s="1341">
        <f t="shared" si="12"/>
        <v>0</v>
      </c>
      <c r="AX26" s="1341">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8"/>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9"/>
      <c r="AV27" s="1341">
        <f t="shared" si="11"/>
        <v>0</v>
      </c>
      <c r="AW27" s="1341">
        <f t="shared" si="12"/>
        <v>0</v>
      </c>
      <c r="AX27" s="1341">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8"/>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9"/>
      <c r="AV28" s="1341">
        <f t="shared" si="11"/>
        <v>0</v>
      </c>
      <c r="AW28" s="1341">
        <f t="shared" si="12"/>
        <v>0</v>
      </c>
      <c r="AX28" s="1341">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8"/>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9"/>
      <c r="AV29" s="1341">
        <f t="shared" si="11"/>
        <v>0</v>
      </c>
      <c r="AW29" s="1341">
        <f t="shared" si="12"/>
        <v>0</v>
      </c>
      <c r="AX29" s="1341">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8"/>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9"/>
      <c r="AV30" s="1341">
        <f t="shared" si="11"/>
        <v>0</v>
      </c>
      <c r="AW30" s="1341">
        <f t="shared" si="12"/>
        <v>0</v>
      </c>
      <c r="AX30" s="1341">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8"/>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9"/>
      <c r="AV31" s="1341">
        <f t="shared" si="11"/>
        <v>0</v>
      </c>
      <c r="AW31" s="1341">
        <f t="shared" si="12"/>
        <v>0</v>
      </c>
      <c r="AX31" s="1341">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8"/>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9"/>
      <c r="AV32" s="1341">
        <f t="shared" si="11"/>
        <v>0</v>
      </c>
      <c r="AW32" s="1341">
        <f t="shared" si="12"/>
        <v>0</v>
      </c>
      <c r="AX32" s="1341">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8"/>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9"/>
      <c r="AV33" s="1341">
        <f t="shared" si="11"/>
        <v>0</v>
      </c>
      <c r="AW33" s="1341">
        <f t="shared" si="12"/>
        <v>0</v>
      </c>
      <c r="AX33" s="1341">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8"/>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9"/>
      <c r="AV34" s="1341">
        <f t="shared" si="11"/>
        <v>0</v>
      </c>
      <c r="AW34" s="1341">
        <f t="shared" si="12"/>
        <v>0</v>
      </c>
      <c r="AX34" s="1341">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8"/>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9"/>
      <c r="AV35" s="1341">
        <f t="shared" si="11"/>
        <v>0</v>
      </c>
      <c r="AW35" s="1341">
        <f t="shared" si="12"/>
        <v>0</v>
      </c>
      <c r="AX35" s="1341">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8"/>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9"/>
      <c r="AV36" s="1341">
        <f t="shared" si="11"/>
        <v>0</v>
      </c>
      <c r="AW36" s="1341">
        <f t="shared" si="12"/>
        <v>0</v>
      </c>
      <c r="AX36" s="1341">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8"/>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9"/>
      <c r="AV37" s="1341">
        <f t="shared" si="11"/>
        <v>0</v>
      </c>
      <c r="AW37" s="1341">
        <f t="shared" si="12"/>
        <v>0</v>
      </c>
      <c r="AX37" s="1341">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8"/>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9"/>
      <c r="AV38" s="1341">
        <f t="shared" si="11"/>
        <v>0</v>
      </c>
      <c r="AW38" s="1341">
        <f t="shared" si="12"/>
        <v>0</v>
      </c>
      <c r="AX38" s="1341">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8"/>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9"/>
      <c r="AV39" s="1341">
        <f t="shared" si="11"/>
        <v>0</v>
      </c>
      <c r="AW39" s="1341">
        <f t="shared" si="12"/>
        <v>0</v>
      </c>
      <c r="AX39" s="1341">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8"/>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9"/>
      <c r="AV40" s="1341">
        <f t="shared" si="11"/>
        <v>0</v>
      </c>
      <c r="AW40" s="1341">
        <f t="shared" si="12"/>
        <v>0</v>
      </c>
      <c r="AX40" s="1341">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8"/>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9"/>
      <c r="AV41" s="1341">
        <f t="shared" si="11"/>
        <v>0</v>
      </c>
      <c r="AW41" s="1341">
        <f t="shared" si="12"/>
        <v>0</v>
      </c>
      <c r="AX41" s="1341">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8"/>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9"/>
      <c r="AV42" s="1341">
        <f t="shared" si="11"/>
        <v>0</v>
      </c>
      <c r="AW42" s="1341">
        <f t="shared" si="12"/>
        <v>0</v>
      </c>
      <c r="AX42" s="1341">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8"/>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9"/>
      <c r="AV43" s="1341">
        <f t="shared" si="11"/>
        <v>0</v>
      </c>
      <c r="AW43" s="1341">
        <f t="shared" si="12"/>
        <v>0</v>
      </c>
      <c r="AX43" s="1341">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8"/>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9"/>
      <c r="AV44" s="1341">
        <f t="shared" si="11"/>
        <v>0</v>
      </c>
      <c r="AW44" s="1341">
        <f t="shared" si="12"/>
        <v>0</v>
      </c>
      <c r="AX44" s="1341">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8"/>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9"/>
      <c r="AV45" s="1341">
        <f t="shared" si="11"/>
        <v>0</v>
      </c>
      <c r="AW45" s="1341">
        <f t="shared" si="12"/>
        <v>0</v>
      </c>
      <c r="AX45" s="1341">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8"/>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9"/>
      <c r="AV46" s="1341">
        <f t="shared" si="11"/>
        <v>0</v>
      </c>
      <c r="AW46" s="1341">
        <f t="shared" si="12"/>
        <v>0</v>
      </c>
      <c r="AX46" s="1341">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8"/>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9"/>
      <c r="AV47" s="1341">
        <f t="shared" si="11"/>
        <v>0</v>
      </c>
      <c r="AW47" s="1341">
        <f t="shared" si="12"/>
        <v>0</v>
      </c>
      <c r="AX47" s="1341">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8"/>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9"/>
      <c r="AV48" s="1341">
        <f t="shared" si="11"/>
        <v>0</v>
      </c>
      <c r="AW48" s="1341">
        <f t="shared" si="12"/>
        <v>0</v>
      </c>
      <c r="AX48" s="1341">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8"/>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9"/>
      <c r="AV49" s="1341">
        <f t="shared" si="11"/>
        <v>0</v>
      </c>
      <c r="AW49" s="1341">
        <f t="shared" si="12"/>
        <v>0</v>
      </c>
      <c r="AX49" s="1341">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8"/>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9"/>
      <c r="AV50" s="1341">
        <f t="shared" si="11"/>
        <v>0</v>
      </c>
      <c r="AW50" s="1341">
        <f t="shared" si="12"/>
        <v>0</v>
      </c>
      <c r="AX50" s="1341">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8"/>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9"/>
      <c r="AV51" s="1341">
        <f t="shared" si="11"/>
        <v>0</v>
      </c>
      <c r="AW51" s="1341">
        <f t="shared" si="12"/>
        <v>0</v>
      </c>
      <c r="AX51" s="1341">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8"/>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9"/>
      <c r="AV52" s="1341">
        <f t="shared" si="11"/>
        <v>0</v>
      </c>
      <c r="AW52" s="1341">
        <f t="shared" si="12"/>
        <v>0</v>
      </c>
      <c r="AX52" s="1341">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8"/>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9"/>
      <c r="AV53" s="1341">
        <f t="shared" si="11"/>
        <v>0</v>
      </c>
      <c r="AW53" s="1341">
        <f t="shared" si="12"/>
        <v>0</v>
      </c>
      <c r="AX53" s="1341">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8"/>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9"/>
      <c r="AV54" s="1341">
        <f t="shared" si="11"/>
        <v>0</v>
      </c>
      <c r="AW54" s="1341">
        <f t="shared" si="12"/>
        <v>0</v>
      </c>
      <c r="AX54" s="1341">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8"/>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9"/>
      <c r="AV55" s="1341">
        <f t="shared" si="11"/>
        <v>0</v>
      </c>
      <c r="AW55" s="1341">
        <f t="shared" si="12"/>
        <v>0</v>
      </c>
      <c r="AX55" s="1341">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8"/>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9"/>
      <c r="AV56" s="1341">
        <f t="shared" si="11"/>
        <v>0</v>
      </c>
      <c r="AW56" s="1341">
        <f t="shared" si="12"/>
        <v>0</v>
      </c>
      <c r="AX56" s="1341">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8"/>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9"/>
      <c r="AV57" s="1341">
        <f t="shared" si="11"/>
        <v>0</v>
      </c>
      <c r="AW57" s="1341">
        <f t="shared" si="12"/>
        <v>0</v>
      </c>
      <c r="AX57" s="1341">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8"/>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9"/>
      <c r="AV58" s="1341">
        <f t="shared" si="11"/>
        <v>0</v>
      </c>
      <c r="AW58" s="1341">
        <f t="shared" si="12"/>
        <v>0</v>
      </c>
      <c r="AX58" s="1341">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8"/>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9"/>
      <c r="AV59" s="1341">
        <f t="shared" si="11"/>
        <v>0</v>
      </c>
      <c r="AW59" s="1341">
        <f t="shared" si="12"/>
        <v>0</v>
      </c>
      <c r="AX59" s="1341">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8"/>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9"/>
      <c r="AV60" s="1341">
        <f t="shared" si="11"/>
        <v>0</v>
      </c>
      <c r="AW60" s="1341">
        <f t="shared" si="12"/>
        <v>0</v>
      </c>
      <c r="AX60" s="1341">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8"/>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9"/>
      <c r="AV61" s="1341">
        <f t="shared" si="11"/>
        <v>0</v>
      </c>
      <c r="AW61" s="1341">
        <f t="shared" si="12"/>
        <v>0</v>
      </c>
      <c r="AX61" s="1341">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8"/>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9"/>
      <c r="AV62" s="1341">
        <f t="shared" si="11"/>
        <v>0</v>
      </c>
      <c r="AW62" s="1341">
        <f t="shared" si="12"/>
        <v>0</v>
      </c>
      <c r="AX62" s="1341">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8"/>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9"/>
      <c r="AV63" s="1341">
        <f t="shared" si="11"/>
        <v>0</v>
      </c>
      <c r="AW63" s="1341">
        <f t="shared" si="12"/>
        <v>0</v>
      </c>
      <c r="AX63" s="1341">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8"/>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9"/>
      <c r="AV64" s="1341">
        <f t="shared" si="11"/>
        <v>0</v>
      </c>
      <c r="AW64" s="1341">
        <f t="shared" si="12"/>
        <v>0</v>
      </c>
      <c r="AX64" s="1341">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8"/>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9"/>
      <c r="AV65" s="1341">
        <f t="shared" si="11"/>
        <v>0</v>
      </c>
      <c r="AW65" s="1341">
        <f t="shared" si="12"/>
        <v>0</v>
      </c>
      <c r="AX65" s="1341">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8"/>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9"/>
      <c r="AV66" s="1341">
        <f t="shared" si="11"/>
        <v>0</v>
      </c>
      <c r="AW66" s="1341">
        <f t="shared" si="12"/>
        <v>0</v>
      </c>
      <c r="AX66" s="1341">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8"/>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9"/>
      <c r="AV67" s="1341">
        <f t="shared" si="11"/>
        <v>0</v>
      </c>
      <c r="AW67" s="1341">
        <f t="shared" si="12"/>
        <v>0</v>
      </c>
      <c r="AX67" s="1341">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8"/>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9"/>
      <c r="AV68" s="1341">
        <f t="shared" si="11"/>
        <v>0</v>
      </c>
      <c r="AW68" s="1341">
        <f t="shared" si="12"/>
        <v>0</v>
      </c>
      <c r="AX68" s="1341">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8"/>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9"/>
      <c r="AV69" s="1341">
        <f t="shared" si="11"/>
        <v>0</v>
      </c>
      <c r="AW69" s="1341">
        <f t="shared" si="12"/>
        <v>0</v>
      </c>
      <c r="AX69" s="1341">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8"/>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9"/>
      <c r="AV70" s="1341">
        <f t="shared" si="11"/>
        <v>0</v>
      </c>
      <c r="AW70" s="1341">
        <f t="shared" si="12"/>
        <v>0</v>
      </c>
      <c r="AX70" s="1341">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8"/>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9"/>
      <c r="AV71" s="1341">
        <f t="shared" si="11"/>
        <v>0</v>
      </c>
      <c r="AW71" s="1341">
        <f t="shared" si="12"/>
        <v>0</v>
      </c>
      <c r="AX71" s="1341">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8"/>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9"/>
      <c r="AV72" s="1341">
        <f t="shared" si="11"/>
        <v>0</v>
      </c>
      <c r="AW72" s="1341">
        <f t="shared" si="12"/>
        <v>0</v>
      </c>
      <c r="AX72" s="1341">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8"/>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9"/>
      <c r="AV73" s="1341">
        <f t="shared" si="11"/>
        <v>0</v>
      </c>
      <c r="AW73" s="1341">
        <f t="shared" si="12"/>
        <v>0</v>
      </c>
      <c r="AX73" s="1341">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8"/>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9"/>
      <c r="AV74" s="1341">
        <f t="shared" si="11"/>
        <v>0</v>
      </c>
      <c r="AW74" s="1341">
        <f t="shared" si="12"/>
        <v>0</v>
      </c>
      <c r="AX74" s="1341">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8"/>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9"/>
      <c r="AV75" s="1341">
        <f t="shared" si="11"/>
        <v>0</v>
      </c>
      <c r="AW75" s="1341">
        <f t="shared" si="12"/>
        <v>0</v>
      </c>
      <c r="AX75" s="1341">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8"/>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9"/>
      <c r="AV76" s="1341">
        <f t="shared" si="11"/>
        <v>0</v>
      </c>
      <c r="AW76" s="1341">
        <f t="shared" si="12"/>
        <v>0</v>
      </c>
      <c r="AX76" s="1341">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8"/>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9"/>
      <c r="AV77" s="1341">
        <f t="shared" si="11"/>
        <v>0</v>
      </c>
      <c r="AW77" s="1341">
        <f t="shared" si="12"/>
        <v>0</v>
      </c>
      <c r="AX77" s="1341">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8"/>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9"/>
      <c r="AV78" s="1341">
        <f t="shared" si="11"/>
        <v>0</v>
      </c>
      <c r="AW78" s="1341">
        <f t="shared" si="12"/>
        <v>0</v>
      </c>
      <c r="AX78" s="1341">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8"/>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9"/>
      <c r="AV79" s="1341">
        <f t="shared" si="11"/>
        <v>0</v>
      </c>
      <c r="AW79" s="1341">
        <f t="shared" si="12"/>
        <v>0</v>
      </c>
      <c r="AX79" s="1341">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8"/>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9"/>
      <c r="AV80" s="1341">
        <f t="shared" si="11"/>
        <v>0</v>
      </c>
      <c r="AW80" s="1341">
        <f t="shared" si="12"/>
        <v>0</v>
      </c>
      <c r="AX80" s="1341">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8"/>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9"/>
      <c r="AV81" s="1341">
        <f t="shared" si="11"/>
        <v>0</v>
      </c>
      <c r="AW81" s="1341">
        <f t="shared" si="12"/>
        <v>0</v>
      </c>
      <c r="AX81" s="1341">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8"/>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9"/>
      <c r="AV82" s="1341">
        <f t="shared" si="11"/>
        <v>0</v>
      </c>
      <c r="AW82" s="1341">
        <f t="shared" si="12"/>
        <v>0</v>
      </c>
      <c r="AX82" s="1341">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8"/>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9"/>
      <c r="AV83" s="1341">
        <f t="shared" si="11"/>
        <v>0</v>
      </c>
      <c r="AW83" s="1341">
        <f t="shared" si="12"/>
        <v>0</v>
      </c>
      <c r="AX83" s="1341">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8"/>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9"/>
      <c r="AV84" s="1341">
        <f t="shared" si="11"/>
        <v>0</v>
      </c>
      <c r="AW84" s="1341">
        <f t="shared" si="12"/>
        <v>0</v>
      </c>
      <c r="AX84" s="1341">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8"/>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9"/>
      <c r="AV85" s="1341">
        <f t="shared" si="11"/>
        <v>0</v>
      </c>
      <c r="AW85" s="1341">
        <f t="shared" si="12"/>
        <v>0</v>
      </c>
      <c r="AX85" s="1341">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8"/>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9"/>
      <c r="AV86" s="1341">
        <f t="shared" si="11"/>
        <v>0</v>
      </c>
      <c r="AW86" s="1341">
        <f t="shared" si="12"/>
        <v>0</v>
      </c>
      <c r="AX86" s="1341">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8"/>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9"/>
      <c r="AV87" s="1341">
        <f t="shared" si="11"/>
        <v>0</v>
      </c>
      <c r="AW87" s="1341">
        <f t="shared" si="12"/>
        <v>0</v>
      </c>
      <c r="AX87" s="1341">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8"/>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9"/>
      <c r="AV88" s="1341">
        <f t="shared" si="11"/>
        <v>0</v>
      </c>
      <c r="AW88" s="1341">
        <f t="shared" si="12"/>
        <v>0</v>
      </c>
      <c r="AX88" s="1341">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8"/>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9"/>
      <c r="AV89" s="1341">
        <f t="shared" si="11"/>
        <v>0</v>
      </c>
      <c r="AW89" s="1341">
        <f t="shared" si="12"/>
        <v>0</v>
      </c>
      <c r="AX89" s="1341">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8"/>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9"/>
      <c r="AV90" s="1341">
        <f t="shared" si="11"/>
        <v>0</v>
      </c>
      <c r="AW90" s="1341">
        <f t="shared" si="12"/>
        <v>0</v>
      </c>
      <c r="AX90" s="1341">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8"/>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9"/>
      <c r="AV91" s="1341">
        <f t="shared" si="11"/>
        <v>0</v>
      </c>
      <c r="AW91" s="1341">
        <f t="shared" si="12"/>
        <v>0</v>
      </c>
      <c r="AX91" s="1341">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8"/>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9"/>
      <c r="AV92" s="1341">
        <f t="shared" si="11"/>
        <v>0</v>
      </c>
      <c r="AW92" s="1341">
        <f t="shared" si="12"/>
        <v>0</v>
      </c>
      <c r="AX92" s="1341">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8"/>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9"/>
      <c r="AV93" s="1341">
        <f t="shared" si="11"/>
        <v>0</v>
      </c>
      <c r="AW93" s="1341">
        <f t="shared" si="12"/>
        <v>0</v>
      </c>
      <c r="AX93" s="1341">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8"/>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9"/>
      <c r="AV94" s="1341">
        <f t="shared" si="11"/>
        <v>0</v>
      </c>
      <c r="AW94" s="1341">
        <f t="shared" si="12"/>
        <v>0</v>
      </c>
      <c r="AX94" s="1341">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8"/>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9"/>
      <c r="AV95" s="1341">
        <f t="shared" si="11"/>
        <v>0</v>
      </c>
      <c r="AW95" s="1341">
        <f t="shared" si="12"/>
        <v>0</v>
      </c>
      <c r="AX95" s="1341">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8"/>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9"/>
      <c r="AV96" s="1341">
        <f t="shared" si="11"/>
        <v>0</v>
      </c>
      <c r="AW96" s="1341">
        <f t="shared" si="12"/>
        <v>0</v>
      </c>
      <c r="AX96" s="1341">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8"/>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9"/>
      <c r="AV97" s="1341">
        <f t="shared" si="11"/>
        <v>0</v>
      </c>
      <c r="AW97" s="1341">
        <f t="shared" si="12"/>
        <v>0</v>
      </c>
      <c r="AX97" s="1341">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8"/>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9"/>
      <c r="AV98" s="1341">
        <f t="shared" si="11"/>
        <v>0</v>
      </c>
      <c r="AW98" s="1341">
        <f t="shared" si="12"/>
        <v>0</v>
      </c>
      <c r="AX98" s="1341">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8"/>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9"/>
      <c r="AV99" s="1341">
        <f t="shared" si="11"/>
        <v>0</v>
      </c>
      <c r="AW99" s="1341">
        <f t="shared" si="12"/>
        <v>0</v>
      </c>
      <c r="AX99" s="1341">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8"/>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9"/>
      <c r="AV100" s="1341">
        <f t="shared" si="11"/>
        <v>0</v>
      </c>
      <c r="AW100" s="1341">
        <f t="shared" si="12"/>
        <v>0</v>
      </c>
      <c r="AX100" s="1341">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8"/>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9"/>
      <c r="AV101" s="1341">
        <f t="shared" si="11"/>
        <v>0</v>
      </c>
      <c r="AW101" s="1341">
        <f t="shared" si="12"/>
        <v>0</v>
      </c>
      <c r="AX101" s="1341">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8"/>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9"/>
      <c r="AV102" s="1341">
        <f t="shared" si="11"/>
        <v>0</v>
      </c>
      <c r="AW102" s="1341">
        <f t="shared" si="12"/>
        <v>0</v>
      </c>
      <c r="AX102" s="1341">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8"/>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9"/>
      <c r="AV103" s="1341">
        <f t="shared" si="11"/>
        <v>0</v>
      </c>
      <c r="AW103" s="1341">
        <f t="shared" si="12"/>
        <v>0</v>
      </c>
      <c r="AX103" s="1341">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8"/>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9"/>
      <c r="AV104" s="1341">
        <f t="shared" si="11"/>
        <v>0</v>
      </c>
      <c r="AW104" s="1341">
        <f t="shared" si="12"/>
        <v>0</v>
      </c>
      <c r="AX104" s="1341">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8"/>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9"/>
      <c r="AV105" s="1341">
        <f t="shared" si="11"/>
        <v>0</v>
      </c>
      <c r="AW105" s="1341">
        <f t="shared" si="12"/>
        <v>0</v>
      </c>
      <c r="AX105" s="1341">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8"/>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9"/>
      <c r="AV106" s="1341">
        <f t="shared" si="11"/>
        <v>0</v>
      </c>
      <c r="AW106" s="1341">
        <f t="shared" si="12"/>
        <v>0</v>
      </c>
      <c r="AX106" s="1341">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8"/>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9"/>
      <c r="AV107" s="1341">
        <f t="shared" si="11"/>
        <v>0</v>
      </c>
      <c r="AW107" s="1341">
        <f t="shared" si="12"/>
        <v>0</v>
      </c>
      <c r="AX107" s="1341">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8"/>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9"/>
      <c r="AV108" s="1341">
        <f t="shared" si="11"/>
        <v>0</v>
      </c>
      <c r="AW108" s="1341">
        <f t="shared" si="12"/>
        <v>0</v>
      </c>
      <c r="AX108" s="1341">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8"/>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9"/>
      <c r="AV109" s="1341">
        <f t="shared" si="11"/>
        <v>0</v>
      </c>
      <c r="AW109" s="1341">
        <f t="shared" si="12"/>
        <v>0</v>
      </c>
      <c r="AX109" s="1341">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8"/>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9"/>
      <c r="AV110" s="1341">
        <f t="shared" si="11"/>
        <v>0</v>
      </c>
      <c r="AW110" s="1341">
        <f t="shared" si="12"/>
        <v>0</v>
      </c>
      <c r="AX110" s="1341">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8"/>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9"/>
      <c r="AV111" s="1341">
        <f t="shared" si="11"/>
        <v>0</v>
      </c>
      <c r="AW111" s="1341">
        <f t="shared" si="12"/>
        <v>0</v>
      </c>
      <c r="AX111" s="1341">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8"/>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9"/>
      <c r="AV112" s="1341">
        <f t="shared" si="11"/>
        <v>0</v>
      </c>
      <c r="AW112" s="1341">
        <f t="shared" si="12"/>
        <v>0</v>
      </c>
      <c r="AX112" s="1341">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8"/>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9"/>
      <c r="AV113" s="1341">
        <f t="shared" ref="AV113:AV144" si="62">A113</f>
        <v>0</v>
      </c>
      <c r="AW113" s="1341">
        <f t="shared" ref="AW113:AW144" si="63">B113</f>
        <v>0</v>
      </c>
      <c r="AX113" s="1341">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8"/>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9"/>
      <c r="AV114" s="1341">
        <f t="shared" si="62"/>
        <v>0</v>
      </c>
      <c r="AW114" s="1341">
        <f t="shared" si="63"/>
        <v>0</v>
      </c>
      <c r="AX114" s="1341">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8"/>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9"/>
      <c r="AV115" s="1341">
        <f t="shared" si="62"/>
        <v>0</v>
      </c>
      <c r="AW115" s="1341">
        <f t="shared" si="63"/>
        <v>0</v>
      </c>
      <c r="AX115" s="1341">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8"/>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9"/>
      <c r="AV116" s="1341">
        <f t="shared" si="62"/>
        <v>0</v>
      </c>
      <c r="AW116" s="1341">
        <f t="shared" si="63"/>
        <v>0</v>
      </c>
      <c r="AX116" s="1341">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8"/>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9"/>
      <c r="AV117" s="1341">
        <f t="shared" si="62"/>
        <v>0</v>
      </c>
      <c r="AW117" s="1341">
        <f t="shared" si="63"/>
        <v>0</v>
      </c>
      <c r="AX117" s="1341">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8"/>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9"/>
      <c r="AV118" s="1341">
        <f t="shared" si="62"/>
        <v>0</v>
      </c>
      <c r="AW118" s="1341">
        <f t="shared" si="63"/>
        <v>0</v>
      </c>
      <c r="AX118" s="1341">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8"/>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9"/>
      <c r="AV119" s="1341">
        <f t="shared" si="62"/>
        <v>0</v>
      </c>
      <c r="AW119" s="1341">
        <f t="shared" si="63"/>
        <v>0</v>
      </c>
      <c r="AX119" s="1341">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8"/>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9"/>
      <c r="AV120" s="1341">
        <f t="shared" si="62"/>
        <v>0</v>
      </c>
      <c r="AW120" s="1341">
        <f t="shared" si="63"/>
        <v>0</v>
      </c>
      <c r="AX120" s="1341">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8"/>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9"/>
      <c r="AV121" s="1341">
        <f t="shared" si="62"/>
        <v>0</v>
      </c>
      <c r="AW121" s="1341">
        <f t="shared" si="63"/>
        <v>0</v>
      </c>
      <c r="AX121" s="1341">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8"/>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9"/>
      <c r="AV122" s="1341">
        <f t="shared" si="62"/>
        <v>0</v>
      </c>
      <c r="AW122" s="1341">
        <f t="shared" si="63"/>
        <v>0</v>
      </c>
      <c r="AX122" s="1341">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8"/>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9"/>
      <c r="AV123" s="1341">
        <f t="shared" si="62"/>
        <v>0</v>
      </c>
      <c r="AW123" s="1341">
        <f t="shared" si="63"/>
        <v>0</v>
      </c>
      <c r="AX123" s="1341">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8"/>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9"/>
      <c r="AV124" s="1341">
        <f t="shared" si="62"/>
        <v>0</v>
      </c>
      <c r="AW124" s="1341">
        <f t="shared" si="63"/>
        <v>0</v>
      </c>
      <c r="AX124" s="1341">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8"/>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9"/>
      <c r="AV125" s="1341">
        <f t="shared" si="62"/>
        <v>0</v>
      </c>
      <c r="AW125" s="1341">
        <f t="shared" si="63"/>
        <v>0</v>
      </c>
      <c r="AX125" s="1341">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8"/>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9"/>
      <c r="AV126" s="1341">
        <f t="shared" si="62"/>
        <v>0</v>
      </c>
      <c r="AW126" s="1341">
        <f t="shared" si="63"/>
        <v>0</v>
      </c>
      <c r="AX126" s="1341">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8"/>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9"/>
      <c r="AV127" s="1341">
        <f t="shared" si="62"/>
        <v>0</v>
      </c>
      <c r="AW127" s="1341">
        <f t="shared" si="63"/>
        <v>0</v>
      </c>
      <c r="AX127" s="1341">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8"/>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9"/>
      <c r="AV128" s="1341">
        <f t="shared" si="62"/>
        <v>0</v>
      </c>
      <c r="AW128" s="1341">
        <f t="shared" si="63"/>
        <v>0</v>
      </c>
      <c r="AX128" s="1341">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8"/>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9"/>
      <c r="AV129" s="1341">
        <f t="shared" si="62"/>
        <v>0</v>
      </c>
      <c r="AW129" s="1341">
        <f t="shared" si="63"/>
        <v>0</v>
      </c>
      <c r="AX129" s="1341">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8"/>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9"/>
      <c r="AV130" s="1341">
        <f t="shared" si="62"/>
        <v>0</v>
      </c>
      <c r="AW130" s="1341">
        <f t="shared" si="63"/>
        <v>0</v>
      </c>
      <c r="AX130" s="1341">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8"/>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9"/>
      <c r="AV131" s="1341">
        <f t="shared" si="62"/>
        <v>0</v>
      </c>
      <c r="AW131" s="1341">
        <f t="shared" si="63"/>
        <v>0</v>
      </c>
      <c r="AX131" s="1341">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8"/>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9"/>
      <c r="AV132" s="1341">
        <f t="shared" si="62"/>
        <v>0</v>
      </c>
      <c r="AW132" s="1341">
        <f t="shared" si="63"/>
        <v>0</v>
      </c>
      <c r="AX132" s="1341">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8"/>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9"/>
      <c r="AV133" s="1341">
        <f t="shared" si="62"/>
        <v>0</v>
      </c>
      <c r="AW133" s="1341">
        <f t="shared" si="63"/>
        <v>0</v>
      </c>
      <c r="AX133" s="1341">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8"/>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9"/>
      <c r="AV134" s="1341">
        <f t="shared" si="62"/>
        <v>0</v>
      </c>
      <c r="AW134" s="1341">
        <f t="shared" si="63"/>
        <v>0</v>
      </c>
      <c r="AX134" s="1341">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8"/>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9"/>
      <c r="AV135" s="1341">
        <f t="shared" si="62"/>
        <v>0</v>
      </c>
      <c r="AW135" s="1341">
        <f t="shared" si="63"/>
        <v>0</v>
      </c>
      <c r="AX135" s="1341">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8"/>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9"/>
      <c r="AV136" s="1341">
        <f t="shared" si="62"/>
        <v>0</v>
      </c>
      <c r="AW136" s="1341">
        <f t="shared" si="63"/>
        <v>0</v>
      </c>
      <c r="AX136" s="1341">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8"/>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9"/>
      <c r="AV137" s="1341">
        <f t="shared" si="62"/>
        <v>0</v>
      </c>
      <c r="AW137" s="1341">
        <f t="shared" si="63"/>
        <v>0</v>
      </c>
      <c r="AX137" s="1341">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8"/>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9"/>
      <c r="AV138" s="1341">
        <f t="shared" si="62"/>
        <v>0</v>
      </c>
      <c r="AW138" s="1341">
        <f t="shared" si="63"/>
        <v>0</v>
      </c>
      <c r="AX138" s="1341">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8"/>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9"/>
      <c r="AV139" s="1341">
        <f t="shared" si="62"/>
        <v>0</v>
      </c>
      <c r="AW139" s="1341">
        <f t="shared" si="63"/>
        <v>0</v>
      </c>
      <c r="AX139" s="1341">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8"/>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9"/>
      <c r="AV140" s="1341">
        <f t="shared" si="62"/>
        <v>0</v>
      </c>
      <c r="AW140" s="1341">
        <f t="shared" si="63"/>
        <v>0</v>
      </c>
      <c r="AX140" s="1341">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8"/>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9"/>
      <c r="AV141" s="1341">
        <f t="shared" si="62"/>
        <v>0</v>
      </c>
      <c r="AW141" s="1341">
        <f t="shared" si="63"/>
        <v>0</v>
      </c>
      <c r="AX141" s="1341">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8"/>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9"/>
      <c r="AV142" s="1341">
        <f t="shared" si="62"/>
        <v>0</v>
      </c>
      <c r="AW142" s="1341">
        <f t="shared" si="63"/>
        <v>0</v>
      </c>
      <c r="AX142" s="1341">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8"/>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9"/>
      <c r="AV143" s="1341">
        <f t="shared" si="62"/>
        <v>0</v>
      </c>
      <c r="AW143" s="1341">
        <f t="shared" si="63"/>
        <v>0</v>
      </c>
      <c r="AX143" s="1341">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8"/>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9"/>
      <c r="AV144" s="1341">
        <f t="shared" si="62"/>
        <v>0</v>
      </c>
      <c r="AW144" s="1341">
        <f t="shared" si="63"/>
        <v>0</v>
      </c>
      <c r="AX144" s="1341">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8"/>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9"/>
      <c r="AV145" s="1341">
        <f t="shared" ref="AV145:AV176" si="91">A145</f>
        <v>0</v>
      </c>
      <c r="AW145" s="1341">
        <f t="shared" ref="AW145:AW176" si="92">B145</f>
        <v>0</v>
      </c>
      <c r="AX145" s="1341">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8"/>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9"/>
      <c r="AV146" s="1341">
        <f t="shared" si="91"/>
        <v>0</v>
      </c>
      <c r="AW146" s="1341">
        <f t="shared" si="92"/>
        <v>0</v>
      </c>
      <c r="AX146" s="1341">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8"/>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9"/>
      <c r="AV147" s="1341">
        <f t="shared" si="91"/>
        <v>0</v>
      </c>
      <c r="AW147" s="1341">
        <f t="shared" si="92"/>
        <v>0</v>
      </c>
      <c r="AX147" s="1341">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8"/>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9"/>
      <c r="AV148" s="1341">
        <f t="shared" si="91"/>
        <v>0</v>
      </c>
      <c r="AW148" s="1341">
        <f t="shared" si="92"/>
        <v>0</v>
      </c>
      <c r="AX148" s="1341">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8"/>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9"/>
      <c r="AV149" s="1341">
        <f t="shared" si="91"/>
        <v>0</v>
      </c>
      <c r="AW149" s="1341">
        <f t="shared" si="92"/>
        <v>0</v>
      </c>
      <c r="AX149" s="1341">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8"/>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9"/>
      <c r="AV150" s="1341">
        <f t="shared" si="91"/>
        <v>0</v>
      </c>
      <c r="AW150" s="1341">
        <f t="shared" si="92"/>
        <v>0</v>
      </c>
      <c r="AX150" s="1341">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8"/>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9"/>
      <c r="AV151" s="1341">
        <f t="shared" si="91"/>
        <v>0</v>
      </c>
      <c r="AW151" s="1341">
        <f t="shared" si="92"/>
        <v>0</v>
      </c>
      <c r="AX151" s="1341">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8"/>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9"/>
      <c r="AV152" s="1341">
        <f t="shared" si="91"/>
        <v>0</v>
      </c>
      <c r="AW152" s="1341">
        <f t="shared" si="92"/>
        <v>0</v>
      </c>
      <c r="AX152" s="1341">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8"/>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9"/>
      <c r="AV153" s="1341">
        <f t="shared" si="91"/>
        <v>0</v>
      </c>
      <c r="AW153" s="1341">
        <f t="shared" si="92"/>
        <v>0</v>
      </c>
      <c r="AX153" s="1341">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8"/>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9"/>
      <c r="AV154" s="1341">
        <f t="shared" si="91"/>
        <v>0</v>
      </c>
      <c r="AW154" s="1341">
        <f t="shared" si="92"/>
        <v>0</v>
      </c>
      <c r="AX154" s="1341">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8"/>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9"/>
      <c r="AV155" s="1341">
        <f t="shared" si="91"/>
        <v>0</v>
      </c>
      <c r="AW155" s="1341">
        <f t="shared" si="92"/>
        <v>0</v>
      </c>
      <c r="AX155" s="1341">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8"/>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9"/>
      <c r="AV156" s="1341">
        <f t="shared" si="91"/>
        <v>0</v>
      </c>
      <c r="AW156" s="1341">
        <f t="shared" si="92"/>
        <v>0</v>
      </c>
      <c r="AX156" s="1341">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8"/>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9"/>
      <c r="AV157" s="1341">
        <f t="shared" si="91"/>
        <v>0</v>
      </c>
      <c r="AW157" s="1341">
        <f t="shared" si="92"/>
        <v>0</v>
      </c>
      <c r="AX157" s="1341">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8"/>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9"/>
      <c r="AV158" s="1341">
        <f t="shared" si="91"/>
        <v>0</v>
      </c>
      <c r="AW158" s="1341">
        <f t="shared" si="92"/>
        <v>0</v>
      </c>
      <c r="AX158" s="1341">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8"/>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9"/>
      <c r="AV159" s="1341">
        <f t="shared" si="91"/>
        <v>0</v>
      </c>
      <c r="AW159" s="1341">
        <f t="shared" si="92"/>
        <v>0</v>
      </c>
      <c r="AX159" s="1341">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8"/>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9"/>
      <c r="AV160" s="1341">
        <f t="shared" si="91"/>
        <v>0</v>
      </c>
      <c r="AW160" s="1341">
        <f t="shared" si="92"/>
        <v>0</v>
      </c>
      <c r="AX160" s="1341">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8"/>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9"/>
      <c r="AV161" s="1341">
        <f t="shared" si="91"/>
        <v>0</v>
      </c>
      <c r="AW161" s="1341">
        <f t="shared" si="92"/>
        <v>0</v>
      </c>
      <c r="AX161" s="1341">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8"/>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9"/>
      <c r="AV162" s="1341">
        <f t="shared" si="91"/>
        <v>0</v>
      </c>
      <c r="AW162" s="1341">
        <f t="shared" si="92"/>
        <v>0</v>
      </c>
      <c r="AX162" s="1341">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8"/>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9"/>
      <c r="AV163" s="1341">
        <f t="shared" si="91"/>
        <v>0</v>
      </c>
      <c r="AW163" s="1341">
        <f t="shared" si="92"/>
        <v>0</v>
      </c>
      <c r="AX163" s="1341">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8"/>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9"/>
      <c r="AV164" s="1341">
        <f t="shared" si="91"/>
        <v>0</v>
      </c>
      <c r="AW164" s="1341">
        <f t="shared" si="92"/>
        <v>0</v>
      </c>
      <c r="AX164" s="1341">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8"/>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9"/>
      <c r="AV165" s="1341">
        <f t="shared" si="91"/>
        <v>0</v>
      </c>
      <c r="AW165" s="1341">
        <f t="shared" si="92"/>
        <v>0</v>
      </c>
      <c r="AX165" s="1341">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8"/>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9"/>
      <c r="AV166" s="1341">
        <f t="shared" si="91"/>
        <v>0</v>
      </c>
      <c r="AW166" s="1341">
        <f t="shared" si="92"/>
        <v>0</v>
      </c>
      <c r="AX166" s="1341">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8"/>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9"/>
      <c r="AV167" s="1341">
        <f t="shared" si="91"/>
        <v>0</v>
      </c>
      <c r="AW167" s="1341">
        <f t="shared" si="92"/>
        <v>0</v>
      </c>
      <c r="AX167" s="1341">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8"/>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9"/>
      <c r="AV168" s="1341">
        <f t="shared" si="91"/>
        <v>0</v>
      </c>
      <c r="AW168" s="1341">
        <f t="shared" si="92"/>
        <v>0</v>
      </c>
      <c r="AX168" s="1341">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8"/>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9"/>
      <c r="AV169" s="1341">
        <f t="shared" si="91"/>
        <v>0</v>
      </c>
      <c r="AW169" s="1341">
        <f t="shared" si="92"/>
        <v>0</v>
      </c>
      <c r="AX169" s="1341">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8"/>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9"/>
      <c r="AV170" s="1341">
        <f t="shared" si="91"/>
        <v>0</v>
      </c>
      <c r="AW170" s="1341">
        <f t="shared" si="92"/>
        <v>0</v>
      </c>
      <c r="AX170" s="1341">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8"/>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9"/>
      <c r="AV171" s="1341">
        <f t="shared" si="91"/>
        <v>0</v>
      </c>
      <c r="AW171" s="1341">
        <f t="shared" si="92"/>
        <v>0</v>
      </c>
      <c r="AX171" s="1341">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8"/>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9"/>
      <c r="AV172" s="1341">
        <f t="shared" si="91"/>
        <v>0</v>
      </c>
      <c r="AW172" s="1341">
        <f t="shared" si="92"/>
        <v>0</v>
      </c>
      <c r="AX172" s="1341">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8"/>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9"/>
      <c r="AV173" s="1341">
        <f t="shared" si="91"/>
        <v>0</v>
      </c>
      <c r="AW173" s="1341">
        <f t="shared" si="92"/>
        <v>0</v>
      </c>
      <c r="AX173" s="1341">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8"/>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9"/>
      <c r="AV174" s="1341">
        <f t="shared" si="91"/>
        <v>0</v>
      </c>
      <c r="AW174" s="1341">
        <f t="shared" si="92"/>
        <v>0</v>
      </c>
      <c r="AX174" s="1341">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8"/>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9"/>
      <c r="AV175" s="1341">
        <f t="shared" si="91"/>
        <v>0</v>
      </c>
      <c r="AW175" s="1341">
        <f t="shared" si="92"/>
        <v>0</v>
      </c>
      <c r="AX175" s="1341">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8"/>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9"/>
      <c r="AV176" s="1341">
        <f t="shared" si="91"/>
        <v>0</v>
      </c>
      <c r="AW176" s="1341">
        <f t="shared" si="92"/>
        <v>0</v>
      </c>
      <c r="AX176" s="1341">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8"/>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9"/>
      <c r="AV177" s="1341">
        <f t="shared" ref="AV177:AV207" si="120">A177</f>
        <v>0</v>
      </c>
      <c r="AW177" s="1341">
        <f t="shared" ref="AW177:AW207" si="121">B177</f>
        <v>0</v>
      </c>
      <c r="AX177" s="1341">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8"/>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9"/>
      <c r="AV178" s="1341">
        <f t="shared" si="120"/>
        <v>0</v>
      </c>
      <c r="AW178" s="1341">
        <f t="shared" si="121"/>
        <v>0</v>
      </c>
      <c r="AX178" s="1341">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8"/>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9"/>
      <c r="AV179" s="1341">
        <f t="shared" si="120"/>
        <v>0</v>
      </c>
      <c r="AW179" s="1341">
        <f t="shared" si="121"/>
        <v>0</v>
      </c>
      <c r="AX179" s="1341">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8"/>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9"/>
      <c r="AV180" s="1341">
        <f t="shared" si="120"/>
        <v>0</v>
      </c>
      <c r="AW180" s="1341">
        <f t="shared" si="121"/>
        <v>0</v>
      </c>
      <c r="AX180" s="1341">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8"/>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9"/>
      <c r="AV181" s="1341">
        <f t="shared" si="120"/>
        <v>0</v>
      </c>
      <c r="AW181" s="1341">
        <f t="shared" si="121"/>
        <v>0</v>
      </c>
      <c r="AX181" s="1341">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8"/>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9"/>
      <c r="AV182" s="1341">
        <f t="shared" si="120"/>
        <v>0</v>
      </c>
      <c r="AW182" s="1341">
        <f t="shared" si="121"/>
        <v>0</v>
      </c>
      <c r="AX182" s="1341">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8"/>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9"/>
      <c r="AV183" s="1341">
        <f t="shared" si="120"/>
        <v>0</v>
      </c>
      <c r="AW183" s="1341">
        <f t="shared" si="121"/>
        <v>0</v>
      </c>
      <c r="AX183" s="1341">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8"/>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9"/>
      <c r="AV184" s="1341">
        <f t="shared" si="120"/>
        <v>0</v>
      </c>
      <c r="AW184" s="1341">
        <f t="shared" si="121"/>
        <v>0</v>
      </c>
      <c r="AX184" s="1341">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8"/>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9"/>
      <c r="AV185" s="1341">
        <f t="shared" si="120"/>
        <v>0</v>
      </c>
      <c r="AW185" s="1341">
        <f t="shared" si="121"/>
        <v>0</v>
      </c>
      <c r="AX185" s="1341">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8"/>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9"/>
      <c r="AV186" s="1341">
        <f t="shared" si="120"/>
        <v>0</v>
      </c>
      <c r="AW186" s="1341">
        <f t="shared" si="121"/>
        <v>0</v>
      </c>
      <c r="AX186" s="1341">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8"/>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9"/>
      <c r="AV187" s="1341">
        <f t="shared" si="120"/>
        <v>0</v>
      </c>
      <c r="AW187" s="1341">
        <f t="shared" si="121"/>
        <v>0</v>
      </c>
      <c r="AX187" s="1341">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8"/>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9"/>
      <c r="AV188" s="1341">
        <f t="shared" si="120"/>
        <v>0</v>
      </c>
      <c r="AW188" s="1341">
        <f t="shared" si="121"/>
        <v>0</v>
      </c>
      <c r="AX188" s="1341">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8"/>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9"/>
      <c r="AV189" s="1341">
        <f t="shared" si="120"/>
        <v>0</v>
      </c>
      <c r="AW189" s="1341">
        <f t="shared" si="121"/>
        <v>0</v>
      </c>
      <c r="AX189" s="1341">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8"/>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9"/>
      <c r="AV190" s="1341">
        <f t="shared" si="120"/>
        <v>0</v>
      </c>
      <c r="AW190" s="1341">
        <f t="shared" si="121"/>
        <v>0</v>
      </c>
      <c r="AX190" s="1341">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8"/>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9"/>
      <c r="AV191" s="1341">
        <f t="shared" si="120"/>
        <v>0</v>
      </c>
      <c r="AW191" s="1341">
        <f t="shared" si="121"/>
        <v>0</v>
      </c>
      <c r="AX191" s="1341">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8"/>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9"/>
      <c r="AV192" s="1341">
        <f t="shared" si="120"/>
        <v>0</v>
      </c>
      <c r="AW192" s="1341">
        <f t="shared" si="121"/>
        <v>0</v>
      </c>
      <c r="AX192" s="1341">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8"/>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9"/>
      <c r="AV193" s="1341">
        <f t="shared" si="120"/>
        <v>0</v>
      </c>
      <c r="AW193" s="1341">
        <f t="shared" si="121"/>
        <v>0</v>
      </c>
      <c r="AX193" s="1341">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8"/>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9"/>
      <c r="AV194" s="1341">
        <f t="shared" si="120"/>
        <v>0</v>
      </c>
      <c r="AW194" s="1341">
        <f t="shared" si="121"/>
        <v>0</v>
      </c>
      <c r="AX194" s="1341">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8"/>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9"/>
      <c r="AV195" s="1341">
        <f t="shared" si="120"/>
        <v>0</v>
      </c>
      <c r="AW195" s="1341">
        <f t="shared" si="121"/>
        <v>0</v>
      </c>
      <c r="AX195" s="1341">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8"/>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9"/>
      <c r="AV196" s="1341">
        <f t="shared" si="120"/>
        <v>0</v>
      </c>
      <c r="AW196" s="1341">
        <f t="shared" si="121"/>
        <v>0</v>
      </c>
      <c r="AX196" s="1341">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8"/>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9"/>
      <c r="AV197" s="1341">
        <f t="shared" si="120"/>
        <v>0</v>
      </c>
      <c r="AW197" s="1341">
        <f t="shared" si="121"/>
        <v>0</v>
      </c>
      <c r="AX197" s="1341">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8"/>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9"/>
      <c r="AV198" s="1341">
        <f t="shared" si="120"/>
        <v>0</v>
      </c>
      <c r="AW198" s="1341">
        <f t="shared" si="121"/>
        <v>0</v>
      </c>
      <c r="AX198" s="1341">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8"/>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9"/>
      <c r="AV199" s="1341">
        <f t="shared" si="120"/>
        <v>0</v>
      </c>
      <c r="AW199" s="1341">
        <f t="shared" si="121"/>
        <v>0</v>
      </c>
      <c r="AX199" s="1341">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8"/>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9"/>
      <c r="AV200" s="1341">
        <f t="shared" si="120"/>
        <v>0</v>
      </c>
      <c r="AW200" s="1341">
        <f t="shared" si="121"/>
        <v>0</v>
      </c>
      <c r="AX200" s="1341">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8"/>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9"/>
      <c r="AV201" s="1341">
        <f t="shared" si="120"/>
        <v>0</v>
      </c>
      <c r="AW201" s="1341">
        <f t="shared" si="121"/>
        <v>0</v>
      </c>
      <c r="AX201" s="1341">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8"/>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9"/>
      <c r="AV202" s="1341">
        <f t="shared" si="120"/>
        <v>0</v>
      </c>
      <c r="AW202" s="1341">
        <f t="shared" si="121"/>
        <v>0</v>
      </c>
      <c r="AX202" s="1341">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8"/>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9"/>
      <c r="AV203" s="1341">
        <f t="shared" si="120"/>
        <v>0</v>
      </c>
      <c r="AW203" s="1341">
        <f t="shared" si="121"/>
        <v>0</v>
      </c>
      <c r="AX203" s="1341">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8"/>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9"/>
      <c r="AV204" s="1341">
        <f t="shared" si="120"/>
        <v>0</v>
      </c>
      <c r="AW204" s="1341">
        <f t="shared" si="121"/>
        <v>0</v>
      </c>
      <c r="AX204" s="1341">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8"/>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9"/>
      <c r="AV205" s="1341">
        <f t="shared" si="120"/>
        <v>0</v>
      </c>
      <c r="AW205" s="1341">
        <f t="shared" si="121"/>
        <v>0</v>
      </c>
      <c r="AX205" s="1341">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8"/>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9"/>
      <c r="AV206" s="1341">
        <f t="shared" si="120"/>
        <v>0</v>
      </c>
      <c r="AW206" s="1341">
        <f t="shared" si="121"/>
        <v>0</v>
      </c>
      <c r="AX206" s="1341">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8"/>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9"/>
      <c r="AV207" s="1341">
        <f t="shared" si="120"/>
        <v>0</v>
      </c>
      <c r="AW207" s="1341">
        <f t="shared" si="121"/>
        <v>0</v>
      </c>
      <c r="AX207" s="1341">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8"/>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9"/>
      <c r="AV208" s="1341">
        <f t="shared" ref="AV208:AV302" si="127">A208</f>
        <v>0</v>
      </c>
      <c r="AW208" s="1341">
        <f t="shared" ref="AW208:AW302" si="128">B208</f>
        <v>0</v>
      </c>
      <c r="AX208" s="1341">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8"/>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9"/>
      <c r="AV209" s="1341">
        <f t="shared" si="127"/>
        <v>0</v>
      </c>
      <c r="AW209" s="1341">
        <f t="shared" si="128"/>
        <v>0</v>
      </c>
      <c r="AX209" s="1341">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8"/>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9"/>
      <c r="AV210" s="1341">
        <f t="shared" si="127"/>
        <v>0</v>
      </c>
      <c r="AW210" s="1341">
        <f t="shared" si="128"/>
        <v>0</v>
      </c>
      <c r="AX210" s="1341">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8"/>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9"/>
      <c r="AV211" s="1341">
        <f t="shared" si="127"/>
        <v>0</v>
      </c>
      <c r="AW211" s="1341">
        <f t="shared" si="128"/>
        <v>0</v>
      </c>
      <c r="AX211" s="1341">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8"/>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9"/>
      <c r="AV212" s="1341">
        <f t="shared" si="127"/>
        <v>0</v>
      </c>
      <c r="AW212" s="1341">
        <f t="shared" si="128"/>
        <v>0</v>
      </c>
      <c r="AX212" s="1341">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8"/>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9"/>
      <c r="AV213" s="1341">
        <f t="shared" si="127"/>
        <v>0</v>
      </c>
      <c r="AW213" s="1341">
        <f t="shared" si="128"/>
        <v>0</v>
      </c>
      <c r="AX213" s="1341">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8"/>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9"/>
      <c r="AV214" s="1341">
        <f t="shared" si="127"/>
        <v>0</v>
      </c>
      <c r="AW214" s="1341">
        <f t="shared" si="128"/>
        <v>0</v>
      </c>
      <c r="AX214" s="1341">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8"/>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9"/>
      <c r="AV215" s="1341">
        <f t="shared" si="127"/>
        <v>0</v>
      </c>
      <c r="AW215" s="1341">
        <f t="shared" si="128"/>
        <v>0</v>
      </c>
      <c r="AX215" s="1341">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8"/>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9"/>
      <c r="AV216" s="1341">
        <f t="shared" si="127"/>
        <v>0</v>
      </c>
      <c r="AW216" s="1341">
        <f t="shared" si="128"/>
        <v>0</v>
      </c>
      <c r="AX216" s="1341">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8"/>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9"/>
      <c r="AV217" s="1341">
        <f t="shared" si="127"/>
        <v>0</v>
      </c>
      <c r="AW217" s="1341">
        <f t="shared" si="128"/>
        <v>0</v>
      </c>
      <c r="AX217" s="1341">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8"/>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9"/>
      <c r="AV218" s="1341">
        <f t="shared" si="127"/>
        <v>0</v>
      </c>
      <c r="AW218" s="1341">
        <f t="shared" si="128"/>
        <v>0</v>
      </c>
      <c r="AX218" s="1341">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8"/>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9"/>
      <c r="AV219" s="1341">
        <f t="shared" si="127"/>
        <v>0</v>
      </c>
      <c r="AW219" s="1341">
        <f t="shared" si="128"/>
        <v>0</v>
      </c>
      <c r="AX219" s="1341">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8"/>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9"/>
      <c r="AV220" s="1341">
        <f t="shared" si="127"/>
        <v>0</v>
      </c>
      <c r="AW220" s="1341">
        <f t="shared" si="128"/>
        <v>0</v>
      </c>
      <c r="AX220" s="1341">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8"/>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9"/>
      <c r="AV221" s="1341">
        <f t="shared" si="127"/>
        <v>0</v>
      </c>
      <c r="AW221" s="1341">
        <f t="shared" si="128"/>
        <v>0</v>
      </c>
      <c r="AX221" s="1341">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8"/>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9"/>
      <c r="AV222" s="1341">
        <f t="shared" si="127"/>
        <v>0</v>
      </c>
      <c r="AW222" s="1341">
        <f t="shared" si="128"/>
        <v>0</v>
      </c>
      <c r="AX222" s="1341">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8"/>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9"/>
      <c r="AV223" s="1341">
        <f t="shared" si="127"/>
        <v>0</v>
      </c>
      <c r="AW223" s="1341">
        <f t="shared" si="128"/>
        <v>0</v>
      </c>
      <c r="AX223" s="1341">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8"/>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9"/>
      <c r="AV224" s="1341">
        <f t="shared" si="127"/>
        <v>0</v>
      </c>
      <c r="AW224" s="1341">
        <f t="shared" si="128"/>
        <v>0</v>
      </c>
      <c r="AX224" s="1341">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8"/>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9"/>
      <c r="AV225" s="1341">
        <f t="shared" si="127"/>
        <v>0</v>
      </c>
      <c r="AW225" s="1341">
        <f t="shared" si="128"/>
        <v>0</v>
      </c>
      <c r="AX225" s="1341">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8"/>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9"/>
      <c r="AV226" s="1341">
        <f t="shared" si="127"/>
        <v>0</v>
      </c>
      <c r="AW226" s="1341">
        <f t="shared" si="128"/>
        <v>0</v>
      </c>
      <c r="AX226" s="1341">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8"/>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9"/>
      <c r="AV227" s="1341">
        <f t="shared" si="127"/>
        <v>0</v>
      </c>
      <c r="AW227" s="1341">
        <f t="shared" si="128"/>
        <v>0</v>
      </c>
      <c r="AX227" s="1341">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8"/>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9"/>
      <c r="AV228" s="1341">
        <f t="shared" si="127"/>
        <v>0</v>
      </c>
      <c r="AW228" s="1341">
        <f t="shared" si="128"/>
        <v>0</v>
      </c>
      <c r="AX228" s="1341">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8"/>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9"/>
      <c r="AV229" s="1341">
        <f t="shared" si="127"/>
        <v>0</v>
      </c>
      <c r="AW229" s="1341">
        <f t="shared" si="128"/>
        <v>0</v>
      </c>
      <c r="AX229" s="1341">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8"/>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9"/>
      <c r="AV230" s="1341">
        <f t="shared" si="127"/>
        <v>0</v>
      </c>
      <c r="AW230" s="1341">
        <f t="shared" si="128"/>
        <v>0</v>
      </c>
      <c r="AX230" s="1341">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8"/>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9"/>
      <c r="AV231" s="1341">
        <f t="shared" si="127"/>
        <v>0</v>
      </c>
      <c r="AW231" s="1341">
        <f t="shared" si="128"/>
        <v>0</v>
      </c>
      <c r="AX231" s="1341">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8"/>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9"/>
      <c r="AV232" s="1341">
        <f t="shared" si="127"/>
        <v>0</v>
      </c>
      <c r="AW232" s="1341">
        <f t="shared" si="128"/>
        <v>0</v>
      </c>
      <c r="AX232" s="1341">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8"/>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9"/>
      <c r="AV233" s="1341">
        <f t="shared" si="127"/>
        <v>0</v>
      </c>
      <c r="AW233" s="1341">
        <f t="shared" si="128"/>
        <v>0</v>
      </c>
      <c r="AX233" s="1341">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8"/>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9"/>
      <c r="AV234" s="1341">
        <f t="shared" si="127"/>
        <v>0</v>
      </c>
      <c r="AW234" s="1341">
        <f t="shared" si="128"/>
        <v>0</v>
      </c>
      <c r="AX234" s="1341">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8"/>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9"/>
      <c r="AV235" s="1341">
        <f t="shared" si="127"/>
        <v>0</v>
      </c>
      <c r="AW235" s="1341">
        <f t="shared" si="128"/>
        <v>0</v>
      </c>
      <c r="AX235" s="1341">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8"/>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9"/>
      <c r="AV236" s="1341">
        <f t="shared" si="127"/>
        <v>0</v>
      </c>
      <c r="AW236" s="1341">
        <f t="shared" si="128"/>
        <v>0</v>
      </c>
      <c r="AX236" s="1341">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8"/>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9"/>
      <c r="AV237" s="1341">
        <f t="shared" si="127"/>
        <v>0</v>
      </c>
      <c r="AW237" s="1341">
        <f t="shared" si="128"/>
        <v>0</v>
      </c>
      <c r="AX237" s="1341">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8"/>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9"/>
      <c r="AV238" s="1341">
        <f t="shared" si="127"/>
        <v>0</v>
      </c>
      <c r="AW238" s="1341">
        <f t="shared" si="128"/>
        <v>0</v>
      </c>
      <c r="AX238" s="1341">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8"/>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9"/>
      <c r="AV239" s="1341">
        <f t="shared" si="127"/>
        <v>0</v>
      </c>
      <c r="AW239" s="1341">
        <f t="shared" si="128"/>
        <v>0</v>
      </c>
      <c r="AX239" s="1341">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8"/>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9"/>
      <c r="AV240" s="1341">
        <f t="shared" si="127"/>
        <v>0</v>
      </c>
      <c r="AW240" s="1341">
        <f t="shared" si="128"/>
        <v>0</v>
      </c>
      <c r="AX240" s="1341">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8"/>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9"/>
      <c r="AV241" s="1341">
        <f t="shared" si="127"/>
        <v>0</v>
      </c>
      <c r="AW241" s="1341">
        <f t="shared" si="128"/>
        <v>0</v>
      </c>
      <c r="AX241" s="1341">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8"/>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9"/>
      <c r="AV242" s="1341">
        <f t="shared" si="127"/>
        <v>0</v>
      </c>
      <c r="AW242" s="1341">
        <f t="shared" si="128"/>
        <v>0</v>
      </c>
      <c r="AX242" s="1341">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8"/>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9"/>
      <c r="AV243" s="1341">
        <f t="shared" si="127"/>
        <v>0</v>
      </c>
      <c r="AW243" s="1341">
        <f t="shared" si="128"/>
        <v>0</v>
      </c>
      <c r="AX243" s="1341">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8"/>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9"/>
      <c r="AV244" s="1341">
        <f t="shared" si="127"/>
        <v>0</v>
      </c>
      <c r="AW244" s="1341">
        <f t="shared" si="128"/>
        <v>0</v>
      </c>
      <c r="AX244" s="1341">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8"/>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9"/>
      <c r="AV245" s="1341">
        <f t="shared" si="127"/>
        <v>0</v>
      </c>
      <c r="AW245" s="1341">
        <f t="shared" si="128"/>
        <v>0</v>
      </c>
      <c r="AX245" s="1341">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8"/>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9"/>
      <c r="AV246" s="1341">
        <f t="shared" si="127"/>
        <v>0</v>
      </c>
      <c r="AW246" s="1341">
        <f t="shared" si="128"/>
        <v>0</v>
      </c>
      <c r="AX246" s="1341">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8"/>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9"/>
      <c r="AV247" s="1341">
        <f t="shared" si="127"/>
        <v>0</v>
      </c>
      <c r="AW247" s="1341">
        <f t="shared" si="128"/>
        <v>0</v>
      </c>
      <c r="AX247" s="1341">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8"/>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9"/>
      <c r="AV248" s="1341">
        <f t="shared" si="127"/>
        <v>0</v>
      </c>
      <c r="AW248" s="1341">
        <f t="shared" si="128"/>
        <v>0</v>
      </c>
      <c r="AX248" s="1341">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8"/>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9"/>
      <c r="AV249" s="1341">
        <f t="shared" si="127"/>
        <v>0</v>
      </c>
      <c r="AW249" s="1341">
        <f t="shared" si="128"/>
        <v>0</v>
      </c>
      <c r="AX249" s="1341">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8"/>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9"/>
      <c r="AV250" s="1341">
        <f t="shared" si="127"/>
        <v>0</v>
      </c>
      <c r="AW250" s="1341">
        <f t="shared" si="128"/>
        <v>0</v>
      </c>
      <c r="AX250" s="1341">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8"/>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9"/>
      <c r="AV251" s="1341">
        <f t="shared" si="127"/>
        <v>0</v>
      </c>
      <c r="AW251" s="1341">
        <f t="shared" si="128"/>
        <v>0</v>
      </c>
      <c r="AX251" s="1341">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8"/>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9"/>
      <c r="AV252" s="1341">
        <f t="shared" si="127"/>
        <v>0</v>
      </c>
      <c r="AW252" s="1341">
        <f t="shared" si="128"/>
        <v>0</v>
      </c>
      <c r="AX252" s="1341">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8"/>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9"/>
      <c r="AV253" s="1341">
        <f t="shared" si="127"/>
        <v>0</v>
      </c>
      <c r="AW253" s="1341">
        <f t="shared" si="128"/>
        <v>0</v>
      </c>
      <c r="AX253" s="1341">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8"/>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9"/>
      <c r="AV254" s="1341">
        <f t="shared" si="127"/>
        <v>0</v>
      </c>
      <c r="AW254" s="1341">
        <f t="shared" si="128"/>
        <v>0</v>
      </c>
      <c r="AX254" s="1341">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8"/>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9"/>
      <c r="AV255" s="1341">
        <f t="shared" si="127"/>
        <v>0</v>
      </c>
      <c r="AW255" s="1341">
        <f t="shared" si="128"/>
        <v>0</v>
      </c>
      <c r="AX255" s="1341">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8"/>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9"/>
      <c r="AV256" s="1341">
        <f t="shared" si="127"/>
        <v>0</v>
      </c>
      <c r="AW256" s="1341">
        <f t="shared" si="128"/>
        <v>0</v>
      </c>
      <c r="AX256" s="1341">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8"/>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9"/>
      <c r="AV257" s="1341">
        <f t="shared" si="127"/>
        <v>0</v>
      </c>
      <c r="AW257" s="1341">
        <f t="shared" si="128"/>
        <v>0</v>
      </c>
      <c r="AX257" s="1341">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8"/>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9"/>
      <c r="AV258" s="1341">
        <f t="shared" si="127"/>
        <v>0</v>
      </c>
      <c r="AW258" s="1341">
        <f t="shared" si="128"/>
        <v>0</v>
      </c>
      <c r="AX258" s="1341">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8"/>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9"/>
      <c r="AV259" s="1341">
        <f t="shared" si="127"/>
        <v>0</v>
      </c>
      <c r="AW259" s="1341">
        <f t="shared" si="128"/>
        <v>0</v>
      </c>
      <c r="AX259" s="1341">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8"/>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9"/>
      <c r="AV260" s="1341">
        <f t="shared" si="127"/>
        <v>0</v>
      </c>
      <c r="AW260" s="1341">
        <f t="shared" si="128"/>
        <v>0</v>
      </c>
      <c r="AX260" s="1341">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8"/>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9"/>
      <c r="AV261" s="1341">
        <f t="shared" si="127"/>
        <v>0</v>
      </c>
      <c r="AW261" s="1341">
        <f t="shared" si="128"/>
        <v>0</v>
      </c>
      <c r="AX261" s="1341">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8"/>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9"/>
      <c r="AV262" s="1341">
        <f t="shared" si="127"/>
        <v>0</v>
      </c>
      <c r="AW262" s="1341">
        <f t="shared" si="128"/>
        <v>0</v>
      </c>
      <c r="AX262" s="1341">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8"/>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9"/>
      <c r="AV263" s="1341">
        <f t="shared" si="127"/>
        <v>0</v>
      </c>
      <c r="AW263" s="1341">
        <f t="shared" si="128"/>
        <v>0</v>
      </c>
      <c r="AX263" s="1341">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8"/>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9"/>
      <c r="AV264" s="1341">
        <f t="shared" si="127"/>
        <v>0</v>
      </c>
      <c r="AW264" s="1341">
        <f t="shared" si="128"/>
        <v>0</v>
      </c>
      <c r="AX264" s="1341">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8"/>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9"/>
      <c r="AV265" s="1341">
        <f t="shared" si="127"/>
        <v>0</v>
      </c>
      <c r="AW265" s="1341">
        <f t="shared" si="128"/>
        <v>0</v>
      </c>
      <c r="AX265" s="1341">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8"/>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9"/>
      <c r="AV266" s="1341">
        <f t="shared" si="127"/>
        <v>0</v>
      </c>
      <c r="AW266" s="1341">
        <f t="shared" si="128"/>
        <v>0</v>
      </c>
      <c r="AX266" s="1341">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8"/>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9"/>
      <c r="AV267" s="1341">
        <f t="shared" si="127"/>
        <v>0</v>
      </c>
      <c r="AW267" s="1341">
        <f t="shared" si="128"/>
        <v>0</v>
      </c>
      <c r="AX267" s="1341">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8"/>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9"/>
      <c r="AV268" s="1341">
        <f t="shared" si="127"/>
        <v>0</v>
      </c>
      <c r="AW268" s="1341">
        <f t="shared" si="128"/>
        <v>0</v>
      </c>
      <c r="AX268" s="1341">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8"/>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9"/>
      <c r="AV269" s="1341">
        <f t="shared" si="127"/>
        <v>0</v>
      </c>
      <c r="AW269" s="1341">
        <f t="shared" si="128"/>
        <v>0</v>
      </c>
      <c r="AX269" s="1341">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8"/>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9"/>
      <c r="AV270" s="1341">
        <f t="shared" si="127"/>
        <v>0</v>
      </c>
      <c r="AW270" s="1341">
        <f t="shared" si="128"/>
        <v>0</v>
      </c>
      <c r="AX270" s="1341">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8"/>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9"/>
      <c r="AV271" s="1341">
        <f t="shared" si="127"/>
        <v>0</v>
      </c>
      <c r="AW271" s="1341">
        <f t="shared" si="128"/>
        <v>0</v>
      </c>
      <c r="AX271" s="1341">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8"/>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9"/>
      <c r="AV272" s="1341">
        <f t="shared" si="127"/>
        <v>0</v>
      </c>
      <c r="AW272" s="1341">
        <f t="shared" si="128"/>
        <v>0</v>
      </c>
      <c r="AX272" s="1341">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8"/>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9"/>
      <c r="AV273" s="1341">
        <f t="shared" si="127"/>
        <v>0</v>
      </c>
      <c r="AW273" s="1341">
        <f t="shared" si="128"/>
        <v>0</v>
      </c>
      <c r="AX273" s="1341">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8"/>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9"/>
      <c r="AV274" s="1341">
        <f t="shared" si="127"/>
        <v>0</v>
      </c>
      <c r="AW274" s="1341">
        <f t="shared" si="128"/>
        <v>0</v>
      </c>
      <c r="AX274" s="1341">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8"/>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9"/>
      <c r="AV275" s="1341">
        <f t="shared" si="127"/>
        <v>0</v>
      </c>
      <c r="AW275" s="1341">
        <f t="shared" si="128"/>
        <v>0</v>
      </c>
      <c r="AX275" s="1341">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8"/>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9"/>
      <c r="AV276" s="1341">
        <f t="shared" si="127"/>
        <v>0</v>
      </c>
      <c r="AW276" s="1341">
        <f t="shared" si="128"/>
        <v>0</v>
      </c>
      <c r="AX276" s="1341">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8"/>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9"/>
      <c r="AV277" s="1341">
        <f t="shared" si="127"/>
        <v>0</v>
      </c>
      <c r="AW277" s="1341">
        <f t="shared" si="128"/>
        <v>0</v>
      </c>
      <c r="AX277" s="1341">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8"/>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9"/>
      <c r="AV278" s="1341">
        <f t="shared" si="127"/>
        <v>0</v>
      </c>
      <c r="AW278" s="1341">
        <f t="shared" si="128"/>
        <v>0</v>
      </c>
      <c r="AX278" s="1341">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8"/>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9"/>
      <c r="AV279" s="1341">
        <f t="shared" si="127"/>
        <v>0</v>
      </c>
      <c r="AW279" s="1341">
        <f t="shared" si="128"/>
        <v>0</v>
      </c>
      <c r="AX279" s="1341">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8"/>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9"/>
      <c r="AV280" s="1341">
        <f t="shared" si="127"/>
        <v>0</v>
      </c>
      <c r="AW280" s="1341">
        <f t="shared" si="128"/>
        <v>0</v>
      </c>
      <c r="AX280" s="1341">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8"/>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9"/>
      <c r="AV281" s="1341">
        <f t="shared" si="127"/>
        <v>0</v>
      </c>
      <c r="AW281" s="1341">
        <f t="shared" si="128"/>
        <v>0</v>
      </c>
      <c r="AX281" s="1341">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8"/>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9"/>
      <c r="AV282" s="1341">
        <f t="shared" si="127"/>
        <v>0</v>
      </c>
      <c r="AW282" s="1341">
        <f t="shared" si="128"/>
        <v>0</v>
      </c>
      <c r="AX282" s="1341">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8"/>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9"/>
      <c r="AV283" s="1341">
        <f t="shared" si="127"/>
        <v>0</v>
      </c>
      <c r="AW283" s="1341">
        <f t="shared" si="128"/>
        <v>0</v>
      </c>
      <c r="AX283" s="1341">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8"/>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9"/>
      <c r="AV284" s="1341">
        <f t="shared" si="127"/>
        <v>0</v>
      </c>
      <c r="AW284" s="1341">
        <f t="shared" si="128"/>
        <v>0</v>
      </c>
      <c r="AX284" s="1341">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8"/>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9"/>
      <c r="AV285" s="1341">
        <f t="shared" si="127"/>
        <v>0</v>
      </c>
      <c r="AW285" s="1341">
        <f t="shared" si="128"/>
        <v>0</v>
      </c>
      <c r="AX285" s="1341">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8"/>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9"/>
      <c r="AV286" s="1341">
        <f t="shared" si="127"/>
        <v>0</v>
      </c>
      <c r="AW286" s="1341">
        <f t="shared" si="128"/>
        <v>0</v>
      </c>
      <c r="AX286" s="1341">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8"/>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9"/>
      <c r="AV287" s="1341">
        <f t="shared" si="127"/>
        <v>0</v>
      </c>
      <c r="AW287" s="1341">
        <f t="shared" si="128"/>
        <v>0</v>
      </c>
      <c r="AX287" s="1341">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8"/>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9"/>
      <c r="AV288" s="1341">
        <f t="shared" si="127"/>
        <v>0</v>
      </c>
      <c r="AW288" s="1341">
        <f t="shared" si="128"/>
        <v>0</v>
      </c>
      <c r="AX288" s="1341">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8"/>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9"/>
      <c r="AV289" s="1341">
        <f t="shared" si="127"/>
        <v>0</v>
      </c>
      <c r="AW289" s="1341">
        <f t="shared" si="128"/>
        <v>0</v>
      </c>
      <c r="AX289" s="1341">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8"/>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9"/>
      <c r="AV290" s="1341">
        <f t="shared" si="127"/>
        <v>0</v>
      </c>
      <c r="AW290" s="1341">
        <f t="shared" si="128"/>
        <v>0</v>
      </c>
      <c r="AX290" s="1341">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8"/>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9"/>
      <c r="AV291" s="1341">
        <f t="shared" si="127"/>
        <v>0</v>
      </c>
      <c r="AW291" s="1341">
        <f t="shared" si="128"/>
        <v>0</v>
      </c>
      <c r="AX291" s="1341">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8"/>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9"/>
      <c r="AV292" s="1341">
        <f t="shared" si="127"/>
        <v>0</v>
      </c>
      <c r="AW292" s="1341">
        <f t="shared" si="128"/>
        <v>0</v>
      </c>
      <c r="AX292" s="1341">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8"/>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9"/>
      <c r="AV293" s="1341">
        <f t="shared" si="127"/>
        <v>0</v>
      </c>
      <c r="AW293" s="1341">
        <f t="shared" si="128"/>
        <v>0</v>
      </c>
      <c r="AX293" s="1341">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8"/>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9"/>
      <c r="AV294" s="1341">
        <f t="shared" si="127"/>
        <v>0</v>
      </c>
      <c r="AW294" s="1341">
        <f t="shared" si="128"/>
        <v>0</v>
      </c>
      <c r="AX294" s="1341">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8"/>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9"/>
      <c r="AV295" s="1341">
        <f t="shared" si="127"/>
        <v>0</v>
      </c>
      <c r="AW295" s="1341">
        <f t="shared" si="128"/>
        <v>0</v>
      </c>
      <c r="AX295" s="1341">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8"/>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9"/>
      <c r="AV296" s="1341">
        <f t="shared" si="127"/>
        <v>0</v>
      </c>
      <c r="AW296" s="1341">
        <f t="shared" si="128"/>
        <v>0</v>
      </c>
      <c r="AX296" s="1341">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8"/>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9"/>
      <c r="AV297" s="1341">
        <f t="shared" si="127"/>
        <v>0</v>
      </c>
      <c r="AW297" s="1341">
        <f t="shared" si="128"/>
        <v>0</v>
      </c>
      <c r="AX297" s="1341">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8"/>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9"/>
      <c r="AV298" s="1341">
        <f t="shared" si="127"/>
        <v>0</v>
      </c>
      <c r="AW298" s="1341">
        <f t="shared" si="128"/>
        <v>0</v>
      </c>
      <c r="AX298" s="1341">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8"/>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9"/>
      <c r="AV299" s="1341">
        <f t="shared" si="127"/>
        <v>0</v>
      </c>
      <c r="AW299" s="1341">
        <f t="shared" si="128"/>
        <v>0</v>
      </c>
      <c r="AX299" s="1341">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8"/>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9"/>
      <c r="AV300" s="1341">
        <f t="shared" si="127"/>
        <v>0</v>
      </c>
      <c r="AW300" s="1341">
        <f t="shared" si="128"/>
        <v>0</v>
      </c>
      <c r="AX300" s="1341">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8"/>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9"/>
      <c r="AV301" s="1341">
        <f t="shared" si="127"/>
        <v>0</v>
      </c>
      <c r="AW301" s="1341">
        <f t="shared" si="128"/>
        <v>0</v>
      </c>
      <c r="AX301" s="1341">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8"/>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9"/>
      <c r="AV302" s="1341">
        <f t="shared" si="127"/>
        <v>0</v>
      </c>
      <c r="AW302" s="1341">
        <f t="shared" si="128"/>
        <v>0</v>
      </c>
      <c r="AX302" s="1341">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8"/>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9"/>
      <c r="AV303" s="1341">
        <f t="shared" ref="AV303:AV334" si="178">A303</f>
        <v>0</v>
      </c>
      <c r="AW303" s="1341">
        <f t="shared" ref="AW303:AW334" si="179">B303</f>
        <v>0</v>
      </c>
      <c r="AX303" s="1341">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8"/>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9"/>
      <c r="AV304" s="1341">
        <f t="shared" si="178"/>
        <v>0</v>
      </c>
      <c r="AW304" s="1341">
        <f t="shared" si="179"/>
        <v>0</v>
      </c>
      <c r="AX304" s="1341">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8"/>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9"/>
      <c r="AV305" s="1341">
        <f t="shared" si="178"/>
        <v>0</v>
      </c>
      <c r="AW305" s="1341">
        <f t="shared" si="179"/>
        <v>0</v>
      </c>
      <c r="AX305" s="1341">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8"/>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9"/>
      <c r="AV306" s="1341">
        <f t="shared" si="178"/>
        <v>0</v>
      </c>
      <c r="AW306" s="1341">
        <f t="shared" si="179"/>
        <v>0</v>
      </c>
      <c r="AX306" s="1341">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8"/>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9"/>
      <c r="AV307" s="1341">
        <f t="shared" si="178"/>
        <v>0</v>
      </c>
      <c r="AW307" s="1341">
        <f t="shared" si="179"/>
        <v>0</v>
      </c>
      <c r="AX307" s="1341">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8"/>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9"/>
      <c r="AV308" s="1341">
        <f t="shared" si="178"/>
        <v>0</v>
      </c>
      <c r="AW308" s="1341">
        <f t="shared" si="179"/>
        <v>0</v>
      </c>
      <c r="AX308" s="1341">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8"/>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9"/>
      <c r="AV309" s="1341">
        <f t="shared" si="178"/>
        <v>0</v>
      </c>
      <c r="AW309" s="1341">
        <f t="shared" si="179"/>
        <v>0</v>
      </c>
      <c r="AX309" s="1341">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8"/>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9"/>
      <c r="AV310" s="1341">
        <f t="shared" si="178"/>
        <v>0</v>
      </c>
      <c r="AW310" s="1341">
        <f t="shared" si="179"/>
        <v>0</v>
      </c>
      <c r="AX310" s="1341">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8"/>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9"/>
      <c r="AV311" s="1341">
        <f t="shared" si="178"/>
        <v>0</v>
      </c>
      <c r="AW311" s="1341">
        <f t="shared" si="179"/>
        <v>0</v>
      </c>
      <c r="AX311" s="1341">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8"/>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9"/>
      <c r="AV312" s="1341">
        <f t="shared" si="178"/>
        <v>0</v>
      </c>
      <c r="AW312" s="1341">
        <f t="shared" si="179"/>
        <v>0</v>
      </c>
      <c r="AX312" s="1341">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8"/>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9"/>
      <c r="AV313" s="1341">
        <f t="shared" si="178"/>
        <v>0</v>
      </c>
      <c r="AW313" s="1341">
        <f t="shared" si="179"/>
        <v>0</v>
      </c>
      <c r="AX313" s="1341">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8"/>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9"/>
      <c r="AV314" s="1341">
        <f t="shared" si="178"/>
        <v>0</v>
      </c>
      <c r="AW314" s="1341">
        <f t="shared" si="179"/>
        <v>0</v>
      </c>
      <c r="AX314" s="1341">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8"/>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9"/>
      <c r="AV315" s="1341">
        <f t="shared" si="178"/>
        <v>0</v>
      </c>
      <c r="AW315" s="1341">
        <f t="shared" si="179"/>
        <v>0</v>
      </c>
      <c r="AX315" s="1341">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8"/>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9"/>
      <c r="AV316" s="1341">
        <f t="shared" si="178"/>
        <v>0</v>
      </c>
      <c r="AW316" s="1341">
        <f t="shared" si="179"/>
        <v>0</v>
      </c>
      <c r="AX316" s="1341">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8"/>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9"/>
      <c r="AV317" s="1341">
        <f t="shared" si="178"/>
        <v>0</v>
      </c>
      <c r="AW317" s="1341">
        <f t="shared" si="179"/>
        <v>0</v>
      </c>
      <c r="AX317" s="1341">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8"/>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9"/>
      <c r="AV318" s="1341">
        <f t="shared" si="178"/>
        <v>0</v>
      </c>
      <c r="AW318" s="1341">
        <f t="shared" si="179"/>
        <v>0</v>
      </c>
      <c r="AX318" s="1341">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8"/>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9"/>
      <c r="AV319" s="1341">
        <f t="shared" si="178"/>
        <v>0</v>
      </c>
      <c r="AW319" s="1341">
        <f t="shared" si="179"/>
        <v>0</v>
      </c>
      <c r="AX319" s="1341">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8"/>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9"/>
      <c r="AV320" s="1341">
        <f t="shared" si="178"/>
        <v>0</v>
      </c>
      <c r="AW320" s="1341">
        <f t="shared" si="179"/>
        <v>0</v>
      </c>
      <c r="AX320" s="1341">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8"/>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9"/>
      <c r="AV321" s="1341">
        <f t="shared" si="178"/>
        <v>0</v>
      </c>
      <c r="AW321" s="1341">
        <f t="shared" si="179"/>
        <v>0</v>
      </c>
      <c r="AX321" s="1341">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8"/>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9"/>
      <c r="AV322" s="1341">
        <f t="shared" si="178"/>
        <v>0</v>
      </c>
      <c r="AW322" s="1341">
        <f t="shared" si="179"/>
        <v>0</v>
      </c>
      <c r="AX322" s="1341">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8"/>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9"/>
      <c r="AV323" s="1341">
        <f t="shared" si="178"/>
        <v>0</v>
      </c>
      <c r="AW323" s="1341">
        <f t="shared" si="179"/>
        <v>0</v>
      </c>
      <c r="AX323" s="1341">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8"/>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9"/>
      <c r="AV324" s="1341">
        <f t="shared" si="178"/>
        <v>0</v>
      </c>
      <c r="AW324" s="1341">
        <f t="shared" si="179"/>
        <v>0</v>
      </c>
      <c r="AX324" s="1341">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8"/>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9"/>
      <c r="AV325" s="1341">
        <f t="shared" si="178"/>
        <v>0</v>
      </c>
      <c r="AW325" s="1341">
        <f t="shared" si="179"/>
        <v>0</v>
      </c>
      <c r="AX325" s="1341">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8"/>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9"/>
      <c r="AV326" s="1341">
        <f t="shared" si="178"/>
        <v>0</v>
      </c>
      <c r="AW326" s="1341">
        <f t="shared" si="179"/>
        <v>0</v>
      </c>
      <c r="AX326" s="1341">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8"/>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9"/>
      <c r="AV327" s="1341">
        <f t="shared" si="178"/>
        <v>0</v>
      </c>
      <c r="AW327" s="1341">
        <f t="shared" si="179"/>
        <v>0</v>
      </c>
      <c r="AX327" s="1341">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8"/>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9"/>
      <c r="AV328" s="1341">
        <f t="shared" si="178"/>
        <v>0</v>
      </c>
      <c r="AW328" s="1341">
        <f t="shared" si="179"/>
        <v>0</v>
      </c>
      <c r="AX328" s="1341">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8"/>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9"/>
      <c r="AV329" s="1341">
        <f t="shared" si="178"/>
        <v>0</v>
      </c>
      <c r="AW329" s="1341">
        <f t="shared" si="179"/>
        <v>0</v>
      </c>
      <c r="AX329" s="1341">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8"/>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9"/>
      <c r="AV330" s="1341">
        <f t="shared" si="178"/>
        <v>0</v>
      </c>
      <c r="AW330" s="1341">
        <f t="shared" si="179"/>
        <v>0</v>
      </c>
      <c r="AX330" s="1341">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8"/>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9"/>
      <c r="AV331" s="1341">
        <f t="shared" si="178"/>
        <v>0</v>
      </c>
      <c r="AW331" s="1341">
        <f t="shared" si="179"/>
        <v>0</v>
      </c>
      <c r="AX331" s="1341">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8"/>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9"/>
      <c r="AV332" s="1341">
        <f t="shared" si="178"/>
        <v>0</v>
      </c>
      <c r="AW332" s="1341">
        <f t="shared" si="179"/>
        <v>0</v>
      </c>
      <c r="AX332" s="1341">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8"/>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9"/>
      <c r="AV333" s="1341">
        <f t="shared" si="178"/>
        <v>0</v>
      </c>
      <c r="AW333" s="1341">
        <f t="shared" si="179"/>
        <v>0</v>
      </c>
      <c r="AX333" s="1341">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8"/>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9"/>
      <c r="AV334" s="1341">
        <f t="shared" si="178"/>
        <v>0</v>
      </c>
      <c r="AW334" s="1341">
        <f t="shared" si="179"/>
        <v>0</v>
      </c>
      <c r="AX334" s="1341">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8"/>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9"/>
      <c r="AV335" s="1341">
        <f t="shared" ref="AV335:AV366" si="207">A335</f>
        <v>0</v>
      </c>
      <c r="AW335" s="1341">
        <f t="shared" ref="AW335:AW366" si="208">B335</f>
        <v>0</v>
      </c>
      <c r="AX335" s="1341">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8"/>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9"/>
      <c r="AV336" s="1341">
        <f t="shared" si="207"/>
        <v>0</v>
      </c>
      <c r="AW336" s="1341">
        <f t="shared" si="208"/>
        <v>0</v>
      </c>
      <c r="AX336" s="1341">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8"/>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9"/>
      <c r="AV337" s="1341">
        <f t="shared" si="207"/>
        <v>0</v>
      </c>
      <c r="AW337" s="1341">
        <f t="shared" si="208"/>
        <v>0</v>
      </c>
      <c r="AX337" s="1341">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8"/>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9"/>
      <c r="AV338" s="1341">
        <f t="shared" si="207"/>
        <v>0</v>
      </c>
      <c r="AW338" s="1341">
        <f t="shared" si="208"/>
        <v>0</v>
      </c>
      <c r="AX338" s="1341">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8"/>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9"/>
      <c r="AV339" s="1341">
        <f t="shared" si="207"/>
        <v>0</v>
      </c>
      <c r="AW339" s="1341">
        <f t="shared" si="208"/>
        <v>0</v>
      </c>
      <c r="AX339" s="1341">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8"/>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9"/>
      <c r="AV340" s="1341">
        <f t="shared" si="207"/>
        <v>0</v>
      </c>
      <c r="AW340" s="1341">
        <f t="shared" si="208"/>
        <v>0</v>
      </c>
      <c r="AX340" s="1341">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8"/>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9"/>
      <c r="AV341" s="1341">
        <f t="shared" si="207"/>
        <v>0</v>
      </c>
      <c r="AW341" s="1341">
        <f t="shared" si="208"/>
        <v>0</v>
      </c>
      <c r="AX341" s="1341">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8"/>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9"/>
      <c r="AV342" s="1341">
        <f t="shared" si="207"/>
        <v>0</v>
      </c>
      <c r="AW342" s="1341">
        <f t="shared" si="208"/>
        <v>0</v>
      </c>
      <c r="AX342" s="1341">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8"/>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9"/>
      <c r="AV343" s="1341">
        <f t="shared" si="207"/>
        <v>0</v>
      </c>
      <c r="AW343" s="1341">
        <f t="shared" si="208"/>
        <v>0</v>
      </c>
      <c r="AX343" s="1341">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8"/>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9"/>
      <c r="AV344" s="1341">
        <f t="shared" si="207"/>
        <v>0</v>
      </c>
      <c r="AW344" s="1341">
        <f t="shared" si="208"/>
        <v>0</v>
      </c>
      <c r="AX344" s="1341">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8"/>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9"/>
      <c r="AV345" s="1341">
        <f t="shared" si="207"/>
        <v>0</v>
      </c>
      <c r="AW345" s="1341">
        <f t="shared" si="208"/>
        <v>0</v>
      </c>
      <c r="AX345" s="1341">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8"/>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9"/>
      <c r="AV346" s="1341">
        <f t="shared" si="207"/>
        <v>0</v>
      </c>
      <c r="AW346" s="1341">
        <f t="shared" si="208"/>
        <v>0</v>
      </c>
      <c r="AX346" s="1341">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8"/>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9"/>
      <c r="AV347" s="1341">
        <f t="shared" si="207"/>
        <v>0</v>
      </c>
      <c r="AW347" s="1341">
        <f t="shared" si="208"/>
        <v>0</v>
      </c>
      <c r="AX347" s="1341">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8"/>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9"/>
      <c r="AV348" s="1341">
        <f t="shared" si="207"/>
        <v>0</v>
      </c>
      <c r="AW348" s="1341">
        <f t="shared" si="208"/>
        <v>0</v>
      </c>
      <c r="AX348" s="1341">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8"/>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9"/>
      <c r="AV349" s="1341">
        <f t="shared" si="207"/>
        <v>0</v>
      </c>
      <c r="AW349" s="1341">
        <f t="shared" si="208"/>
        <v>0</v>
      </c>
      <c r="AX349" s="1341">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8"/>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9"/>
      <c r="AV350" s="1341">
        <f t="shared" si="207"/>
        <v>0</v>
      </c>
      <c r="AW350" s="1341">
        <f t="shared" si="208"/>
        <v>0</v>
      </c>
      <c r="AX350" s="1341">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8"/>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9"/>
      <c r="AV351" s="1341">
        <f t="shared" si="207"/>
        <v>0</v>
      </c>
      <c r="AW351" s="1341">
        <f t="shared" si="208"/>
        <v>0</v>
      </c>
      <c r="AX351" s="1341">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8"/>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9"/>
      <c r="AV352" s="1341">
        <f t="shared" si="207"/>
        <v>0</v>
      </c>
      <c r="AW352" s="1341">
        <f t="shared" si="208"/>
        <v>0</v>
      </c>
      <c r="AX352" s="1341">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8"/>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9"/>
      <c r="AV353" s="1341">
        <f t="shared" si="207"/>
        <v>0</v>
      </c>
      <c r="AW353" s="1341">
        <f t="shared" si="208"/>
        <v>0</v>
      </c>
      <c r="AX353" s="1341">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8"/>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9"/>
      <c r="AV354" s="1341">
        <f t="shared" si="207"/>
        <v>0</v>
      </c>
      <c r="AW354" s="1341">
        <f t="shared" si="208"/>
        <v>0</v>
      </c>
      <c r="AX354" s="1341">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8"/>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9"/>
      <c r="AV355" s="1341">
        <f t="shared" si="207"/>
        <v>0</v>
      </c>
      <c r="AW355" s="1341">
        <f t="shared" si="208"/>
        <v>0</v>
      </c>
      <c r="AX355" s="1341">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8"/>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9"/>
      <c r="AV356" s="1341">
        <f t="shared" si="207"/>
        <v>0</v>
      </c>
      <c r="AW356" s="1341">
        <f t="shared" si="208"/>
        <v>0</v>
      </c>
      <c r="AX356" s="1341">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8"/>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9"/>
      <c r="AV357" s="1341">
        <f t="shared" si="207"/>
        <v>0</v>
      </c>
      <c r="AW357" s="1341">
        <f t="shared" si="208"/>
        <v>0</v>
      </c>
      <c r="AX357" s="1341">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8"/>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9"/>
      <c r="AV358" s="1341">
        <f t="shared" si="207"/>
        <v>0</v>
      </c>
      <c r="AW358" s="1341">
        <f t="shared" si="208"/>
        <v>0</v>
      </c>
      <c r="AX358" s="1341">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8"/>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9"/>
      <c r="AV359" s="1341">
        <f t="shared" si="207"/>
        <v>0</v>
      </c>
      <c r="AW359" s="1341">
        <f t="shared" si="208"/>
        <v>0</v>
      </c>
      <c r="AX359" s="1341">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8"/>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9"/>
      <c r="AV360" s="1341">
        <f t="shared" si="207"/>
        <v>0</v>
      </c>
      <c r="AW360" s="1341">
        <f t="shared" si="208"/>
        <v>0</v>
      </c>
      <c r="AX360" s="1341">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8"/>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9"/>
      <c r="AV361" s="1341">
        <f t="shared" si="207"/>
        <v>0</v>
      </c>
      <c r="AW361" s="1341">
        <f t="shared" si="208"/>
        <v>0</v>
      </c>
      <c r="AX361" s="1341">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8"/>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9"/>
      <c r="AV362" s="1341">
        <f t="shared" si="207"/>
        <v>0</v>
      </c>
      <c r="AW362" s="1341">
        <f t="shared" si="208"/>
        <v>0</v>
      </c>
      <c r="AX362" s="1341">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8"/>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9"/>
      <c r="AV363" s="1341">
        <f t="shared" si="207"/>
        <v>0</v>
      </c>
      <c r="AW363" s="1341">
        <f t="shared" si="208"/>
        <v>0</v>
      </c>
      <c r="AX363" s="1341">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8"/>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9"/>
      <c r="AV364" s="1341">
        <f t="shared" si="207"/>
        <v>0</v>
      </c>
      <c r="AW364" s="1341">
        <f t="shared" si="208"/>
        <v>0</v>
      </c>
      <c r="AX364" s="1341">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8"/>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9"/>
      <c r="AV365" s="1341">
        <f t="shared" si="207"/>
        <v>0</v>
      </c>
      <c r="AW365" s="1341">
        <f t="shared" si="208"/>
        <v>0</v>
      </c>
      <c r="AX365" s="1341">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8"/>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9"/>
      <c r="AV366" s="1341">
        <f t="shared" si="207"/>
        <v>0</v>
      </c>
      <c r="AW366" s="1341">
        <f t="shared" si="208"/>
        <v>0</v>
      </c>
      <c r="AX366" s="1341">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8"/>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9"/>
      <c r="AV367" s="1341">
        <f t="shared" ref="AV367:AV397" si="236">A367</f>
        <v>0</v>
      </c>
      <c r="AW367" s="1341">
        <f t="shared" ref="AW367:AW397" si="237">B367</f>
        <v>0</v>
      </c>
      <c r="AX367" s="1341">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8"/>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9"/>
      <c r="AV368" s="1341">
        <f t="shared" si="236"/>
        <v>0</v>
      </c>
      <c r="AW368" s="1341">
        <f t="shared" si="237"/>
        <v>0</v>
      </c>
      <c r="AX368" s="1341">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8"/>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9"/>
      <c r="AV369" s="1341">
        <f t="shared" si="236"/>
        <v>0</v>
      </c>
      <c r="AW369" s="1341">
        <f t="shared" si="237"/>
        <v>0</v>
      </c>
      <c r="AX369" s="1341">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8"/>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9"/>
      <c r="AV370" s="1341">
        <f t="shared" si="236"/>
        <v>0</v>
      </c>
      <c r="AW370" s="1341">
        <f t="shared" si="237"/>
        <v>0</v>
      </c>
      <c r="AX370" s="1341">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8"/>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9"/>
      <c r="AV371" s="1341">
        <f t="shared" si="236"/>
        <v>0</v>
      </c>
      <c r="AW371" s="1341">
        <f t="shared" si="237"/>
        <v>0</v>
      </c>
      <c r="AX371" s="1341">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8"/>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9"/>
      <c r="AV372" s="1341">
        <f t="shared" si="236"/>
        <v>0</v>
      </c>
      <c r="AW372" s="1341">
        <f t="shared" si="237"/>
        <v>0</v>
      </c>
      <c r="AX372" s="1341">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8"/>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9"/>
      <c r="AV373" s="1341">
        <f t="shared" si="236"/>
        <v>0</v>
      </c>
      <c r="AW373" s="1341">
        <f t="shared" si="237"/>
        <v>0</v>
      </c>
      <c r="AX373" s="1341">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8"/>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9"/>
      <c r="AV374" s="1341">
        <f t="shared" si="236"/>
        <v>0</v>
      </c>
      <c r="AW374" s="1341">
        <f t="shared" si="237"/>
        <v>0</v>
      </c>
      <c r="AX374" s="1341">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8"/>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9"/>
      <c r="AV375" s="1341">
        <f t="shared" si="236"/>
        <v>0</v>
      </c>
      <c r="AW375" s="1341">
        <f t="shared" si="237"/>
        <v>0</v>
      </c>
      <c r="AX375" s="1341">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8"/>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9"/>
      <c r="AV376" s="1341">
        <f t="shared" si="236"/>
        <v>0</v>
      </c>
      <c r="AW376" s="1341">
        <f t="shared" si="237"/>
        <v>0</v>
      </c>
      <c r="AX376" s="1341">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8"/>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9"/>
      <c r="AV377" s="1341">
        <f t="shared" si="236"/>
        <v>0</v>
      </c>
      <c r="AW377" s="1341">
        <f t="shared" si="237"/>
        <v>0</v>
      </c>
      <c r="AX377" s="1341">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8"/>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9"/>
      <c r="AV378" s="1341">
        <f t="shared" si="236"/>
        <v>0</v>
      </c>
      <c r="AW378" s="1341">
        <f t="shared" si="237"/>
        <v>0</v>
      </c>
      <c r="AX378" s="1341">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8"/>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9"/>
      <c r="AV379" s="1341">
        <f t="shared" si="236"/>
        <v>0</v>
      </c>
      <c r="AW379" s="1341">
        <f t="shared" si="237"/>
        <v>0</v>
      </c>
      <c r="AX379" s="1341">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8"/>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9"/>
      <c r="AV380" s="1341">
        <f t="shared" si="236"/>
        <v>0</v>
      </c>
      <c r="AW380" s="1341">
        <f t="shared" si="237"/>
        <v>0</v>
      </c>
      <c r="AX380" s="1341">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8"/>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9"/>
      <c r="AV381" s="1341">
        <f t="shared" si="236"/>
        <v>0</v>
      </c>
      <c r="AW381" s="1341">
        <f t="shared" si="237"/>
        <v>0</v>
      </c>
      <c r="AX381" s="1341">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8"/>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9"/>
      <c r="AV382" s="1341">
        <f t="shared" si="236"/>
        <v>0</v>
      </c>
      <c r="AW382" s="1341">
        <f t="shared" si="237"/>
        <v>0</v>
      </c>
      <c r="AX382" s="1341">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8"/>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9"/>
      <c r="AV383" s="1341">
        <f t="shared" si="236"/>
        <v>0</v>
      </c>
      <c r="AW383" s="1341">
        <f t="shared" si="237"/>
        <v>0</v>
      </c>
      <c r="AX383" s="1341">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8"/>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9"/>
      <c r="AV384" s="1341">
        <f t="shared" si="236"/>
        <v>0</v>
      </c>
      <c r="AW384" s="1341">
        <f t="shared" si="237"/>
        <v>0</v>
      </c>
      <c r="AX384" s="1341">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8"/>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9"/>
      <c r="AV385" s="1341">
        <f t="shared" si="236"/>
        <v>0</v>
      </c>
      <c r="AW385" s="1341">
        <f t="shared" si="237"/>
        <v>0</v>
      </c>
      <c r="AX385" s="1341">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8"/>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9"/>
      <c r="AV386" s="1341">
        <f t="shared" si="236"/>
        <v>0</v>
      </c>
      <c r="AW386" s="1341">
        <f t="shared" si="237"/>
        <v>0</v>
      </c>
      <c r="AX386" s="1341">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8"/>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9"/>
      <c r="AV387" s="1341">
        <f t="shared" si="236"/>
        <v>0</v>
      </c>
      <c r="AW387" s="1341">
        <f t="shared" si="237"/>
        <v>0</v>
      </c>
      <c r="AX387" s="1341">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8"/>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9"/>
      <c r="AV388" s="1341">
        <f t="shared" si="236"/>
        <v>0</v>
      </c>
      <c r="AW388" s="1341">
        <f t="shared" si="237"/>
        <v>0</v>
      </c>
      <c r="AX388" s="1341">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8"/>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9"/>
      <c r="AV389" s="1341">
        <f t="shared" si="236"/>
        <v>0</v>
      </c>
      <c r="AW389" s="1341">
        <f t="shared" si="237"/>
        <v>0</v>
      </c>
      <c r="AX389" s="1341">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8"/>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9"/>
      <c r="AV390" s="1341">
        <f t="shared" si="236"/>
        <v>0</v>
      </c>
      <c r="AW390" s="1341">
        <f t="shared" si="237"/>
        <v>0</v>
      </c>
      <c r="AX390" s="1341">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8"/>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9"/>
      <c r="AV391" s="1341">
        <f t="shared" si="236"/>
        <v>0</v>
      </c>
      <c r="AW391" s="1341">
        <f t="shared" si="237"/>
        <v>0</v>
      </c>
      <c r="AX391" s="1341">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8"/>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9"/>
      <c r="AV392" s="1341">
        <f t="shared" si="236"/>
        <v>0</v>
      </c>
      <c r="AW392" s="1341">
        <f t="shared" si="237"/>
        <v>0</v>
      </c>
      <c r="AX392" s="1341">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8"/>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9"/>
      <c r="AV393" s="1341">
        <f t="shared" si="236"/>
        <v>0</v>
      </c>
      <c r="AW393" s="1341">
        <f t="shared" si="237"/>
        <v>0</v>
      </c>
      <c r="AX393" s="1341">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8"/>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9"/>
      <c r="AV394" s="1341">
        <f t="shared" si="236"/>
        <v>0</v>
      </c>
      <c r="AW394" s="1341">
        <f t="shared" si="237"/>
        <v>0</v>
      </c>
      <c r="AX394" s="1341">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8"/>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9"/>
      <c r="AV395" s="1341">
        <f t="shared" si="236"/>
        <v>0</v>
      </c>
      <c r="AW395" s="1341">
        <f t="shared" si="237"/>
        <v>0</v>
      </c>
      <c r="AX395" s="1341">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8"/>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9"/>
      <c r="AV396" s="1341">
        <f t="shared" si="236"/>
        <v>0</v>
      </c>
      <c r="AW396" s="1341">
        <f t="shared" si="237"/>
        <v>0</v>
      </c>
      <c r="AX396" s="1341">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8"/>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9"/>
      <c r="AV397" s="1341">
        <f t="shared" si="236"/>
        <v>0</v>
      </c>
      <c r="AW397" s="1341">
        <f t="shared" si="237"/>
        <v>0</v>
      </c>
      <c r="AX397" s="1341">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8"/>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9"/>
      <c r="AV398" s="1341">
        <f t="shared" ref="AV398:AV492" si="243">A398</f>
        <v>0</v>
      </c>
      <c r="AW398" s="1341">
        <f t="shared" ref="AW398:AW492" si="244">B398</f>
        <v>0</v>
      </c>
      <c r="AX398" s="1341">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8"/>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9"/>
      <c r="AV399" s="1341">
        <f t="shared" si="243"/>
        <v>0</v>
      </c>
      <c r="AW399" s="1341">
        <f t="shared" si="244"/>
        <v>0</v>
      </c>
      <c r="AX399" s="1341">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8"/>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9"/>
      <c r="AV400" s="1341">
        <f t="shared" si="243"/>
        <v>0</v>
      </c>
      <c r="AW400" s="1341">
        <f t="shared" si="244"/>
        <v>0</v>
      </c>
      <c r="AX400" s="1341">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8"/>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9"/>
      <c r="AV401" s="1341">
        <f t="shared" si="243"/>
        <v>0</v>
      </c>
      <c r="AW401" s="1341">
        <f t="shared" si="244"/>
        <v>0</v>
      </c>
      <c r="AX401" s="1341">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8"/>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9"/>
      <c r="AV402" s="1341">
        <f t="shared" si="243"/>
        <v>0</v>
      </c>
      <c r="AW402" s="1341">
        <f t="shared" si="244"/>
        <v>0</v>
      </c>
      <c r="AX402" s="1341">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8"/>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9"/>
      <c r="AV403" s="1341">
        <f t="shared" si="243"/>
        <v>0</v>
      </c>
      <c r="AW403" s="1341">
        <f t="shared" si="244"/>
        <v>0</v>
      </c>
      <c r="AX403" s="1341">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8"/>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9"/>
      <c r="AV404" s="1341">
        <f t="shared" si="243"/>
        <v>0</v>
      </c>
      <c r="AW404" s="1341">
        <f t="shared" si="244"/>
        <v>0</v>
      </c>
      <c r="AX404" s="1341">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8"/>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9"/>
      <c r="AV405" s="1341">
        <f t="shared" si="243"/>
        <v>0</v>
      </c>
      <c r="AW405" s="1341">
        <f t="shared" si="244"/>
        <v>0</v>
      </c>
      <c r="AX405" s="1341">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8"/>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9"/>
      <c r="AV406" s="1341">
        <f t="shared" si="243"/>
        <v>0</v>
      </c>
      <c r="AW406" s="1341">
        <f t="shared" si="244"/>
        <v>0</v>
      </c>
      <c r="AX406" s="1341">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8"/>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9"/>
      <c r="AV407" s="1341">
        <f t="shared" si="243"/>
        <v>0</v>
      </c>
      <c r="AW407" s="1341">
        <f t="shared" si="244"/>
        <v>0</v>
      </c>
      <c r="AX407" s="1341">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8"/>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9"/>
      <c r="AV408" s="1341">
        <f t="shared" si="243"/>
        <v>0</v>
      </c>
      <c r="AW408" s="1341">
        <f t="shared" si="244"/>
        <v>0</v>
      </c>
      <c r="AX408" s="1341">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8"/>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9"/>
      <c r="AV409" s="1341">
        <f t="shared" si="243"/>
        <v>0</v>
      </c>
      <c r="AW409" s="1341">
        <f t="shared" si="244"/>
        <v>0</v>
      </c>
      <c r="AX409" s="1341">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8"/>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9"/>
      <c r="AV410" s="1341">
        <f t="shared" si="243"/>
        <v>0</v>
      </c>
      <c r="AW410" s="1341">
        <f t="shared" si="244"/>
        <v>0</v>
      </c>
      <c r="AX410" s="1341">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8"/>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9"/>
      <c r="AV411" s="1341">
        <f t="shared" si="243"/>
        <v>0</v>
      </c>
      <c r="AW411" s="1341">
        <f t="shared" si="244"/>
        <v>0</v>
      </c>
      <c r="AX411" s="1341">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8"/>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9"/>
      <c r="AV412" s="1341">
        <f t="shared" si="243"/>
        <v>0</v>
      </c>
      <c r="AW412" s="1341">
        <f t="shared" si="244"/>
        <v>0</v>
      </c>
      <c r="AX412" s="1341">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8"/>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9"/>
      <c r="AV413" s="1341">
        <f t="shared" si="243"/>
        <v>0</v>
      </c>
      <c r="AW413" s="1341">
        <f t="shared" si="244"/>
        <v>0</v>
      </c>
      <c r="AX413" s="1341">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8"/>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9"/>
      <c r="AV414" s="1341">
        <f t="shared" si="243"/>
        <v>0</v>
      </c>
      <c r="AW414" s="1341">
        <f t="shared" si="244"/>
        <v>0</v>
      </c>
      <c r="AX414" s="1341">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8"/>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9"/>
      <c r="AV415" s="1341">
        <f t="shared" si="243"/>
        <v>0</v>
      </c>
      <c r="AW415" s="1341">
        <f t="shared" si="244"/>
        <v>0</v>
      </c>
      <c r="AX415" s="1341">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8"/>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9"/>
      <c r="AV416" s="1341">
        <f t="shared" si="243"/>
        <v>0</v>
      </c>
      <c r="AW416" s="1341">
        <f t="shared" si="244"/>
        <v>0</v>
      </c>
      <c r="AX416" s="1341">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8"/>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9"/>
      <c r="AV417" s="1341">
        <f t="shared" si="243"/>
        <v>0</v>
      </c>
      <c r="AW417" s="1341">
        <f t="shared" si="244"/>
        <v>0</v>
      </c>
      <c r="AX417" s="1341">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8"/>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9"/>
      <c r="AV418" s="1341">
        <f t="shared" si="243"/>
        <v>0</v>
      </c>
      <c r="AW418" s="1341">
        <f t="shared" si="244"/>
        <v>0</v>
      </c>
      <c r="AX418" s="1341">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8"/>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9"/>
      <c r="AV419" s="1341">
        <f t="shared" si="243"/>
        <v>0</v>
      </c>
      <c r="AW419" s="1341">
        <f t="shared" si="244"/>
        <v>0</v>
      </c>
      <c r="AX419" s="1341">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8"/>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9"/>
      <c r="AV420" s="1341">
        <f t="shared" si="243"/>
        <v>0</v>
      </c>
      <c r="AW420" s="1341">
        <f t="shared" si="244"/>
        <v>0</v>
      </c>
      <c r="AX420" s="1341">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8"/>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9"/>
      <c r="AV421" s="1341">
        <f t="shared" si="243"/>
        <v>0</v>
      </c>
      <c r="AW421" s="1341">
        <f t="shared" si="244"/>
        <v>0</v>
      </c>
      <c r="AX421" s="1341">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8"/>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9"/>
      <c r="AV422" s="1341">
        <f t="shared" si="243"/>
        <v>0</v>
      </c>
      <c r="AW422" s="1341">
        <f t="shared" si="244"/>
        <v>0</v>
      </c>
      <c r="AX422" s="1341">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8"/>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9"/>
      <c r="AV423" s="1341">
        <f t="shared" si="243"/>
        <v>0</v>
      </c>
      <c r="AW423" s="1341">
        <f t="shared" si="244"/>
        <v>0</v>
      </c>
      <c r="AX423" s="1341">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8"/>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9"/>
      <c r="AV424" s="1341">
        <f t="shared" si="243"/>
        <v>0</v>
      </c>
      <c r="AW424" s="1341">
        <f t="shared" si="244"/>
        <v>0</v>
      </c>
      <c r="AX424" s="1341">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8"/>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9"/>
      <c r="AV425" s="1341">
        <f t="shared" si="243"/>
        <v>0</v>
      </c>
      <c r="AW425" s="1341">
        <f t="shared" si="244"/>
        <v>0</v>
      </c>
      <c r="AX425" s="1341">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8"/>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9"/>
      <c r="AV426" s="1341">
        <f t="shared" si="243"/>
        <v>0</v>
      </c>
      <c r="AW426" s="1341">
        <f t="shared" si="244"/>
        <v>0</v>
      </c>
      <c r="AX426" s="1341">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8"/>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9"/>
      <c r="AV427" s="1341">
        <f t="shared" si="243"/>
        <v>0</v>
      </c>
      <c r="AW427" s="1341">
        <f t="shared" si="244"/>
        <v>0</v>
      </c>
      <c r="AX427" s="1341">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8"/>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9"/>
      <c r="AV428" s="1341">
        <f t="shared" si="243"/>
        <v>0</v>
      </c>
      <c r="AW428" s="1341">
        <f t="shared" si="244"/>
        <v>0</v>
      </c>
      <c r="AX428" s="1341">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8"/>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9"/>
      <c r="AV429" s="1341">
        <f t="shared" si="243"/>
        <v>0</v>
      </c>
      <c r="AW429" s="1341">
        <f t="shared" si="244"/>
        <v>0</v>
      </c>
      <c r="AX429" s="1341">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8"/>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9"/>
      <c r="AV430" s="1341">
        <f t="shared" si="243"/>
        <v>0</v>
      </c>
      <c r="AW430" s="1341">
        <f t="shared" si="244"/>
        <v>0</v>
      </c>
      <c r="AX430" s="1341">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8"/>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9"/>
      <c r="AV431" s="1341">
        <f t="shared" si="243"/>
        <v>0</v>
      </c>
      <c r="AW431" s="1341">
        <f t="shared" si="244"/>
        <v>0</v>
      </c>
      <c r="AX431" s="1341">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8"/>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9"/>
      <c r="AV432" s="1341">
        <f t="shared" si="243"/>
        <v>0</v>
      </c>
      <c r="AW432" s="1341">
        <f t="shared" si="244"/>
        <v>0</v>
      </c>
      <c r="AX432" s="1341">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8"/>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9"/>
      <c r="AV433" s="1341">
        <f t="shared" si="243"/>
        <v>0</v>
      </c>
      <c r="AW433" s="1341">
        <f t="shared" si="244"/>
        <v>0</v>
      </c>
      <c r="AX433" s="1341">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8"/>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9"/>
      <c r="AV434" s="1341">
        <f t="shared" si="243"/>
        <v>0</v>
      </c>
      <c r="AW434" s="1341">
        <f t="shared" si="244"/>
        <v>0</v>
      </c>
      <c r="AX434" s="1341">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8"/>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9"/>
      <c r="AV435" s="1341">
        <f t="shared" si="243"/>
        <v>0</v>
      </c>
      <c r="AW435" s="1341">
        <f t="shared" si="244"/>
        <v>0</v>
      </c>
      <c r="AX435" s="1341">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8"/>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9"/>
      <c r="AV436" s="1341">
        <f t="shared" si="243"/>
        <v>0</v>
      </c>
      <c r="AW436" s="1341">
        <f t="shared" si="244"/>
        <v>0</v>
      </c>
      <c r="AX436" s="1341">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8"/>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9"/>
      <c r="AV437" s="1341">
        <f t="shared" si="243"/>
        <v>0</v>
      </c>
      <c r="AW437" s="1341">
        <f t="shared" si="244"/>
        <v>0</v>
      </c>
      <c r="AX437" s="1341">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8"/>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9"/>
      <c r="AV438" s="1341">
        <f t="shared" si="243"/>
        <v>0</v>
      </c>
      <c r="AW438" s="1341">
        <f t="shared" si="244"/>
        <v>0</v>
      </c>
      <c r="AX438" s="1341">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8"/>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9"/>
      <c r="AV439" s="1341">
        <f t="shared" si="243"/>
        <v>0</v>
      </c>
      <c r="AW439" s="1341">
        <f t="shared" si="244"/>
        <v>0</v>
      </c>
      <c r="AX439" s="1341">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8"/>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9"/>
      <c r="AV440" s="1341">
        <f t="shared" si="243"/>
        <v>0</v>
      </c>
      <c r="AW440" s="1341">
        <f t="shared" si="244"/>
        <v>0</v>
      </c>
      <c r="AX440" s="1341">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8"/>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9"/>
      <c r="AV441" s="1341">
        <f t="shared" si="243"/>
        <v>0</v>
      </c>
      <c r="AW441" s="1341">
        <f t="shared" si="244"/>
        <v>0</v>
      </c>
      <c r="AX441" s="1341">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8"/>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9"/>
      <c r="AV442" s="1341">
        <f t="shared" si="243"/>
        <v>0</v>
      </c>
      <c r="AW442" s="1341">
        <f t="shared" si="244"/>
        <v>0</v>
      </c>
      <c r="AX442" s="1341">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8"/>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9"/>
      <c r="AV443" s="1341">
        <f t="shared" si="243"/>
        <v>0</v>
      </c>
      <c r="AW443" s="1341">
        <f t="shared" si="244"/>
        <v>0</v>
      </c>
      <c r="AX443" s="1341">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8"/>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9"/>
      <c r="AV444" s="1341">
        <f t="shared" si="243"/>
        <v>0</v>
      </c>
      <c r="AW444" s="1341">
        <f t="shared" si="244"/>
        <v>0</v>
      </c>
      <c r="AX444" s="1341">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8"/>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9"/>
      <c r="AV445" s="1341">
        <f t="shared" si="243"/>
        <v>0</v>
      </c>
      <c r="AW445" s="1341">
        <f t="shared" si="244"/>
        <v>0</v>
      </c>
      <c r="AX445" s="1341">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8"/>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9"/>
      <c r="AV446" s="1341">
        <f t="shared" si="243"/>
        <v>0</v>
      </c>
      <c r="AW446" s="1341">
        <f t="shared" si="244"/>
        <v>0</v>
      </c>
      <c r="AX446" s="1341">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8"/>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9"/>
      <c r="AV447" s="1341">
        <f t="shared" si="243"/>
        <v>0</v>
      </c>
      <c r="AW447" s="1341">
        <f t="shared" si="244"/>
        <v>0</v>
      </c>
      <c r="AX447" s="1341">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8"/>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9"/>
      <c r="AV448" s="1341">
        <f t="shared" si="243"/>
        <v>0</v>
      </c>
      <c r="AW448" s="1341">
        <f t="shared" si="244"/>
        <v>0</v>
      </c>
      <c r="AX448" s="1341">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8"/>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9"/>
      <c r="AV449" s="1341">
        <f t="shared" si="243"/>
        <v>0</v>
      </c>
      <c r="AW449" s="1341">
        <f t="shared" si="244"/>
        <v>0</v>
      </c>
      <c r="AX449" s="1341">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8"/>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9"/>
      <c r="AV450" s="1341">
        <f t="shared" si="243"/>
        <v>0</v>
      </c>
      <c r="AW450" s="1341">
        <f t="shared" si="244"/>
        <v>0</v>
      </c>
      <c r="AX450" s="1341">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8"/>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9"/>
      <c r="AV451" s="1341">
        <f t="shared" si="243"/>
        <v>0</v>
      </c>
      <c r="AW451" s="1341">
        <f t="shared" si="244"/>
        <v>0</v>
      </c>
      <c r="AX451" s="1341">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8"/>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9"/>
      <c r="AV452" s="1341">
        <f t="shared" si="243"/>
        <v>0</v>
      </c>
      <c r="AW452" s="1341">
        <f t="shared" si="244"/>
        <v>0</v>
      </c>
      <c r="AX452" s="1341">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8"/>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9"/>
      <c r="AV453" s="1341">
        <f t="shared" si="243"/>
        <v>0</v>
      </c>
      <c r="AW453" s="1341">
        <f t="shared" si="244"/>
        <v>0</v>
      </c>
      <c r="AX453" s="1341">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8"/>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9"/>
      <c r="AV454" s="1341">
        <f t="shared" si="243"/>
        <v>0</v>
      </c>
      <c r="AW454" s="1341">
        <f t="shared" si="244"/>
        <v>0</v>
      </c>
      <c r="AX454" s="1341">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8"/>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9"/>
      <c r="AV455" s="1341">
        <f t="shared" si="243"/>
        <v>0</v>
      </c>
      <c r="AW455" s="1341">
        <f t="shared" si="244"/>
        <v>0</v>
      </c>
      <c r="AX455" s="1341">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8"/>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9"/>
      <c r="AV456" s="1341">
        <f t="shared" si="243"/>
        <v>0</v>
      </c>
      <c r="AW456" s="1341">
        <f t="shared" si="244"/>
        <v>0</v>
      </c>
      <c r="AX456" s="1341">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8"/>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9"/>
      <c r="AV457" s="1341">
        <f t="shared" si="243"/>
        <v>0</v>
      </c>
      <c r="AW457" s="1341">
        <f t="shared" si="244"/>
        <v>0</v>
      </c>
      <c r="AX457" s="1341">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8"/>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9"/>
      <c r="AV458" s="1341">
        <f t="shared" si="243"/>
        <v>0</v>
      </c>
      <c r="AW458" s="1341">
        <f t="shared" si="244"/>
        <v>0</v>
      </c>
      <c r="AX458" s="1341">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8"/>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9"/>
      <c r="AV459" s="1341">
        <f t="shared" si="243"/>
        <v>0</v>
      </c>
      <c r="AW459" s="1341">
        <f t="shared" si="244"/>
        <v>0</v>
      </c>
      <c r="AX459" s="1341">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8"/>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9"/>
      <c r="AV460" s="1341">
        <f t="shared" si="243"/>
        <v>0</v>
      </c>
      <c r="AW460" s="1341">
        <f t="shared" si="244"/>
        <v>0</v>
      </c>
      <c r="AX460" s="1341">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8"/>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9"/>
      <c r="AV461" s="1341">
        <f t="shared" si="243"/>
        <v>0</v>
      </c>
      <c r="AW461" s="1341">
        <f t="shared" si="244"/>
        <v>0</v>
      </c>
      <c r="AX461" s="1341">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8"/>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9"/>
      <c r="AV462" s="1341">
        <f t="shared" si="243"/>
        <v>0</v>
      </c>
      <c r="AW462" s="1341">
        <f t="shared" si="244"/>
        <v>0</v>
      </c>
      <c r="AX462" s="1341">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8"/>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9"/>
      <c r="AV463" s="1341">
        <f t="shared" si="243"/>
        <v>0</v>
      </c>
      <c r="AW463" s="1341">
        <f t="shared" si="244"/>
        <v>0</v>
      </c>
      <c r="AX463" s="1341">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8"/>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9"/>
      <c r="AV464" s="1341">
        <f t="shared" si="243"/>
        <v>0</v>
      </c>
      <c r="AW464" s="1341">
        <f t="shared" si="244"/>
        <v>0</v>
      </c>
      <c r="AX464" s="1341">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8"/>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9"/>
      <c r="AV465" s="1341">
        <f t="shared" si="243"/>
        <v>0</v>
      </c>
      <c r="AW465" s="1341">
        <f t="shared" si="244"/>
        <v>0</v>
      </c>
      <c r="AX465" s="1341">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8"/>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9"/>
      <c r="AV466" s="1341">
        <f t="shared" si="243"/>
        <v>0</v>
      </c>
      <c r="AW466" s="1341">
        <f t="shared" si="244"/>
        <v>0</v>
      </c>
      <c r="AX466" s="1341">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8"/>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9"/>
      <c r="AV467" s="1341">
        <f t="shared" si="243"/>
        <v>0</v>
      </c>
      <c r="AW467" s="1341">
        <f t="shared" si="244"/>
        <v>0</v>
      </c>
      <c r="AX467" s="1341">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8"/>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9"/>
      <c r="AV468" s="1341">
        <f t="shared" si="243"/>
        <v>0</v>
      </c>
      <c r="AW468" s="1341">
        <f t="shared" si="244"/>
        <v>0</v>
      </c>
      <c r="AX468" s="1341">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8"/>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9"/>
      <c r="AV469" s="1341">
        <f t="shared" si="243"/>
        <v>0</v>
      </c>
      <c r="AW469" s="1341">
        <f t="shared" si="244"/>
        <v>0</v>
      </c>
      <c r="AX469" s="1341">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8"/>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9"/>
      <c r="AV470" s="1341">
        <f t="shared" si="243"/>
        <v>0</v>
      </c>
      <c r="AW470" s="1341">
        <f t="shared" si="244"/>
        <v>0</v>
      </c>
      <c r="AX470" s="1341">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8"/>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9"/>
      <c r="AV471" s="1341">
        <f t="shared" si="243"/>
        <v>0</v>
      </c>
      <c r="AW471" s="1341">
        <f t="shared" si="244"/>
        <v>0</v>
      </c>
      <c r="AX471" s="1341">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8"/>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9"/>
      <c r="AV472" s="1341">
        <f t="shared" si="243"/>
        <v>0</v>
      </c>
      <c r="AW472" s="1341">
        <f t="shared" si="244"/>
        <v>0</v>
      </c>
      <c r="AX472" s="1341">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8"/>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9"/>
      <c r="AV473" s="1341">
        <f t="shared" si="243"/>
        <v>0</v>
      </c>
      <c r="AW473" s="1341">
        <f t="shared" si="244"/>
        <v>0</v>
      </c>
      <c r="AX473" s="1341">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8"/>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9"/>
      <c r="AV474" s="1341">
        <f t="shared" si="243"/>
        <v>0</v>
      </c>
      <c r="AW474" s="1341">
        <f t="shared" si="244"/>
        <v>0</v>
      </c>
      <c r="AX474" s="1341">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8"/>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9"/>
      <c r="AV475" s="1341">
        <f t="shared" si="243"/>
        <v>0</v>
      </c>
      <c r="AW475" s="1341">
        <f t="shared" si="244"/>
        <v>0</v>
      </c>
      <c r="AX475" s="1341">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8"/>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9"/>
      <c r="AV476" s="1341">
        <f t="shared" si="243"/>
        <v>0</v>
      </c>
      <c r="AW476" s="1341">
        <f t="shared" si="244"/>
        <v>0</v>
      </c>
      <c r="AX476" s="1341">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8"/>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9"/>
      <c r="AV477" s="1341">
        <f t="shared" si="243"/>
        <v>0</v>
      </c>
      <c r="AW477" s="1341">
        <f t="shared" si="244"/>
        <v>0</v>
      </c>
      <c r="AX477" s="1341">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8"/>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9"/>
      <c r="AV478" s="1341">
        <f t="shared" si="243"/>
        <v>0</v>
      </c>
      <c r="AW478" s="1341">
        <f t="shared" si="244"/>
        <v>0</v>
      </c>
      <c r="AX478" s="1341">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8"/>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9"/>
      <c r="AV479" s="1341">
        <f t="shared" si="243"/>
        <v>0</v>
      </c>
      <c r="AW479" s="1341">
        <f t="shared" si="244"/>
        <v>0</v>
      </c>
      <c r="AX479" s="1341">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8"/>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9"/>
      <c r="AV480" s="1341">
        <f t="shared" si="243"/>
        <v>0</v>
      </c>
      <c r="AW480" s="1341">
        <f t="shared" si="244"/>
        <v>0</v>
      </c>
      <c r="AX480" s="1341">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8"/>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9"/>
      <c r="AV481" s="1341">
        <f t="shared" si="243"/>
        <v>0</v>
      </c>
      <c r="AW481" s="1341">
        <f t="shared" si="244"/>
        <v>0</v>
      </c>
      <c r="AX481" s="1341">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8"/>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9"/>
      <c r="AV482" s="1341">
        <f t="shared" si="243"/>
        <v>0</v>
      </c>
      <c r="AW482" s="1341">
        <f t="shared" si="244"/>
        <v>0</v>
      </c>
      <c r="AX482" s="1341">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8"/>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9"/>
      <c r="AV483" s="1341">
        <f t="shared" si="243"/>
        <v>0</v>
      </c>
      <c r="AW483" s="1341">
        <f t="shared" si="244"/>
        <v>0</v>
      </c>
      <c r="AX483" s="1341">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8"/>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9"/>
      <c r="AV484" s="1341">
        <f t="shared" si="243"/>
        <v>0</v>
      </c>
      <c r="AW484" s="1341">
        <f t="shared" si="244"/>
        <v>0</v>
      </c>
      <c r="AX484" s="1341">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8"/>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9"/>
      <c r="AV485" s="1341">
        <f t="shared" si="243"/>
        <v>0</v>
      </c>
      <c r="AW485" s="1341">
        <f t="shared" si="244"/>
        <v>0</v>
      </c>
      <c r="AX485" s="1341">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8"/>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9"/>
      <c r="AV486" s="1341">
        <f t="shared" si="243"/>
        <v>0</v>
      </c>
      <c r="AW486" s="1341">
        <f t="shared" si="244"/>
        <v>0</v>
      </c>
      <c r="AX486" s="1341">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8"/>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9"/>
      <c r="AV487" s="1341">
        <f t="shared" si="243"/>
        <v>0</v>
      </c>
      <c r="AW487" s="1341">
        <f t="shared" si="244"/>
        <v>0</v>
      </c>
      <c r="AX487" s="1341">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8"/>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9"/>
      <c r="AV488" s="1341">
        <f t="shared" si="243"/>
        <v>0</v>
      </c>
      <c r="AW488" s="1341">
        <f t="shared" si="244"/>
        <v>0</v>
      </c>
      <c r="AX488" s="1341">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8"/>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9"/>
      <c r="AV489" s="1341">
        <f t="shared" si="243"/>
        <v>0</v>
      </c>
      <c r="AW489" s="1341">
        <f t="shared" si="244"/>
        <v>0</v>
      </c>
      <c r="AX489" s="1341">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8"/>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9"/>
      <c r="AV490" s="1341">
        <f t="shared" si="243"/>
        <v>0</v>
      </c>
      <c r="AW490" s="1341">
        <f t="shared" si="244"/>
        <v>0</v>
      </c>
      <c r="AX490" s="1341">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8"/>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9"/>
      <c r="AV491" s="1341">
        <f t="shared" si="243"/>
        <v>0</v>
      </c>
      <c r="AW491" s="1341">
        <f t="shared" si="244"/>
        <v>0</v>
      </c>
      <c r="AX491" s="1341">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8"/>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9"/>
      <c r="AV492" s="1341">
        <f t="shared" si="243"/>
        <v>0</v>
      </c>
      <c r="AW492" s="1341">
        <f t="shared" si="244"/>
        <v>0</v>
      </c>
      <c r="AX492" s="1341">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8"/>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9"/>
      <c r="AV493" s="1341">
        <f t="shared" ref="AV493:AV520" si="294">A493</f>
        <v>0</v>
      </c>
      <c r="AW493" s="1341">
        <f t="shared" ref="AW493:AW520" si="295">B493</f>
        <v>0</v>
      </c>
      <c r="AX493" s="1341">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8"/>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9"/>
      <c r="AV494" s="1341">
        <f t="shared" si="294"/>
        <v>0</v>
      </c>
      <c r="AW494" s="1341">
        <f t="shared" si="295"/>
        <v>0</v>
      </c>
      <c r="AX494" s="1341">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8"/>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9"/>
      <c r="AV495" s="1341">
        <f t="shared" si="294"/>
        <v>0</v>
      </c>
      <c r="AW495" s="1341">
        <f t="shared" si="295"/>
        <v>0</v>
      </c>
      <c r="AX495" s="1341">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8"/>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9"/>
      <c r="AV496" s="1341">
        <f t="shared" si="294"/>
        <v>0</v>
      </c>
      <c r="AW496" s="1341">
        <f t="shared" si="295"/>
        <v>0</v>
      </c>
      <c r="AX496" s="1341">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8"/>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9"/>
      <c r="AV497" s="1341">
        <f t="shared" si="294"/>
        <v>0</v>
      </c>
      <c r="AW497" s="1341">
        <f t="shared" si="295"/>
        <v>0</v>
      </c>
      <c r="AX497" s="1341">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8"/>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9"/>
      <c r="AV498" s="1341">
        <f t="shared" si="294"/>
        <v>0</v>
      </c>
      <c r="AW498" s="1341">
        <f t="shared" si="295"/>
        <v>0</v>
      </c>
      <c r="AX498" s="1341">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8"/>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9"/>
      <c r="AV499" s="1341">
        <f t="shared" si="294"/>
        <v>0</v>
      </c>
      <c r="AW499" s="1341">
        <f t="shared" si="295"/>
        <v>0</v>
      </c>
      <c r="AX499" s="1341">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8"/>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9"/>
      <c r="AV500" s="1341">
        <f t="shared" si="294"/>
        <v>0</v>
      </c>
      <c r="AW500" s="1341">
        <f t="shared" si="295"/>
        <v>0</v>
      </c>
      <c r="AX500" s="1341">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8"/>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9"/>
      <c r="AV501" s="1341">
        <f t="shared" si="294"/>
        <v>0</v>
      </c>
      <c r="AW501" s="1341">
        <f t="shared" si="295"/>
        <v>0</v>
      </c>
      <c r="AX501" s="1341">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8"/>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9"/>
      <c r="AV502" s="1341">
        <f t="shared" si="294"/>
        <v>0</v>
      </c>
      <c r="AW502" s="1341">
        <f t="shared" si="295"/>
        <v>0</v>
      </c>
      <c r="AX502" s="1341">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8"/>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9"/>
      <c r="AV503" s="1341">
        <f t="shared" si="294"/>
        <v>0</v>
      </c>
      <c r="AW503" s="1341">
        <f t="shared" si="295"/>
        <v>0</v>
      </c>
      <c r="AX503" s="1341">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8"/>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9"/>
      <c r="AV504" s="1341">
        <f t="shared" si="294"/>
        <v>0</v>
      </c>
      <c r="AW504" s="1341">
        <f t="shared" si="295"/>
        <v>0</v>
      </c>
      <c r="AX504" s="1341">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8"/>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9"/>
      <c r="AV505" s="1341">
        <f t="shared" si="294"/>
        <v>0</v>
      </c>
      <c r="AW505" s="1341">
        <f t="shared" si="295"/>
        <v>0</v>
      </c>
      <c r="AX505" s="1341">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8"/>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9"/>
      <c r="AV506" s="1341">
        <f t="shared" si="294"/>
        <v>0</v>
      </c>
      <c r="AW506" s="1341">
        <f t="shared" si="295"/>
        <v>0</v>
      </c>
      <c r="AX506" s="1341">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8"/>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9"/>
      <c r="AV507" s="1341">
        <f t="shared" si="294"/>
        <v>0</v>
      </c>
      <c r="AW507" s="1341">
        <f t="shared" si="295"/>
        <v>0</v>
      </c>
      <c r="AX507" s="1341">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8"/>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9"/>
      <c r="AV508" s="1341">
        <f t="shared" si="294"/>
        <v>0</v>
      </c>
      <c r="AW508" s="1341">
        <f t="shared" si="295"/>
        <v>0</v>
      </c>
      <c r="AX508" s="1341">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8"/>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9"/>
      <c r="AV509" s="1341">
        <f t="shared" si="294"/>
        <v>0</v>
      </c>
      <c r="AW509" s="1341">
        <f t="shared" si="295"/>
        <v>0</v>
      </c>
      <c r="AX509" s="1341">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8"/>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9"/>
      <c r="AV510" s="1341">
        <f t="shared" si="294"/>
        <v>0</v>
      </c>
      <c r="AW510" s="1341">
        <f t="shared" si="295"/>
        <v>0</v>
      </c>
      <c r="AX510" s="1341">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8"/>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9"/>
      <c r="AV511" s="1341">
        <f t="shared" si="294"/>
        <v>0</v>
      </c>
      <c r="AW511" s="1341">
        <f t="shared" si="295"/>
        <v>0</v>
      </c>
      <c r="AX511" s="1341">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8"/>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9"/>
      <c r="AV512" s="1341">
        <f t="shared" si="294"/>
        <v>0</v>
      </c>
      <c r="AW512" s="1341">
        <f t="shared" si="295"/>
        <v>0</v>
      </c>
      <c r="AX512" s="1341">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8"/>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9"/>
      <c r="AV513" s="1341">
        <f t="shared" si="294"/>
        <v>0</v>
      </c>
      <c r="AW513" s="1341">
        <f t="shared" si="295"/>
        <v>0</v>
      </c>
      <c r="AX513" s="1341">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8"/>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9"/>
      <c r="AV514" s="1341">
        <f t="shared" si="294"/>
        <v>0</v>
      </c>
      <c r="AW514" s="1341">
        <f t="shared" si="295"/>
        <v>0</v>
      </c>
      <c r="AX514" s="1341">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8"/>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9"/>
      <c r="AV515" s="1341">
        <f t="shared" si="294"/>
        <v>0</v>
      </c>
      <c r="AW515" s="1341">
        <f t="shared" si="295"/>
        <v>0</v>
      </c>
      <c r="AX515" s="1341">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8"/>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9"/>
      <c r="AV516" s="1341">
        <f t="shared" si="294"/>
        <v>0</v>
      </c>
      <c r="AW516" s="1341">
        <f t="shared" si="295"/>
        <v>0</v>
      </c>
      <c r="AX516" s="1341">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8"/>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9"/>
      <c r="AV517" s="1341">
        <f t="shared" si="294"/>
        <v>0</v>
      </c>
      <c r="AW517" s="1341">
        <f t="shared" si="295"/>
        <v>0</v>
      </c>
      <c r="AX517" s="1341">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8"/>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9"/>
      <c r="AV518" s="1341">
        <f t="shared" si="294"/>
        <v>0</v>
      </c>
      <c r="AW518" s="1341">
        <f t="shared" si="295"/>
        <v>0</v>
      </c>
      <c r="AX518" s="1341">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8"/>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9"/>
      <c r="AV519" s="1341">
        <f t="shared" si="294"/>
        <v>0</v>
      </c>
      <c r="AW519" s="1341">
        <f t="shared" si="295"/>
        <v>0</v>
      </c>
      <c r="AX519" s="1341">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8"/>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9"/>
      <c r="AV520" s="1341">
        <f t="shared" si="294"/>
        <v>0</v>
      </c>
      <c r="AW520" s="1341">
        <f t="shared" si="295"/>
        <v>0</v>
      </c>
      <c r="AX520" s="1341">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8"/>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9"/>
      <c r="AV521" s="1341">
        <f t="shared" ref="AV521:AV552" si="298">A521</f>
        <v>0</v>
      </c>
      <c r="AW521" s="1341">
        <f t="shared" ref="AW521:AW552" si="299">B521</f>
        <v>0</v>
      </c>
      <c r="AX521" s="1341">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8"/>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9"/>
      <c r="AV522" s="1341">
        <f t="shared" si="298"/>
        <v>0</v>
      </c>
      <c r="AW522" s="1341">
        <f t="shared" si="299"/>
        <v>0</v>
      </c>
      <c r="AX522" s="1341">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8"/>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9"/>
      <c r="AV523" s="1341">
        <f t="shared" si="298"/>
        <v>0</v>
      </c>
      <c r="AW523" s="1341">
        <f t="shared" si="299"/>
        <v>0</v>
      </c>
      <c r="AX523" s="1341">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8"/>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9"/>
      <c r="AV524" s="1341">
        <f t="shared" si="298"/>
        <v>0</v>
      </c>
      <c r="AW524" s="1341">
        <f t="shared" si="299"/>
        <v>0</v>
      </c>
      <c r="AX524" s="1341">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8"/>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9"/>
      <c r="AV525" s="1341">
        <f t="shared" si="298"/>
        <v>0</v>
      </c>
      <c r="AW525" s="1341">
        <f t="shared" si="299"/>
        <v>0</v>
      </c>
      <c r="AX525" s="1341">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8"/>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9"/>
      <c r="AV526" s="1341">
        <f t="shared" si="298"/>
        <v>0</v>
      </c>
      <c r="AW526" s="1341">
        <f t="shared" si="299"/>
        <v>0</v>
      </c>
      <c r="AX526" s="1341">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8"/>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9"/>
      <c r="AV527" s="1341">
        <f t="shared" si="298"/>
        <v>0</v>
      </c>
      <c r="AW527" s="1341">
        <f t="shared" si="299"/>
        <v>0</v>
      </c>
      <c r="AX527" s="1341">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8"/>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9"/>
      <c r="AV528" s="1341">
        <f t="shared" si="298"/>
        <v>0</v>
      </c>
      <c r="AW528" s="1341">
        <f t="shared" si="299"/>
        <v>0</v>
      </c>
      <c r="AX528" s="1341">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8"/>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9"/>
      <c r="AV529" s="1341">
        <f t="shared" si="298"/>
        <v>0</v>
      </c>
      <c r="AW529" s="1341">
        <f t="shared" si="299"/>
        <v>0</v>
      </c>
      <c r="AX529" s="1341">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8"/>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9"/>
      <c r="AV530" s="1341">
        <f t="shared" si="298"/>
        <v>0</v>
      </c>
      <c r="AW530" s="1341">
        <f t="shared" si="299"/>
        <v>0</v>
      </c>
      <c r="AX530" s="1341">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8"/>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9"/>
      <c r="AV531" s="1341">
        <f t="shared" si="298"/>
        <v>0</v>
      </c>
      <c r="AW531" s="1341">
        <f t="shared" si="299"/>
        <v>0</v>
      </c>
      <c r="AX531" s="1341">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8"/>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9"/>
      <c r="AV532" s="1341">
        <f t="shared" si="298"/>
        <v>0</v>
      </c>
      <c r="AW532" s="1341">
        <f t="shared" si="299"/>
        <v>0</v>
      </c>
      <c r="AX532" s="1341">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8"/>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9"/>
      <c r="AV533" s="1341">
        <f t="shared" si="298"/>
        <v>0</v>
      </c>
      <c r="AW533" s="1341">
        <f t="shared" si="299"/>
        <v>0</v>
      </c>
      <c r="AX533" s="1341">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8"/>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9"/>
      <c r="AV534" s="1341">
        <f t="shared" si="298"/>
        <v>0</v>
      </c>
      <c r="AW534" s="1341">
        <f t="shared" si="299"/>
        <v>0</v>
      </c>
      <c r="AX534" s="1341">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8"/>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9"/>
      <c r="AV535" s="1341">
        <f t="shared" si="298"/>
        <v>0</v>
      </c>
      <c r="AW535" s="1341">
        <f t="shared" si="299"/>
        <v>0</v>
      </c>
      <c r="AX535" s="1341">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8"/>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9"/>
      <c r="AV536" s="1341">
        <f t="shared" si="298"/>
        <v>0</v>
      </c>
      <c r="AW536" s="1341">
        <f t="shared" si="299"/>
        <v>0</v>
      </c>
      <c r="AX536" s="1341">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8"/>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9"/>
      <c r="AV537" s="1341">
        <f t="shared" si="298"/>
        <v>0</v>
      </c>
      <c r="AW537" s="1341">
        <f t="shared" si="299"/>
        <v>0</v>
      </c>
      <c r="AX537" s="1341">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8"/>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9"/>
      <c r="AV538" s="1341">
        <f t="shared" si="298"/>
        <v>0</v>
      </c>
      <c r="AW538" s="1341">
        <f t="shared" si="299"/>
        <v>0</v>
      </c>
      <c r="AX538" s="1341">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8"/>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9"/>
      <c r="AV539" s="1341">
        <f t="shared" si="298"/>
        <v>0</v>
      </c>
      <c r="AW539" s="1341">
        <f t="shared" si="299"/>
        <v>0</v>
      </c>
      <c r="AX539" s="1341">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8"/>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9"/>
      <c r="AV540" s="1341">
        <f t="shared" si="298"/>
        <v>0</v>
      </c>
      <c r="AW540" s="1341">
        <f t="shared" si="299"/>
        <v>0</v>
      </c>
      <c r="AX540" s="1341">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8"/>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9"/>
      <c r="AV541" s="1341">
        <f t="shared" si="298"/>
        <v>0</v>
      </c>
      <c r="AW541" s="1341">
        <f t="shared" si="299"/>
        <v>0</v>
      </c>
      <c r="AX541" s="1341">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8"/>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9"/>
      <c r="AV542" s="1341">
        <f t="shared" si="298"/>
        <v>0</v>
      </c>
      <c r="AW542" s="1341">
        <f t="shared" si="299"/>
        <v>0</v>
      </c>
      <c r="AX542" s="1341">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8"/>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9"/>
      <c r="AV543" s="1341">
        <f t="shared" si="298"/>
        <v>0</v>
      </c>
      <c r="AW543" s="1341">
        <f t="shared" si="299"/>
        <v>0</v>
      </c>
      <c r="AX543" s="1341">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8"/>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9"/>
      <c r="AV544" s="1341">
        <f t="shared" si="298"/>
        <v>0</v>
      </c>
      <c r="AW544" s="1341">
        <f t="shared" si="299"/>
        <v>0</v>
      </c>
      <c r="AX544" s="1341">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8"/>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9"/>
      <c r="AV545" s="1341">
        <f t="shared" si="298"/>
        <v>0</v>
      </c>
      <c r="AW545" s="1341">
        <f t="shared" si="299"/>
        <v>0</v>
      </c>
      <c r="AX545" s="1341">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8"/>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9"/>
      <c r="AV546" s="1341">
        <f t="shared" si="298"/>
        <v>0</v>
      </c>
      <c r="AW546" s="1341">
        <f t="shared" si="299"/>
        <v>0</v>
      </c>
      <c r="AX546" s="1341">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8"/>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9"/>
      <c r="AV547" s="1341">
        <f t="shared" si="298"/>
        <v>0</v>
      </c>
      <c r="AW547" s="1341">
        <f t="shared" si="299"/>
        <v>0</v>
      </c>
      <c r="AX547" s="1341">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8"/>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9"/>
      <c r="AV548" s="1341">
        <f t="shared" si="298"/>
        <v>0</v>
      </c>
      <c r="AW548" s="1341">
        <f t="shared" si="299"/>
        <v>0</v>
      </c>
      <c r="AX548" s="1341">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8"/>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9"/>
      <c r="AV549" s="1341">
        <f t="shared" si="298"/>
        <v>0</v>
      </c>
      <c r="AW549" s="1341">
        <f t="shared" si="299"/>
        <v>0</v>
      </c>
      <c r="AX549" s="1341">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8"/>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9"/>
      <c r="AV550" s="1341">
        <f t="shared" si="298"/>
        <v>0</v>
      </c>
      <c r="AW550" s="1341">
        <f t="shared" si="299"/>
        <v>0</v>
      </c>
      <c r="AX550" s="1341">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8"/>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9"/>
      <c r="AV551" s="1341">
        <f t="shared" si="298"/>
        <v>0</v>
      </c>
      <c r="AW551" s="1341">
        <f t="shared" si="299"/>
        <v>0</v>
      </c>
      <c r="AX551" s="1341">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8"/>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9"/>
      <c r="AV552" s="1341">
        <f t="shared" si="298"/>
        <v>0</v>
      </c>
      <c r="AW552" s="1341">
        <f t="shared" si="299"/>
        <v>0</v>
      </c>
      <c r="AX552" s="1341">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8"/>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9"/>
      <c r="AV553" s="1341">
        <f t="shared" ref="AV553:AV587" si="330">A553</f>
        <v>0</v>
      </c>
      <c r="AW553" s="1341">
        <f t="shared" ref="AW553:AW587" si="331">B553</f>
        <v>0</v>
      </c>
      <c r="AX553" s="1341">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8"/>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9"/>
      <c r="AV554" s="1341">
        <f t="shared" si="330"/>
        <v>0</v>
      </c>
      <c r="AW554" s="1341">
        <f t="shared" si="331"/>
        <v>0</v>
      </c>
      <c r="AX554" s="1341">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8"/>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9"/>
      <c r="AV555" s="1341">
        <f t="shared" si="330"/>
        <v>0</v>
      </c>
      <c r="AW555" s="1341">
        <f t="shared" si="331"/>
        <v>0</v>
      </c>
      <c r="AX555" s="1341">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8"/>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9"/>
      <c r="AV556" s="1341">
        <f t="shared" si="330"/>
        <v>0</v>
      </c>
      <c r="AW556" s="1341">
        <f t="shared" si="331"/>
        <v>0</v>
      </c>
      <c r="AX556" s="1341">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8"/>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9"/>
      <c r="AV557" s="1341">
        <f t="shared" si="330"/>
        <v>0</v>
      </c>
      <c r="AW557" s="1341">
        <f t="shared" si="331"/>
        <v>0</v>
      </c>
      <c r="AX557" s="1341">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8"/>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9"/>
      <c r="AV558" s="1341">
        <f t="shared" si="330"/>
        <v>0</v>
      </c>
      <c r="AW558" s="1341">
        <f t="shared" si="331"/>
        <v>0</v>
      </c>
      <c r="AX558" s="1341">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8"/>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9"/>
      <c r="AV559" s="1341">
        <f t="shared" si="330"/>
        <v>0</v>
      </c>
      <c r="AW559" s="1341">
        <f t="shared" si="331"/>
        <v>0</v>
      </c>
      <c r="AX559" s="1341">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8"/>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9"/>
      <c r="AV560" s="1341">
        <f t="shared" si="330"/>
        <v>0</v>
      </c>
      <c r="AW560" s="1341">
        <f t="shared" si="331"/>
        <v>0</v>
      </c>
      <c r="AX560" s="1341">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8"/>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9"/>
      <c r="AV561" s="1341">
        <f t="shared" si="330"/>
        <v>0</v>
      </c>
      <c r="AW561" s="1341">
        <f t="shared" si="331"/>
        <v>0</v>
      </c>
      <c r="AX561" s="1341">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8"/>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9"/>
      <c r="AV562" s="1341">
        <f t="shared" si="330"/>
        <v>0</v>
      </c>
      <c r="AW562" s="1341">
        <f t="shared" si="331"/>
        <v>0</v>
      </c>
      <c r="AX562" s="1341">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8"/>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9"/>
      <c r="AV563" s="1341">
        <f t="shared" si="330"/>
        <v>0</v>
      </c>
      <c r="AW563" s="1341">
        <f t="shared" si="331"/>
        <v>0</v>
      </c>
      <c r="AX563" s="1341">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8"/>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9"/>
      <c r="AV564" s="1341">
        <f t="shared" si="330"/>
        <v>0</v>
      </c>
      <c r="AW564" s="1341">
        <f t="shared" si="331"/>
        <v>0</v>
      </c>
      <c r="AX564" s="1341">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8"/>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9"/>
      <c r="AV565" s="1341">
        <f t="shared" si="330"/>
        <v>0</v>
      </c>
      <c r="AW565" s="1341">
        <f t="shared" si="331"/>
        <v>0</v>
      </c>
      <c r="AX565" s="1341">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8"/>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9"/>
      <c r="AV566" s="1341">
        <f t="shared" si="330"/>
        <v>0</v>
      </c>
      <c r="AW566" s="1341">
        <f t="shared" si="331"/>
        <v>0</v>
      </c>
      <c r="AX566" s="1341">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8"/>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9"/>
      <c r="AV567" s="1341">
        <f t="shared" si="330"/>
        <v>0</v>
      </c>
      <c r="AW567" s="1341">
        <f t="shared" si="331"/>
        <v>0</v>
      </c>
      <c r="AX567" s="1341">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8"/>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9"/>
      <c r="AV568" s="1341">
        <f t="shared" si="330"/>
        <v>0</v>
      </c>
      <c r="AW568" s="1341">
        <f t="shared" si="331"/>
        <v>0</v>
      </c>
      <c r="AX568" s="1341">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8"/>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9"/>
      <c r="AV569" s="1341">
        <f t="shared" si="330"/>
        <v>0</v>
      </c>
      <c r="AW569" s="1341">
        <f t="shared" si="331"/>
        <v>0</v>
      </c>
      <c r="AX569" s="1341">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8"/>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9"/>
      <c r="AV570" s="1341">
        <f t="shared" si="330"/>
        <v>0</v>
      </c>
      <c r="AW570" s="1341">
        <f t="shared" si="331"/>
        <v>0</v>
      </c>
      <c r="AX570" s="1341">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8"/>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9"/>
      <c r="AV571" s="1341">
        <f t="shared" si="330"/>
        <v>0</v>
      </c>
      <c r="AW571" s="1341">
        <f t="shared" si="331"/>
        <v>0</v>
      </c>
      <c r="AX571" s="1341">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8"/>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9"/>
      <c r="AV572" s="1341">
        <f t="shared" si="330"/>
        <v>0</v>
      </c>
      <c r="AW572" s="1341">
        <f t="shared" si="331"/>
        <v>0</v>
      </c>
      <c r="AX572" s="1341">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8"/>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9"/>
      <c r="AV573" s="1341">
        <f t="shared" si="330"/>
        <v>0</v>
      </c>
      <c r="AW573" s="1341">
        <f t="shared" si="331"/>
        <v>0</v>
      </c>
      <c r="AX573" s="1341">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8"/>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9"/>
      <c r="AV574" s="1341">
        <f t="shared" si="330"/>
        <v>0</v>
      </c>
      <c r="AW574" s="1341">
        <f t="shared" si="331"/>
        <v>0</v>
      </c>
      <c r="AX574" s="1341">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8"/>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9"/>
      <c r="AV575" s="1341">
        <f t="shared" si="330"/>
        <v>0</v>
      </c>
      <c r="AW575" s="1341">
        <f t="shared" si="331"/>
        <v>0</v>
      </c>
      <c r="AX575" s="1341">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8"/>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9"/>
      <c r="AV576" s="1341">
        <f t="shared" si="330"/>
        <v>0</v>
      </c>
      <c r="AW576" s="1341">
        <f t="shared" si="331"/>
        <v>0</v>
      </c>
      <c r="AX576" s="1341">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8"/>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9"/>
      <c r="AV577" s="1341">
        <f t="shared" si="330"/>
        <v>0</v>
      </c>
      <c r="AW577" s="1341">
        <f t="shared" si="331"/>
        <v>0</v>
      </c>
      <c r="AX577" s="1341">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8"/>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9"/>
      <c r="AV578" s="1341">
        <f t="shared" si="330"/>
        <v>0</v>
      </c>
      <c r="AW578" s="1341">
        <f t="shared" si="331"/>
        <v>0</v>
      </c>
      <c r="AX578" s="1341">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8"/>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9"/>
      <c r="AV579" s="1341">
        <f t="shared" si="330"/>
        <v>0</v>
      </c>
      <c r="AW579" s="1341">
        <f t="shared" si="331"/>
        <v>0</v>
      </c>
      <c r="AX579" s="1341">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8"/>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9"/>
      <c r="AV580" s="1341">
        <f t="shared" si="330"/>
        <v>0</v>
      </c>
      <c r="AW580" s="1341">
        <f t="shared" si="331"/>
        <v>0</v>
      </c>
      <c r="AX580" s="1341">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8"/>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9"/>
      <c r="AV581" s="1341">
        <f t="shared" si="330"/>
        <v>0</v>
      </c>
      <c r="AW581" s="1341">
        <f t="shared" si="331"/>
        <v>0</v>
      </c>
      <c r="AX581" s="1341">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8"/>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9"/>
      <c r="AV582" s="1341">
        <f t="shared" si="330"/>
        <v>0</v>
      </c>
      <c r="AW582" s="1341">
        <f t="shared" si="331"/>
        <v>0</v>
      </c>
      <c r="AX582" s="1341">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8"/>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9"/>
      <c r="AV583" s="1341">
        <f t="shared" si="330"/>
        <v>0</v>
      </c>
      <c r="AW583" s="1341">
        <f t="shared" si="331"/>
        <v>0</v>
      </c>
      <c r="AX583" s="1341">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8"/>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9"/>
      <c r="AV584" s="1341">
        <f t="shared" si="330"/>
        <v>0</v>
      </c>
      <c r="AW584" s="1341">
        <f t="shared" si="331"/>
        <v>0</v>
      </c>
      <c r="AX584" s="1341">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8"/>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9"/>
      <c r="AV585" s="1341">
        <f t="shared" si="330"/>
        <v>0</v>
      </c>
      <c r="AW585" s="1341">
        <f t="shared" si="331"/>
        <v>0</v>
      </c>
      <c r="AX585" s="1341">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8"/>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9"/>
      <c r="AV586" s="1341">
        <f t="shared" si="330"/>
        <v>0</v>
      </c>
      <c r="AW586" s="1341">
        <f t="shared" si="331"/>
        <v>0</v>
      </c>
      <c r="AX586" s="1341">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8"/>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9"/>
      <c r="AV587" s="1341">
        <f t="shared" si="330"/>
        <v>0</v>
      </c>
      <c r="AW587" s="1341">
        <f t="shared" si="331"/>
        <v>0</v>
      </c>
      <c r="AX587" s="1341">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62"/>
  <sheetViews>
    <sheetView workbookViewId="0">
      <selection sqref="A1:XFD1048576"/>
    </sheetView>
  </sheetViews>
  <sheetFormatPr defaultColWidth="9" defaultRowHeight="12"/>
  <cols>
    <col min="1" max="1" width="4.375" style="3456" customWidth="1"/>
    <col min="2" max="2" width="6" style="3456" customWidth="1"/>
    <col min="3" max="3" width="29" style="3456" customWidth="1"/>
    <col min="4" max="4" width="20.75" style="3456" customWidth="1"/>
    <col min="5" max="5" width="37.25" style="3456" customWidth="1"/>
    <col min="6" max="6" width="11.375" style="3456" customWidth="1"/>
    <col min="7" max="7" width="9.125" style="3456" customWidth="1"/>
    <col min="8" max="8" width="8.875" style="3456" customWidth="1"/>
    <col min="9" max="9" width="9" style="3456"/>
    <col min="10" max="10" width="9.375" style="3456" bestFit="1" customWidth="1"/>
    <col min="11" max="11" width="9" style="3456"/>
    <col min="12" max="12" width="10.125" style="3456" customWidth="1"/>
    <col min="13" max="16384" width="9" style="3456"/>
  </cols>
  <sheetData>
    <row r="2" spans="2:14">
      <c r="C2" s="3457" t="s">
        <v>3416</v>
      </c>
      <c r="D2" s="3457" t="s">
        <v>3417</v>
      </c>
      <c r="E2" s="3457" t="s">
        <v>3418</v>
      </c>
      <c r="F2" s="3457" t="s">
        <v>672</v>
      </c>
      <c r="G2" s="3457" t="s">
        <v>3419</v>
      </c>
      <c r="H2" s="3457" t="s">
        <v>3420</v>
      </c>
      <c r="I2" s="3457" t="s">
        <v>3421</v>
      </c>
      <c r="J2" s="3457" t="s">
        <v>3518</v>
      </c>
      <c r="K2" s="3457" t="s">
        <v>3422</v>
      </c>
      <c r="L2" s="3457" t="s">
        <v>3513</v>
      </c>
      <c r="M2" s="3456" t="s">
        <v>3520</v>
      </c>
    </row>
    <row r="3" spans="2:14">
      <c r="C3" s="3566" t="s">
        <v>3423</v>
      </c>
      <c r="D3" s="3567" t="s">
        <v>3424</v>
      </c>
      <c r="E3" s="3457" t="s">
        <v>3425</v>
      </c>
      <c r="F3" s="3457" t="s">
        <v>3426</v>
      </c>
      <c r="G3" s="3457">
        <v>7983.53</v>
      </c>
      <c r="H3" s="3457">
        <v>6</v>
      </c>
      <c r="I3" s="3458" t="s">
        <v>3427</v>
      </c>
      <c r="J3" s="3570" t="s">
        <v>3519</v>
      </c>
      <c r="K3" s="3566" t="s">
        <v>3428</v>
      </c>
      <c r="L3" s="3457">
        <v>5800.17</v>
      </c>
    </row>
    <row r="4" spans="2:14">
      <c r="C4" s="3566"/>
      <c r="D4" s="3568"/>
      <c r="E4" s="3457" t="s">
        <v>3429</v>
      </c>
      <c r="F4" s="3457" t="s">
        <v>3426</v>
      </c>
      <c r="G4" s="3457">
        <v>6135.75</v>
      </c>
      <c r="H4" s="3457">
        <v>7</v>
      </c>
      <c r="I4" s="3457" t="s">
        <v>3427</v>
      </c>
      <c r="J4" s="3570"/>
      <c r="K4" s="3566"/>
      <c r="L4" s="3457">
        <v>4533.6400000000003</v>
      </c>
    </row>
    <row r="5" spans="2:14">
      <c r="C5" s="3566"/>
      <c r="D5" s="3568"/>
      <c r="E5" s="3457" t="s">
        <v>3430</v>
      </c>
      <c r="F5" s="3457" t="s">
        <v>3426</v>
      </c>
      <c r="G5" s="3457">
        <v>6197.07</v>
      </c>
      <c r="H5" s="3457">
        <v>6</v>
      </c>
      <c r="I5" s="3457" t="s">
        <v>3427</v>
      </c>
      <c r="J5" s="3570"/>
      <c r="K5" s="3566"/>
      <c r="L5" s="3457">
        <v>4566.66</v>
      </c>
    </row>
    <row r="6" spans="2:14">
      <c r="C6" s="3566"/>
      <c r="D6" s="3569"/>
      <c r="E6" s="3457" t="s">
        <v>3431</v>
      </c>
      <c r="F6" s="3457" t="s">
        <v>3432</v>
      </c>
      <c r="G6" s="3457">
        <v>2296.83</v>
      </c>
      <c r="H6" s="3457">
        <v>4</v>
      </c>
      <c r="I6" s="3457" t="s">
        <v>3433</v>
      </c>
      <c r="J6" s="3570"/>
      <c r="K6" s="3566"/>
      <c r="L6" s="3457">
        <v>2228</v>
      </c>
    </row>
    <row r="7" spans="2:14">
      <c r="C7" s="3457" t="s">
        <v>3434</v>
      </c>
      <c r="D7" s="3457"/>
      <c r="E7" s="3457"/>
      <c r="F7" s="3457"/>
      <c r="G7" s="3457">
        <f>SUM(G3:G6)</f>
        <v>22613.18</v>
      </c>
      <c r="H7" s="3457"/>
      <c r="I7" s="3457"/>
      <c r="J7" s="3457"/>
      <c r="K7" s="3457"/>
      <c r="L7" s="3457">
        <f>SUM(L3:L6)</f>
        <v>17128.47</v>
      </c>
      <c r="M7" s="3456">
        <f>ROUND(1-(1-0%)*(2024-2023)/60,2)</f>
        <v>0.98</v>
      </c>
      <c r="N7" s="3456">
        <f>M7*G7</f>
        <v>22160.916399999998</v>
      </c>
    </row>
    <row r="8" spans="2:14" ht="48">
      <c r="C8" s="3457" t="s">
        <v>3435</v>
      </c>
      <c r="D8" s="3457" t="s">
        <v>3424</v>
      </c>
      <c r="E8" s="3457" t="s">
        <v>3436</v>
      </c>
      <c r="F8" s="3461" t="s">
        <v>3437</v>
      </c>
      <c r="G8" s="3457">
        <v>11005.41</v>
      </c>
      <c r="H8" s="3457">
        <v>3</v>
      </c>
      <c r="I8" s="3459" t="s">
        <v>3438</v>
      </c>
      <c r="J8" s="3460">
        <v>44250</v>
      </c>
      <c r="K8" s="3457"/>
      <c r="L8" s="3457">
        <f>ROUND(G8*E21,2)</f>
        <v>5853.08</v>
      </c>
      <c r="M8" s="3456">
        <f>ROUND(1-(1-0%)*(2024-2021)/60,2)</f>
        <v>0.95</v>
      </c>
      <c r="N8" s="3456">
        <f>M8*G8</f>
        <v>10455.139499999999</v>
      </c>
    </row>
    <row r="9" spans="2:14">
      <c r="C9" s="3457" t="s">
        <v>3514</v>
      </c>
      <c r="D9" s="3457"/>
      <c r="E9" s="3457"/>
      <c r="F9" s="3457"/>
      <c r="G9" s="3457">
        <f>G7+G8</f>
        <v>33618.589999999997</v>
      </c>
      <c r="H9" s="3457"/>
      <c r="I9" s="3457"/>
      <c r="J9" s="3457"/>
      <c r="K9" s="3457"/>
      <c r="L9" s="3457">
        <f>L7+L8</f>
        <v>22981.550000000003</v>
      </c>
      <c r="M9" s="3456">
        <f>ROUND(N9/G9,2)</f>
        <v>0.97</v>
      </c>
      <c r="N9" s="3456">
        <f>N7+N8</f>
        <v>32616.055899999999</v>
      </c>
    </row>
    <row r="10" spans="2:14">
      <c r="F10" s="3456" t="s">
        <v>3515</v>
      </c>
      <c r="G10" s="3456">
        <v>34604.44</v>
      </c>
      <c r="L10" s="3456">
        <v>23544.87</v>
      </c>
    </row>
    <row r="11" spans="2:14">
      <c r="G11" s="3456">
        <f>G10-G9</f>
        <v>985.85000000000582</v>
      </c>
    </row>
    <row r="13" spans="2:14" ht="24">
      <c r="B13" s="3457" t="s">
        <v>3443</v>
      </c>
      <c r="C13" s="3457" t="s">
        <v>3444</v>
      </c>
      <c r="D13" s="3457" t="s">
        <v>3439</v>
      </c>
      <c r="E13" s="3457" t="s">
        <v>3446</v>
      </c>
      <c r="F13" s="3462" t="s">
        <v>3440</v>
      </c>
      <c r="G13" s="3457" t="s">
        <v>3445</v>
      </c>
    </row>
    <row r="14" spans="2:14">
      <c r="B14" s="3457">
        <v>-2</v>
      </c>
      <c r="C14" s="3457">
        <v>6918.94</v>
      </c>
      <c r="D14" s="3457">
        <v>4730.0600000000004</v>
      </c>
      <c r="E14" s="3457">
        <f>C14-D14</f>
        <v>2188.8799999999992</v>
      </c>
      <c r="F14" s="3457"/>
      <c r="G14" s="3457">
        <f>E14-F14</f>
        <v>2188.8799999999992</v>
      </c>
    </row>
    <row r="15" spans="2:14">
      <c r="B15" s="3457">
        <v>-1</v>
      </c>
      <c r="C15" s="3457">
        <v>9797.83</v>
      </c>
      <c r="D15" s="3457">
        <v>123.92</v>
      </c>
      <c r="E15" s="3457">
        <f>C15-D15</f>
        <v>9673.91</v>
      </c>
      <c r="F15" s="3457">
        <f>50.99+639.25+219.95</f>
        <v>910.19</v>
      </c>
      <c r="G15" s="3457">
        <f>E15-F15</f>
        <v>8763.7199999999993</v>
      </c>
    </row>
    <row r="16" spans="2:14">
      <c r="B16" s="3457">
        <v>1</v>
      </c>
      <c r="C16" s="3457">
        <v>130.97999999999999</v>
      </c>
      <c r="D16" s="3457">
        <v>78.17</v>
      </c>
      <c r="E16" s="3457">
        <f>C16-D16</f>
        <v>52.809999999999988</v>
      </c>
      <c r="F16" s="3457"/>
      <c r="G16" s="3457">
        <f>E16-F16</f>
        <v>52.809999999999988</v>
      </c>
    </row>
    <row r="17" spans="2:7" ht="21" customHeight="1">
      <c r="B17" s="3457" t="s">
        <v>3442</v>
      </c>
      <c r="C17" s="3457">
        <f>SUM(C14:C16)</f>
        <v>16847.75</v>
      </c>
      <c r="D17" s="3457">
        <f>SUM(D14:D16)</f>
        <v>4932.1500000000005</v>
      </c>
      <c r="E17" s="3457">
        <f>SUM(E14:E16)</f>
        <v>11915.599999999999</v>
      </c>
      <c r="F17" s="3457"/>
      <c r="G17" s="3457">
        <f>SUM(G14:G16)</f>
        <v>11005.409999999998</v>
      </c>
    </row>
    <row r="18" spans="2:7">
      <c r="C18" s="3456" t="s">
        <v>3516</v>
      </c>
      <c r="D18" s="3456">
        <f>D17</f>
        <v>4932.1500000000005</v>
      </c>
    </row>
    <row r="19" spans="2:7">
      <c r="C19" s="3456" t="s">
        <v>3513</v>
      </c>
      <c r="D19" s="3456">
        <v>2623.09</v>
      </c>
      <c r="E19" s="3456">
        <f>D19/D18</f>
        <v>0.53183500096306879</v>
      </c>
    </row>
    <row r="20" spans="2:7">
      <c r="C20" s="3456" t="s">
        <v>3517</v>
      </c>
      <c r="D20" s="3456">
        <f>E17</f>
        <v>11915.599999999999</v>
      </c>
    </row>
    <row r="21" spans="2:7">
      <c r="C21" s="3456" t="s">
        <v>3513</v>
      </c>
      <c r="D21" s="3456">
        <v>6337.15</v>
      </c>
      <c r="E21" s="3456">
        <f>D21/D20</f>
        <v>0.53183641612675825</v>
      </c>
    </row>
    <row r="54" spans="2:6">
      <c r="C54" s="3456" t="s">
        <v>3447</v>
      </c>
      <c r="D54" s="3456" t="s">
        <v>3448</v>
      </c>
      <c r="E54" s="3456" t="s">
        <v>3445</v>
      </c>
    </row>
    <row r="55" spans="2:6">
      <c r="B55" s="3456" t="s">
        <v>3450</v>
      </c>
      <c r="C55" s="3456">
        <f>7983.5+6135.66+6198.94+2232.6+39.06+75.9+55.6</f>
        <v>22721.26</v>
      </c>
      <c r="E55" s="3456">
        <f>G7</f>
        <v>22613.18</v>
      </c>
    </row>
    <row r="56" spans="2:6">
      <c r="B56" s="3456" t="s">
        <v>3452</v>
      </c>
      <c r="C56" s="3456">
        <v>16785.2</v>
      </c>
      <c r="E56" s="3456">
        <f>G8</f>
        <v>11005.41</v>
      </c>
    </row>
    <row r="57" spans="2:6">
      <c r="B57" s="3456" t="s">
        <v>3442</v>
      </c>
      <c r="C57" s="3456">
        <f>C55+C56</f>
        <v>39506.46</v>
      </c>
      <c r="D57" s="3456">
        <v>58413.77</v>
      </c>
      <c r="E57" s="3456">
        <f>E55+E56</f>
        <v>33618.589999999997</v>
      </c>
      <c r="F57" s="3463"/>
    </row>
    <row r="59" spans="2:6">
      <c r="C59" s="3456" t="s">
        <v>3489</v>
      </c>
      <c r="D59" s="3456" t="s">
        <v>3488</v>
      </c>
      <c r="E59" s="3456" t="s">
        <v>3490</v>
      </c>
    </row>
    <row r="60" spans="2:6">
      <c r="B60" s="3456" t="s">
        <v>3450</v>
      </c>
      <c r="C60" s="3456">
        <v>153071</v>
      </c>
      <c r="E60" s="3481">
        <f>C60/D62</f>
        <v>0.86922998208853919</v>
      </c>
    </row>
    <row r="61" spans="2:6">
      <c r="B61" s="3456" t="s">
        <v>3452</v>
      </c>
      <c r="C61" s="3456">
        <v>75439.95</v>
      </c>
    </row>
    <row r="62" spans="2:6">
      <c r="B62" s="3456" t="s">
        <v>3442</v>
      </c>
      <c r="C62" s="3456">
        <f>C60+C61</f>
        <v>228510.95</v>
      </c>
      <c r="D62" s="3456">
        <v>176099.54</v>
      </c>
      <c r="E62" s="3456">
        <f>C62/D62</f>
        <v>1.2976237757350189</v>
      </c>
    </row>
  </sheetData>
  <mergeCells count="4">
    <mergeCell ref="C3:C6"/>
    <mergeCell ref="D3:D6"/>
    <mergeCell ref="J3:J6"/>
    <mergeCell ref="K3:K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80" t="s">
        <v>1131</v>
      </c>
      <c r="B2" s="3580"/>
      <c r="C2" s="3580"/>
      <c r="D2" s="795" t="s">
        <v>1107</v>
      </c>
      <c r="E2" s="1637" t="s">
        <v>1108</v>
      </c>
      <c r="F2" s="2656"/>
      <c r="G2" s="2647"/>
      <c r="H2" s="2648"/>
      <c r="I2" s="2323" t="s">
        <v>1132</v>
      </c>
      <c r="J2" s="2656"/>
      <c r="K2" s="2656"/>
      <c r="L2" s="2656"/>
      <c r="M2" s="2656"/>
      <c r="N2" s="2658"/>
      <c r="O2" s="2656"/>
      <c r="P2" s="2656"/>
    </row>
    <row r="3" spans="1:16" ht="15.75" thickBot="1">
      <c r="A3" s="3581" t="s">
        <v>1105</v>
      </c>
      <c r="B3" s="3581"/>
      <c r="C3" s="3581"/>
      <c r="D3" s="42">
        <f>'数据-基础表'!AY6</f>
        <v>22981.55</v>
      </c>
      <c r="E3" s="42">
        <f>'数据-基础表'!AZ5</f>
        <v>33618.589999999997</v>
      </c>
      <c r="F3" s="2656"/>
      <c r="G3" s="1144"/>
      <c r="H3" s="1025" t="s">
        <v>1106</v>
      </c>
      <c r="I3" s="854">
        <f>ROUND('数据-基础表'!B3/'数据-基础表'!A3,2)</f>
        <v>1.46</v>
      </c>
      <c r="J3" s="2656"/>
      <c r="K3" s="2656"/>
      <c r="L3" s="2656"/>
      <c r="M3" s="2656"/>
      <c r="N3" s="2658"/>
      <c r="O3" s="2656"/>
      <c r="P3" s="2656"/>
    </row>
    <row r="4" spans="1:16" ht="15">
      <c r="A4" s="3582"/>
      <c r="B4" s="3583"/>
      <c r="C4" s="3584"/>
      <c r="D4" s="1639" t="s">
        <v>1107</v>
      </c>
      <c r="E4" s="1640" t="s">
        <v>1108</v>
      </c>
      <c r="F4" s="2656"/>
      <c r="G4" s="2649" t="s">
        <v>1133</v>
      </c>
      <c r="H4" s="1025" t="s">
        <v>1113</v>
      </c>
      <c r="I4" s="854">
        <f>ROUND(SUMIF('数据-基础表'!I9:AS9,"地上",'数据-基础表'!I5:AS5)/'数据-基础表'!A3,2)</f>
        <v>0.98</v>
      </c>
      <c r="J4" s="2656"/>
      <c r="K4" s="2656"/>
      <c r="L4" s="2656"/>
      <c r="M4" s="2656"/>
      <c r="N4" s="2658"/>
      <c r="O4" s="2656"/>
      <c r="P4" s="2656"/>
    </row>
    <row r="5" spans="1:16">
      <c r="A5" s="43" t="s">
        <v>1109</v>
      </c>
      <c r="B5" s="3585" t="s">
        <v>1110</v>
      </c>
      <c r="C5" s="3585"/>
      <c r="D5" s="44">
        <f>ROUND($D$3*E5/$E$3,2)</f>
        <v>0</v>
      </c>
      <c r="E5" s="45">
        <f>SUMIF('数据-基础表'!$11:$11,"住宅",'数据-基础表'!$5:$5)</f>
        <v>0</v>
      </c>
      <c r="F5" s="2656"/>
      <c r="G5" s="1144"/>
      <c r="H5" s="1025" t="s">
        <v>1106</v>
      </c>
      <c r="I5" s="854">
        <f>ROUND(E31/D31,2)</f>
        <v>1.46</v>
      </c>
      <c r="J5" s="2656"/>
      <c r="K5" s="2656"/>
      <c r="L5" s="2656"/>
      <c r="M5" s="2656"/>
      <c r="N5" s="2656"/>
      <c r="O5" s="2656"/>
      <c r="P5" s="2656"/>
    </row>
    <row r="6" spans="1:16" ht="15" thickBot="1">
      <c r="A6" s="1642"/>
      <c r="B6" s="3585" t="s">
        <v>1111</v>
      </c>
      <c r="C6" s="3585"/>
      <c r="D6" s="44">
        <f>ROUND($D$3*E6/$E$3,2)</f>
        <v>22981.55</v>
      </c>
      <c r="E6" s="45">
        <f>E3-E5</f>
        <v>33618.589999999997</v>
      </c>
      <c r="F6" s="2656"/>
      <c r="G6" s="2650" t="s">
        <v>1112</v>
      </c>
      <c r="H6" s="1145" t="s">
        <v>1113</v>
      </c>
      <c r="I6" s="2651">
        <f>ROUND(F31/D31,2)</f>
        <v>0.98</v>
      </c>
      <c r="J6" s="2656"/>
      <c r="K6" s="2656"/>
      <c r="L6" s="2656"/>
      <c r="M6" s="2656"/>
      <c r="N6" s="2656"/>
      <c r="O6" s="2656"/>
      <c r="P6" s="2656"/>
    </row>
    <row r="7" spans="1:16" ht="15.75" thickBot="1">
      <c r="A7" s="3577"/>
      <c r="B7" s="3578"/>
      <c r="C7" s="3579"/>
      <c r="D7" s="1639" t="s">
        <v>1107</v>
      </c>
      <c r="E7" s="1643" t="s">
        <v>1114</v>
      </c>
      <c r="F7" s="2656"/>
      <c r="G7" s="2652" t="s">
        <v>1115</v>
      </c>
      <c r="H7" s="2653"/>
      <c r="I7" s="2654">
        <v>1</v>
      </c>
      <c r="J7" s="2656"/>
      <c r="K7" s="2656"/>
      <c r="L7" s="2656"/>
      <c r="M7" s="2656"/>
      <c r="N7" s="2656"/>
      <c r="O7" s="2656"/>
      <c r="P7" s="2656"/>
    </row>
    <row r="8" spans="1:16">
      <c r="A8" s="43" t="s">
        <v>1116</v>
      </c>
      <c r="B8" s="46" t="s">
        <v>1117</v>
      </c>
      <c r="C8" s="44" t="s">
        <v>1118</v>
      </c>
      <c r="D8" s="44">
        <f t="shared" ref="D8:D15" si="0">ROUND($D$3*E8/$E$3,2)</f>
        <v>15458.29</v>
      </c>
      <c r="E8" s="47">
        <f>SUMIF('数据-基础表'!BB10:BK10,"地上",'数据-基础表'!BB5:BK5)</f>
        <v>22613.18</v>
      </c>
      <c r="F8" s="2656"/>
      <c r="G8" s="2657"/>
      <c r="H8" s="2657"/>
      <c r="I8" s="2656"/>
      <c r="J8" s="2656"/>
      <c r="K8" s="2656"/>
      <c r="L8" s="2656"/>
      <c r="M8" s="2656"/>
      <c r="N8" s="2656"/>
      <c r="O8" s="2656"/>
      <c r="P8" s="2656"/>
    </row>
    <row r="9" spans="1:16">
      <c r="A9" s="1644"/>
      <c r="B9" s="1645"/>
      <c r="C9" s="44" t="s">
        <v>1119</v>
      </c>
      <c r="D9" s="44">
        <f t="shared" si="0"/>
        <v>0</v>
      </c>
      <c r="E9" s="48">
        <v>0</v>
      </c>
      <c r="F9" s="2656"/>
      <c r="G9" s="2657"/>
      <c r="H9" s="2657"/>
      <c r="I9" s="2656"/>
      <c r="J9" s="2656"/>
      <c r="K9" s="2656"/>
      <c r="L9" s="2656"/>
      <c r="M9" s="2656"/>
      <c r="N9" s="2656"/>
      <c r="O9" s="2656"/>
      <c r="P9" s="2656"/>
    </row>
    <row r="10" spans="1:16">
      <c r="A10" s="1644"/>
      <c r="B10" s="1645"/>
      <c r="C10" s="44" t="s">
        <v>1128</v>
      </c>
      <c r="D10" s="44">
        <f t="shared" si="0"/>
        <v>0</v>
      </c>
      <c r="E10" s="47">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4" t="s">
        <v>1120</v>
      </c>
      <c r="D11" s="44">
        <f t="shared" si="0"/>
        <v>0</v>
      </c>
      <c r="E11" s="47">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4" t="s">
        <v>1121</v>
      </c>
      <c r="D12" s="44">
        <f t="shared" si="0"/>
        <v>0</v>
      </c>
      <c r="E12" s="47">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4" t="s">
        <v>1122</v>
      </c>
      <c r="D13" s="44">
        <f t="shared" si="0"/>
        <v>0</v>
      </c>
      <c r="E13" s="47">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4" t="s">
        <v>1134</v>
      </c>
      <c r="D14" s="44">
        <f t="shared" si="0"/>
        <v>7523.26</v>
      </c>
      <c r="E14" s="47">
        <f>SUMPRODUCT(('数据-基础表'!BB10:BK10="地下")*('数据-基础表'!BB11:BK11="车库—商业")*('数据-基础表'!BB5:BK5))</f>
        <v>11005.41</v>
      </c>
      <c r="F14" s="2656"/>
      <c r="G14" s="2657"/>
      <c r="H14" s="2657"/>
      <c r="I14" s="2656"/>
      <c r="J14" s="2656"/>
      <c r="K14" s="2656"/>
      <c r="L14" s="2656"/>
      <c r="M14" s="2656"/>
      <c r="N14" s="2656"/>
      <c r="O14" s="2656"/>
      <c r="P14" s="2656"/>
    </row>
    <row r="15" spans="1:16" ht="15" thickBot="1">
      <c r="A15" s="1644"/>
      <c r="B15" s="1645"/>
      <c r="C15" s="44" t="s">
        <v>1129</v>
      </c>
      <c r="D15" s="44">
        <f t="shared" si="0"/>
        <v>0</v>
      </c>
      <c r="E15" s="47">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6" t="s">
        <v>1123</v>
      </c>
      <c r="D16" s="46">
        <f>SUM(D8:D15)</f>
        <v>22981.550000000003</v>
      </c>
      <c r="E16" s="49">
        <f>SUM(E8:E15)</f>
        <v>33618.589999999997</v>
      </c>
      <c r="F16" s="2656"/>
      <c r="G16" s="2657"/>
      <c r="H16" s="1646" t="s">
        <v>1135</v>
      </c>
      <c r="I16" s="1647"/>
      <c r="J16" s="1138"/>
      <c r="K16" s="3574" t="s">
        <v>1135</v>
      </c>
      <c r="L16" s="3575"/>
      <c r="M16" s="3575"/>
      <c r="N16" s="3575"/>
      <c r="O16" s="3575"/>
      <c r="P16" s="3576"/>
    </row>
    <row r="17" spans="1:19" ht="15">
      <c r="A17" s="1648" t="s">
        <v>1136</v>
      </c>
      <c r="B17" s="1649" t="s">
        <v>1137</v>
      </c>
      <c r="C17" s="1650" t="s">
        <v>1138</v>
      </c>
      <c r="D17" s="1651" t="s">
        <v>1126</v>
      </c>
      <c r="E17" s="1652" t="s">
        <v>1127</v>
      </c>
      <c r="F17" s="1653"/>
      <c r="G17" s="1654"/>
      <c r="H17" s="1655" t="s">
        <v>1139</v>
      </c>
      <c r="I17" s="1656" t="s">
        <v>1124</v>
      </c>
      <c r="J17" s="1138"/>
      <c r="K17" s="3571" t="s">
        <v>1140</v>
      </c>
      <c r="L17" s="3572"/>
      <c r="M17" s="3573"/>
      <c r="N17" s="3571" t="s">
        <v>1141</v>
      </c>
      <c r="O17" s="3572"/>
      <c r="P17" s="3573"/>
      <c r="R17" s="1638" t="s">
        <v>1142</v>
      </c>
      <c r="S17" s="55"/>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6" t="s">
        <v>1125</v>
      </c>
      <c r="C19" s="3412" t="s">
        <v>3456</v>
      </c>
      <c r="D19" s="44">
        <f>ROUND($D$3*E19/$E$3,2)</f>
        <v>22981.55</v>
      </c>
      <c r="E19" s="52">
        <f t="shared" ref="E19:E26" si="1">SUM(F19:G19)</f>
        <v>33618.589999999997</v>
      </c>
      <c r="F19" s="2792">
        <f>'数据-基础表'!I13</f>
        <v>22613.18</v>
      </c>
      <c r="G19" s="2793">
        <f>'数据-基础表'!K13</f>
        <v>11005.41</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22981.55</v>
      </c>
      <c r="S19" s="1026">
        <f t="shared" si="5"/>
        <v>33618.589999999997</v>
      </c>
    </row>
    <row r="20" spans="1:19">
      <c r="A20" s="1668"/>
      <c r="B20" s="46" t="s">
        <v>1153</v>
      </c>
      <c r="C20" s="3412"/>
      <c r="D20" s="44">
        <f t="shared" ref="D20:D26" si="6">ROUND($D$3*E20/$E$3,2)</f>
        <v>0</v>
      </c>
      <c r="E20" s="52">
        <f t="shared" si="1"/>
        <v>0</v>
      </c>
      <c r="F20" s="2792"/>
      <c r="G20" s="2793"/>
      <c r="H20" s="669">
        <f t="shared" ref="H20:H26" si="7">ROUND($D$3*I20/$E$3,2)</f>
        <v>0</v>
      </c>
      <c r="I20" s="47">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6" t="s">
        <v>1153</v>
      </c>
      <c r="C21" s="3412"/>
      <c r="D21" s="44">
        <f t="shared" si="6"/>
        <v>0</v>
      </c>
      <c r="E21" s="52">
        <f t="shared" si="1"/>
        <v>0</v>
      </c>
      <c r="F21" s="2792"/>
      <c r="G21" s="2793"/>
      <c r="H21" s="669">
        <f t="shared" si="7"/>
        <v>0</v>
      </c>
      <c r="I21" s="47">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6" t="s">
        <v>1153</v>
      </c>
      <c r="C22" s="3413"/>
      <c r="D22" s="44">
        <f t="shared" si="6"/>
        <v>0</v>
      </c>
      <c r="E22" s="52">
        <f t="shared" si="1"/>
        <v>0</v>
      </c>
      <c r="F22" s="2794"/>
      <c r="G22" s="2795"/>
      <c r="H22" s="669">
        <f t="shared" si="7"/>
        <v>0</v>
      </c>
      <c r="I22" s="47">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6" t="s">
        <v>1153</v>
      </c>
      <c r="C23" s="3413"/>
      <c r="D23" s="44">
        <f>ROUND($D$3*E23/$E$3,2)</f>
        <v>0</v>
      </c>
      <c r="E23" s="52">
        <f>SUM(F23:G23)</f>
        <v>0</v>
      </c>
      <c r="F23" s="2794"/>
      <c r="G23" s="2795"/>
      <c r="H23" s="669">
        <f>ROUND($D$3*I23/$E$3,2)</f>
        <v>0</v>
      </c>
      <c r="I23" s="47">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6" t="s">
        <v>1153</v>
      </c>
      <c r="C24" s="3413"/>
      <c r="D24" s="44">
        <f>ROUND($D$3*E24/$E$3,2)</f>
        <v>0</v>
      </c>
      <c r="E24" s="52">
        <f>SUM(F24:G24)</f>
        <v>0</v>
      </c>
      <c r="F24" s="2794"/>
      <c r="G24" s="2795"/>
      <c r="H24" s="669">
        <f>ROUND($D$3*I24/$E$3,2)</f>
        <v>0</v>
      </c>
      <c r="I24" s="47">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6" t="s">
        <v>1153</v>
      </c>
      <c r="C25" s="3413"/>
      <c r="D25" s="44">
        <f t="shared" si="6"/>
        <v>0</v>
      </c>
      <c r="E25" s="52">
        <f t="shared" si="1"/>
        <v>0</v>
      </c>
      <c r="F25" s="2794"/>
      <c r="G25" s="2795"/>
      <c r="H25" s="43">
        <f t="shared" si="7"/>
        <v>0</v>
      </c>
      <c r="I25" s="47">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6" t="s">
        <v>1153</v>
      </c>
      <c r="C26" s="54"/>
      <c r="D26" s="44">
        <f t="shared" si="6"/>
        <v>0</v>
      </c>
      <c r="E26" s="52">
        <f t="shared" si="1"/>
        <v>0</v>
      </c>
      <c r="F26" s="2794"/>
      <c r="G26" s="2795"/>
      <c r="H26" s="43">
        <f t="shared" si="7"/>
        <v>0</v>
      </c>
      <c r="I26" s="47">
        <f t="shared" si="2"/>
        <v>0</v>
      </c>
      <c r="J26" s="1138"/>
      <c r="K26" s="1144">
        <f t="shared" si="3"/>
        <v>0</v>
      </c>
      <c r="L26" s="1145">
        <f t="shared" si="4"/>
        <v>0</v>
      </c>
      <c r="M26" s="58">
        <f t="shared" si="8"/>
        <v>0</v>
      </c>
      <c r="N26" s="1669"/>
      <c r="O26" s="1670"/>
      <c r="P26" s="58">
        <f t="shared" si="9"/>
        <v>0</v>
      </c>
      <c r="R26" s="1025">
        <f t="shared" si="5"/>
        <v>0</v>
      </c>
      <c r="S26" s="1026">
        <f t="shared" si="5"/>
        <v>0</v>
      </c>
    </row>
    <row r="27" spans="1:19" ht="15.75" thickBot="1">
      <c r="A27" s="1668"/>
      <c r="B27" s="44"/>
      <c r="C27" s="1671" t="s">
        <v>1154</v>
      </c>
      <c r="D27" s="1139">
        <f>SUM(D19:D26)</f>
        <v>22981.55</v>
      </c>
      <c r="E27" s="1140">
        <f>IF(SUM(E19:E26)='数据-基础表'!BA5,SUM(E19:E26),IF(F27="地上面积有误","面积有误","地下面积有误"))</f>
        <v>33618.589999999997</v>
      </c>
      <c r="F27" s="1139">
        <f>IF(SUM(F19:F26)=E8,SUM(F19:F26),"地上面积有误")</f>
        <v>22613.18</v>
      </c>
      <c r="G27" s="1141">
        <f>SUM(G19:G26)</f>
        <v>11005.41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22981.55</v>
      </c>
      <c r="S27" s="1025">
        <f>IF(SUM(S19:S26)=$E$3,SUM(S19:S26),SUM(S19:S26)&amp;"误差"&amp;ROUND(SUM(S19:S26)-E3,2))</f>
        <v>33618.589999999997</v>
      </c>
    </row>
    <row r="28" spans="1:19">
      <c r="A28" s="1668"/>
      <c r="B28" s="46" t="s">
        <v>1155</v>
      </c>
      <c r="C28" s="1037" t="s">
        <v>1156</v>
      </c>
      <c r="D28" s="44">
        <f>ROUND($D$3*E28/$E$3,2)</f>
        <v>0</v>
      </c>
      <c r="E28" s="52">
        <f>SUM(F28:G28)</f>
        <v>0</v>
      </c>
      <c r="F28" s="55">
        <f>'数据-基础表'!BQ5+'数据-基础表'!BS5</f>
        <v>0</v>
      </c>
      <c r="G28" s="56">
        <f>'数据-基础表'!BR5+'数据-基础表'!BT5</f>
        <v>0</v>
      </c>
      <c r="H28" s="2656"/>
      <c r="I28" s="2656"/>
      <c r="J28" s="2656"/>
      <c r="K28" s="2656"/>
      <c r="L28" s="2656"/>
      <c r="M28" s="2656"/>
      <c r="N28" s="2656"/>
      <c r="O28" s="2656"/>
      <c r="P28" s="2656"/>
    </row>
    <row r="29" spans="1:19">
      <c r="A29" s="1668"/>
      <c r="B29" s="46" t="s">
        <v>1155</v>
      </c>
      <c r="C29" s="1672" t="s">
        <v>1157</v>
      </c>
      <c r="D29" s="44">
        <f>ROUND($D$3*E29/$E$3,2)</f>
        <v>0</v>
      </c>
      <c r="E29" s="52">
        <f>SUM(F29:G29)</f>
        <v>0</v>
      </c>
      <c r="F29" s="57">
        <f>'数据-基础表'!BM5+'数据-基础表'!BO5</f>
        <v>0</v>
      </c>
      <c r="G29" s="58">
        <f>'数据-基础表'!BN5+'数据-基础表'!BP5</f>
        <v>0</v>
      </c>
      <c r="H29" s="2656"/>
      <c r="I29" s="2656"/>
      <c r="J29" s="2656"/>
      <c r="K29" s="2656"/>
      <c r="L29" s="2656"/>
      <c r="M29" s="2656"/>
      <c r="N29" s="2656"/>
      <c r="O29" s="2656"/>
      <c r="P29" s="2656"/>
    </row>
    <row r="30" spans="1:19" ht="15">
      <c r="A30" s="1668"/>
      <c r="B30" s="46"/>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4"/>
      <c r="B31" s="1675"/>
      <c r="C31" s="834" t="s">
        <v>1158</v>
      </c>
      <c r="D31" s="675">
        <f>D27+D30</f>
        <v>22981.55</v>
      </c>
      <c r="E31" s="675">
        <f>E27+E30</f>
        <v>33618.589999999997</v>
      </c>
      <c r="F31" s="676">
        <f>F27+F30</f>
        <v>22613.18</v>
      </c>
      <c r="G31" s="677">
        <f>G27+G30</f>
        <v>11005.41</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51" sqref="I5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45565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59"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3466</v>
      </c>
      <c r="O5" s="1700" t="s">
        <v>1181</v>
      </c>
      <c r="P5" s="1703" t="s">
        <v>1182</v>
      </c>
      <c r="Q5" s="60" t="s">
        <v>1183</v>
      </c>
      <c r="R5" s="1704" t="s">
        <v>1184</v>
      </c>
      <c r="S5" s="1705" t="s">
        <v>1185</v>
      </c>
      <c r="T5" s="1706" t="s">
        <v>1186</v>
      </c>
      <c r="U5" s="1045" t="s">
        <v>1187</v>
      </c>
      <c r="V5" s="1046" t="s">
        <v>1188</v>
      </c>
      <c r="W5" s="1046" t="s">
        <v>1189</v>
      </c>
      <c r="X5" s="62"/>
      <c r="Y5" s="61" t="s">
        <v>1190</v>
      </c>
      <c r="Z5" s="1707" t="s">
        <v>1187</v>
      </c>
      <c r="AA5" s="1046" t="s">
        <v>1188</v>
      </c>
      <c r="AB5" s="1046" t="s">
        <v>1189</v>
      </c>
      <c r="AC5" s="62"/>
      <c r="AD5" s="62" t="s">
        <v>1190</v>
      </c>
      <c r="AE5" s="1045" t="s">
        <v>1191</v>
      </c>
      <c r="AF5" s="1046" t="s">
        <v>1192</v>
      </c>
      <c r="AG5" s="61" t="s">
        <v>1193</v>
      </c>
      <c r="AH5" s="1045" t="s">
        <v>1194</v>
      </c>
      <c r="AI5" s="1707" t="s">
        <v>1195</v>
      </c>
      <c r="AJ5" s="1707" t="s">
        <v>1196</v>
      </c>
      <c r="AK5" s="1046" t="s">
        <v>1197</v>
      </c>
      <c r="AL5" s="1046" t="s">
        <v>1198</v>
      </c>
      <c r="AM5" s="61"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57777</v>
      </c>
      <c r="F6" s="63">
        <f>SUMIF(项目基本情况!C$12:I$12,C6,项目基本情况!C$15:I$15)</f>
        <v>33.450000000000003</v>
      </c>
      <c r="G6" s="64">
        <f>IF(ISERROR(ROUND(POWER(1+H6,D6-F6)*(POWER(1+H6,F6)-1)/(POWER(1+H6,D6)-1),3)),0,ROUND(POWER(1+H6,D6-F6)*(POWER(1+H6,F6)-1)/(POWER(1+H6,D6)-1),3))</f>
        <v>0.93799999999999994</v>
      </c>
      <c r="H6" s="731">
        <v>0.05</v>
      </c>
      <c r="I6" s="731">
        <v>5.5E-2</v>
      </c>
      <c r="J6" s="65">
        <v>7.0000000000000007E-2</v>
      </c>
      <c r="K6" s="1029">
        <f>SUMIF('数据-汇总表'!C$19:C$33,A6,'数据-汇总表'!E$19:E$33)</f>
        <v>33618.589999999997</v>
      </c>
      <c r="L6" s="732">
        <v>8300</v>
      </c>
      <c r="M6" s="66">
        <f t="shared" ref="M6:M14" si="0">ROUND(K6*L6/10000,0)</f>
        <v>27903</v>
      </c>
      <c r="N6" s="3491">
        <f>面积整理!M9</f>
        <v>0.97</v>
      </c>
      <c r="O6" s="66" t="str">
        <f>IF($N$5="成新度","——",ROUND(M6*N6,0))</f>
        <v>——</v>
      </c>
      <c r="P6" s="67" t="str">
        <f>IF($N$5="成新度","——",M6-O6)</f>
        <v>——</v>
      </c>
      <c r="Q6" s="733">
        <v>0.15</v>
      </c>
      <c r="R6" s="68">
        <f ca="1">SUMIF('数据-汇总表'!C$19:C$33,A6,'数据-汇总表'!R$19:R$27)</f>
        <v>22981.55</v>
      </c>
      <c r="S6" s="50">
        <f>IF('数据-汇总表'!$I$17="按面积比例",SUMIF('数据-汇总表'!C$19:C$33,A6,'数据-汇总表'!K$19:K$33),SUMIF('数据-汇总表'!C$19:C$33,A6,'数据-汇总表'!N$19:N$33))</f>
        <v>0</v>
      </c>
      <c r="T6" s="1171">
        <f>ROUND($L$14*S6/10000,0)</f>
        <v>0</v>
      </c>
      <c r="U6" s="3423">
        <v>5.5</v>
      </c>
      <c r="V6" s="69">
        <v>0.02</v>
      </c>
      <c r="W6" s="69">
        <v>0.1</v>
      </c>
      <c r="X6" s="1039"/>
      <c r="Y6" s="70">
        <f>N6</f>
        <v>0.97</v>
      </c>
      <c r="Z6" s="71"/>
      <c r="AA6" s="65"/>
      <c r="AB6" s="65"/>
      <c r="AC6" s="1039"/>
      <c r="AD6" s="72"/>
      <c r="AE6" s="1040">
        <f ca="1">IF(AN6="",0,SUMIF(INDIRECT("'"&amp;AN6&amp;"'"&amp;"!E:E"),$AE$5,INDIRECT("'"&amp;AN6&amp;"'"&amp;"!F:F")))</f>
        <v>33.450000000000003</v>
      </c>
      <c r="AF6" s="1346"/>
      <c r="AG6" s="137">
        <f>IF(AF6="",0,AE6-AF6)</f>
        <v>0</v>
      </c>
      <c r="AH6" s="73">
        <f>'数据-汇总表'!F19</f>
        <v>22613.18</v>
      </c>
      <c r="AI6" s="75">
        <v>365</v>
      </c>
      <c r="AJ6" s="77"/>
      <c r="AK6" s="77">
        <v>0.02</v>
      </c>
      <c r="AL6" s="78">
        <v>1.5E-3</v>
      </c>
      <c r="AM6" s="79">
        <v>0.05</v>
      </c>
      <c r="AN6" s="1713" t="s">
        <v>3467</v>
      </c>
      <c r="AO6" s="51">
        <f ca="1">SUMIF(INDIRECT("'"&amp;AN6&amp;"'"&amp;"!A:A"),"总价",INDIRECT("'"&amp;AN6&amp;"'"&amp;"!B:B"))</f>
        <v>46333</v>
      </c>
      <c r="AP6" s="1714">
        <f>IF(C6="住宅",K6*L6,0)</f>
        <v>0</v>
      </c>
      <c r="AQ6" s="51">
        <f>ROUND($L$14*$N$14*S6/10000,0)</f>
        <v>0</v>
      </c>
      <c r="AR6" s="51">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1"/>
      <c r="I7" s="731"/>
      <c r="J7" s="65"/>
      <c r="K7" s="1029">
        <f>SUMIF('数据-汇总表'!C$19:C$33,A7,'数据-汇总表'!E$19:E$33)</f>
        <v>0</v>
      </c>
      <c r="L7" s="732"/>
      <c r="M7" s="66">
        <f t="shared" si="0"/>
        <v>0</v>
      </c>
      <c r="N7" s="730"/>
      <c r="O7" s="66" t="str">
        <f t="shared" ref="O7:O14" si="3">IF($N$5="成新度","——",ROUND(M7*N7,0))</f>
        <v>——</v>
      </c>
      <c r="P7" s="67" t="str">
        <f t="shared" ref="P7:P14" si="4">IF($N$5="成新度","——",M7-O7)</f>
        <v>——</v>
      </c>
      <c r="Q7" s="733"/>
      <c r="R7" s="68">
        <f ca="1">SUMIF('数据-汇总表'!C$19:C$33,A7,'数据-汇总表'!R$19:R$27)</f>
        <v>0</v>
      </c>
      <c r="S7" s="50">
        <f>IF('数据-汇总表'!$I$17="按面积比例",SUMIF('数据-汇总表'!C$19:C$33,A7,'数据-汇总表'!K$19:K$33),SUMIF('数据-汇总表'!C$19:C$33,A7,'数据-汇总表'!N$19:N$33))</f>
        <v>0</v>
      </c>
      <c r="T7" s="1171">
        <f t="shared" ref="T7:T13" si="5">ROUND($L$14*S7/10000,0)</f>
        <v>0</v>
      </c>
      <c r="U7" s="3423"/>
      <c r="V7" s="69"/>
      <c r="W7" s="69"/>
      <c r="X7" s="1039"/>
      <c r="Y7" s="70"/>
      <c r="Z7" s="71"/>
      <c r="AA7" s="65"/>
      <c r="AB7" s="65"/>
      <c r="AC7" s="1039"/>
      <c r="AD7" s="72"/>
      <c r="AE7" s="1040">
        <f t="shared" ref="AE7:AE13" ca="1" si="6">IF(AN7="",0,SUMIF(INDIRECT("'"&amp;AN7&amp;"'"&amp;"!E:E"),$AE$5,INDIRECT("'"&amp;AN7&amp;"'"&amp;"!F:F")))</f>
        <v>0</v>
      </c>
      <c r="AF7" s="1346"/>
      <c r="AG7" s="137">
        <f t="shared" ref="AG7:AG13" si="7">IF(AF7="",0,AE7-AF7)</f>
        <v>0</v>
      </c>
      <c r="AH7" s="73"/>
      <c r="AI7" s="75"/>
      <c r="AJ7" s="76"/>
      <c r="AK7" s="77"/>
      <c r="AL7" s="78"/>
      <c r="AM7" s="79"/>
      <c r="AN7" s="1713"/>
      <c r="AO7" s="51" t="e">
        <f t="shared" ref="AO7:AO13" ca="1" si="8">SUMIF(INDIRECT("'"&amp;AN7&amp;"'"&amp;"!A:A"),"总价",INDIRECT("'"&amp;AN7&amp;"'"&amp;"!B:B"))</f>
        <v>#REF!</v>
      </c>
      <c r="AP7" s="1714">
        <f t="shared" ref="AP7:AP13" si="9">IF(C7="住宅",K7*L7,0)</f>
        <v>0</v>
      </c>
      <c r="AQ7" s="51">
        <f t="shared" ref="AQ7:AQ13" si="10">ROUND($L$14*$N$14*S7/10000,0)</f>
        <v>0</v>
      </c>
      <c r="AR7" s="51">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4"/>
      <c r="V8" s="734"/>
      <c r="W8" s="734"/>
      <c r="X8" s="1039"/>
      <c r="Y8" s="70"/>
      <c r="Z8" s="71"/>
      <c r="AA8" s="65"/>
      <c r="AB8" s="65"/>
      <c r="AC8" s="1039"/>
      <c r="AD8" s="72"/>
      <c r="AE8" s="1040">
        <f t="shared" ca="1" si="6"/>
        <v>0</v>
      </c>
      <c r="AF8" s="1346"/>
      <c r="AG8" s="137">
        <f t="shared" si="7"/>
        <v>0</v>
      </c>
      <c r="AH8" s="735"/>
      <c r="AI8" s="75"/>
      <c r="AJ8" s="76"/>
      <c r="AK8" s="736"/>
      <c r="AL8" s="737"/>
      <c r="AM8" s="738"/>
      <c r="AN8" s="1713"/>
      <c r="AO8" s="51" t="e">
        <f t="shared" ca="1" si="8"/>
        <v>#REF!</v>
      </c>
      <c r="AP8" s="1714">
        <f t="shared" si="9"/>
        <v>0</v>
      </c>
      <c r="AQ8" s="51">
        <f t="shared" si="10"/>
        <v>0</v>
      </c>
      <c r="AR8" s="51">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3"/>
      <c r="V9" s="69"/>
      <c r="W9" s="69"/>
      <c r="X9" s="1039"/>
      <c r="Y9" s="70"/>
      <c r="Z9" s="71"/>
      <c r="AA9" s="65"/>
      <c r="AB9" s="65"/>
      <c r="AC9" s="1039"/>
      <c r="AD9" s="72"/>
      <c r="AE9" s="1040">
        <f t="shared" ca="1" si="6"/>
        <v>0</v>
      </c>
      <c r="AF9" s="1346"/>
      <c r="AG9" s="137">
        <f t="shared" si="7"/>
        <v>0</v>
      </c>
      <c r="AH9" s="73"/>
      <c r="AI9" s="75"/>
      <c r="AJ9" s="76"/>
      <c r="AK9" s="77"/>
      <c r="AL9" s="78"/>
      <c r="AM9" s="79"/>
      <c r="AN9" s="1713"/>
      <c r="AO9" s="51" t="e">
        <f t="shared" ca="1" si="8"/>
        <v>#REF!</v>
      </c>
      <c r="AP9" s="1714">
        <f t="shared" si="9"/>
        <v>0</v>
      </c>
      <c r="AQ9" s="51">
        <f t="shared" si="10"/>
        <v>0</v>
      </c>
      <c r="AR9" s="51">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3"/>
      <c r="V10" s="69"/>
      <c r="W10" s="69"/>
      <c r="X10" s="1039"/>
      <c r="Y10" s="70"/>
      <c r="Z10" s="71"/>
      <c r="AA10" s="65"/>
      <c r="AB10" s="65"/>
      <c r="AC10" s="1039"/>
      <c r="AD10" s="72"/>
      <c r="AE10" s="1040">
        <f t="shared" ca="1" si="6"/>
        <v>0</v>
      </c>
      <c r="AF10" s="1346"/>
      <c r="AG10" s="137">
        <f t="shared" si="7"/>
        <v>0</v>
      </c>
      <c r="AH10" s="73"/>
      <c r="AI10" s="75"/>
      <c r="AJ10" s="76"/>
      <c r="AK10" s="77"/>
      <c r="AL10" s="78"/>
      <c r="AM10" s="79"/>
      <c r="AN10" s="1713"/>
      <c r="AO10" s="51" t="e">
        <f t="shared" ca="1" si="8"/>
        <v>#REF!</v>
      </c>
      <c r="AP10" s="1714">
        <f t="shared" si="9"/>
        <v>0</v>
      </c>
      <c r="AQ10" s="51">
        <f t="shared" si="10"/>
        <v>0</v>
      </c>
      <c r="AR10" s="51">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3"/>
      <c r="V11" s="65"/>
      <c r="W11" s="65"/>
      <c r="X11" s="1039"/>
      <c r="Y11" s="70"/>
      <c r="Z11" s="83"/>
      <c r="AA11" s="65"/>
      <c r="AB11" s="65"/>
      <c r="AC11" s="1039"/>
      <c r="AD11" s="72"/>
      <c r="AE11" s="1040">
        <f t="shared" ca="1" si="6"/>
        <v>0</v>
      </c>
      <c r="AF11" s="1346"/>
      <c r="AG11" s="137">
        <f t="shared" si="7"/>
        <v>0</v>
      </c>
      <c r="AH11" s="73"/>
      <c r="AI11" s="75"/>
      <c r="AJ11" s="76"/>
      <c r="AK11" s="84"/>
      <c r="AL11" s="85"/>
      <c r="AM11" s="86"/>
      <c r="AN11" s="1713"/>
      <c r="AO11" s="51" t="e">
        <f t="shared" ca="1" si="8"/>
        <v>#REF!</v>
      </c>
      <c r="AP11" s="1714">
        <f t="shared" si="9"/>
        <v>0</v>
      </c>
      <c r="AQ11" s="51">
        <f t="shared" si="10"/>
        <v>0</v>
      </c>
      <c r="AR11" s="51">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3"/>
      <c r="V12" s="65"/>
      <c r="W12" s="65"/>
      <c r="X12" s="1039"/>
      <c r="Y12" s="70"/>
      <c r="Z12" s="83"/>
      <c r="AA12" s="65"/>
      <c r="AB12" s="65"/>
      <c r="AC12" s="1039"/>
      <c r="AD12" s="72"/>
      <c r="AE12" s="1040">
        <f t="shared" ca="1" si="6"/>
        <v>0</v>
      </c>
      <c r="AF12" s="1346"/>
      <c r="AG12" s="137">
        <f t="shared" si="7"/>
        <v>0</v>
      </c>
      <c r="AH12" s="73"/>
      <c r="AI12" s="75"/>
      <c r="AJ12" s="76"/>
      <c r="AK12" s="84"/>
      <c r="AL12" s="85"/>
      <c r="AM12" s="86"/>
      <c r="AN12" s="1713"/>
      <c r="AO12" s="51" t="e">
        <f t="shared" ca="1" si="8"/>
        <v>#REF!</v>
      </c>
      <c r="AP12" s="1714">
        <f t="shared" si="9"/>
        <v>0</v>
      </c>
      <c r="AQ12" s="51">
        <f t="shared" si="10"/>
        <v>0</v>
      </c>
      <c r="AR12" s="51">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5"/>
      <c r="V13" s="69"/>
      <c r="W13" s="69"/>
      <c r="X13" s="1039"/>
      <c r="Y13" s="70"/>
      <c r="Z13" s="71"/>
      <c r="AA13" s="65"/>
      <c r="AB13" s="65"/>
      <c r="AC13" s="1039"/>
      <c r="AD13" s="72"/>
      <c r="AE13" s="1040">
        <f t="shared" ca="1" si="6"/>
        <v>0</v>
      </c>
      <c r="AF13" s="1346"/>
      <c r="AG13" s="137">
        <f t="shared" si="7"/>
        <v>0</v>
      </c>
      <c r="AH13" s="73"/>
      <c r="AI13" s="75"/>
      <c r="AJ13" s="76"/>
      <c r="AK13" s="77"/>
      <c r="AL13" s="78"/>
      <c r="AM13" s="79"/>
      <c r="AN13" s="1713"/>
      <c r="AO13" s="51" t="e">
        <f t="shared" ca="1" si="8"/>
        <v>#REF!</v>
      </c>
      <c r="AP13" s="1714">
        <f t="shared" si="9"/>
        <v>0</v>
      </c>
      <c r="AQ13" s="51">
        <f t="shared" si="10"/>
        <v>0</v>
      </c>
      <c r="AR13" s="51">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7"/>
      <c r="C16" s="832"/>
      <c r="D16" s="1718"/>
      <c r="E16" s="87"/>
      <c r="F16" s="87"/>
      <c r="G16" s="88">
        <f>ROUND(SUMPRODUCT(G6:G13,K6:K13)/SUMPRODUCT((G6:G13&gt;0)*(K6:K13)),3)</f>
        <v>0.93799999999999994</v>
      </c>
      <c r="H16" s="89">
        <f>ROUND(SUMPRODUCT(H6:H13,K6:K13)/SUMPRODUCT((H6:H13&gt;0)*(K6:K13)),3)</f>
        <v>0.05</v>
      </c>
      <c r="I16" s="90"/>
      <c r="J16" s="90"/>
      <c r="K16" s="91">
        <f>SUM(K6:K15)</f>
        <v>33618.589999999997</v>
      </c>
      <c r="L16" s="92">
        <f>ROUND(M16*10000/SUM(K6:K14),0)</f>
        <v>8300</v>
      </c>
      <c r="M16" s="92">
        <f>SUM(M6:M14)</f>
        <v>27903</v>
      </c>
      <c r="N16" s="93">
        <f>ROUND(SUMPRODUCT(M6:M14,N6:N14)/M16,3)</f>
        <v>0.97</v>
      </c>
      <c r="O16" s="92">
        <f>SUM(O6:O14)</f>
        <v>0</v>
      </c>
      <c r="P16" s="92">
        <f>SUM(P6:P14)</f>
        <v>0</v>
      </c>
      <c r="Q16" s="94">
        <f>ROUND(SUMPRODUCT(Q6:Q13,K6:K13)/SUMPRODUCT((Q6:Q13&gt;0)*(K6:K13)),2)</f>
        <v>0.15</v>
      </c>
      <c r="R16" s="1033">
        <f ca="1">SUM(R6:R13)</f>
        <v>22981.55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59"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v>0.02</v>
      </c>
      <c r="AL18" s="2668">
        <v>1.5E-3</v>
      </c>
      <c r="AM18" s="2668">
        <v>0.05</v>
      </c>
      <c r="AN18" s="2668"/>
      <c r="AO18" s="2668"/>
      <c r="AP18" s="2668"/>
      <c r="AQ18" s="2668"/>
      <c r="AR18" s="2668"/>
    </row>
    <row r="19" spans="1:67" ht="14.25">
      <c r="A19" s="1720" t="s">
        <v>1211</v>
      </c>
      <c r="B19" s="102">
        <v>0</v>
      </c>
      <c r="C19" s="2796" t="s">
        <v>2302</v>
      </c>
      <c r="D19" s="2673"/>
      <c r="E19" s="2670"/>
      <c r="F19" s="2670"/>
      <c r="G19" s="2670"/>
      <c r="H19" s="2670"/>
      <c r="I19" s="2670"/>
      <c r="J19" s="3464"/>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3">
        <v>2</v>
      </c>
      <c r="C20" s="2797" t="s">
        <v>2300</v>
      </c>
      <c r="D20" s="2673"/>
      <c r="E20" s="2670"/>
      <c r="F20" s="2670"/>
      <c r="G20" s="2670"/>
      <c r="H20" s="2670"/>
      <c r="I20" s="2670"/>
      <c r="J20" s="3465"/>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3">
        <v>2</v>
      </c>
      <c r="C21" s="2670"/>
      <c r="D21" s="2673"/>
      <c r="E21" s="2670"/>
      <c r="F21" s="2670"/>
      <c r="G21" s="2670"/>
      <c r="H21" s="2670"/>
      <c r="I21" s="2670"/>
      <c r="J21" s="3465"/>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4">
        <f>B19+B20</f>
        <v>2</v>
      </c>
      <c r="C22" s="2670"/>
      <c r="D22" s="2673"/>
      <c r="E22" s="2670"/>
      <c r="F22" s="2670"/>
      <c r="G22" s="2670"/>
      <c r="H22" s="2670"/>
      <c r="I22" s="2670"/>
      <c r="J22" s="3464"/>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4">
        <f>B19+B21</f>
        <v>2</v>
      </c>
      <c r="C23" s="2670"/>
      <c r="D23" s="2673"/>
      <c r="E23" s="2670"/>
      <c r="F23" s="2670"/>
      <c r="G23" s="2670"/>
      <c r="H23" s="2670"/>
      <c r="I23" s="2670"/>
      <c r="J23" s="3464"/>
      <c r="K23" s="2669"/>
      <c r="L23" s="3467" t="s">
        <v>3460</v>
      </c>
      <c r="M23" s="3468" t="s">
        <v>3461</v>
      </c>
      <c r="N23" s="3468" t="s">
        <v>3441</v>
      </c>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2670"/>
      <c r="J24" s="3464"/>
      <c r="K24" s="3469" t="s">
        <v>3462</v>
      </c>
      <c r="L24" s="3470"/>
      <c r="M24" s="3471">
        <f>N31/L25</f>
        <v>7153.8952325756136</v>
      </c>
      <c r="N24" s="3470"/>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3472" t="s">
        <v>3457</v>
      </c>
      <c r="L25" s="3473">
        <f>L26+L27</f>
        <v>39460.93</v>
      </c>
      <c r="M25" s="3474">
        <f>N25/L25</f>
        <v>2653.8952325756136</v>
      </c>
      <c r="N25" s="3475">
        <f>N26+N27</f>
        <v>104725174</v>
      </c>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3476" t="s">
        <v>3449</v>
      </c>
      <c r="L26" s="3477">
        <f>面积整理!G7</f>
        <v>22613.18</v>
      </c>
      <c r="M26" s="3478">
        <v>1800</v>
      </c>
      <c r="N26" s="3478">
        <f>M26*L26</f>
        <v>40703724</v>
      </c>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6">
        <v>80</v>
      </c>
      <c r="C27" s="2798" t="s">
        <v>2304</v>
      </c>
      <c r="D27" s="2676"/>
      <c r="E27" s="2658"/>
      <c r="F27" s="2658"/>
      <c r="G27" s="2670"/>
      <c r="H27" s="2670"/>
      <c r="I27" s="2670"/>
      <c r="J27" s="2670"/>
      <c r="K27" s="3476" t="s">
        <v>3451</v>
      </c>
      <c r="L27" s="3477">
        <f>面积整理!C17</f>
        <v>16847.75</v>
      </c>
      <c r="M27" s="53">
        <v>3800</v>
      </c>
      <c r="N27" s="3478">
        <f t="shared" ref="N27:N30" si="12">M27*L27</f>
        <v>64021450</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09">
        <v>80</v>
      </c>
      <c r="C28" s="2677"/>
      <c r="D28" s="2676"/>
      <c r="E28" s="2658"/>
      <c r="F28" s="2658"/>
      <c r="G28" s="2670"/>
      <c r="H28" s="2670"/>
      <c r="I28" s="2670"/>
      <c r="J28" s="2670"/>
      <c r="K28" s="3472" t="s">
        <v>3458</v>
      </c>
      <c r="L28" s="3473">
        <f>L25</f>
        <v>39460.93</v>
      </c>
      <c r="M28" s="2420">
        <v>3000</v>
      </c>
      <c r="N28" s="3478">
        <f t="shared" si="12"/>
        <v>118382790</v>
      </c>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1">
        <f ca="1">成本法!C10</f>
        <v>269</v>
      </c>
      <c r="C29" s="2799" t="s">
        <v>2293</v>
      </c>
      <c r="D29" s="2676"/>
      <c r="E29" s="2658"/>
      <c r="F29" s="2658"/>
      <c r="G29" s="2670"/>
      <c r="H29" s="2670"/>
      <c r="I29" s="2670"/>
      <c r="J29" s="2670"/>
      <c r="K29" s="3472" t="s">
        <v>3459</v>
      </c>
      <c r="L29" s="3473">
        <f>L25</f>
        <v>39460.93</v>
      </c>
      <c r="M29" s="2420">
        <v>1500</v>
      </c>
      <c r="N29" s="3478">
        <f t="shared" si="12"/>
        <v>59191395</v>
      </c>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3469" t="s">
        <v>3463</v>
      </c>
      <c r="L30" s="3475">
        <f>[2]面积指标!T26</f>
        <v>0</v>
      </c>
      <c r="M30" s="3474">
        <v>0</v>
      </c>
      <c r="N30" s="3474">
        <f t="shared" si="12"/>
        <v>0</v>
      </c>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0">
        <f>B30-B32</f>
        <v>200</v>
      </c>
      <c r="C31" s="2675"/>
      <c r="D31" s="2676"/>
      <c r="E31" s="2658"/>
      <c r="F31" s="2658"/>
      <c r="G31" s="2670"/>
      <c r="H31" s="2670"/>
      <c r="I31" s="2670"/>
      <c r="J31" s="2670"/>
      <c r="K31" s="3469" t="s">
        <v>3464</v>
      </c>
      <c r="L31" s="3479">
        <f>K16</f>
        <v>33618.589999999997</v>
      </c>
      <c r="M31" s="3480">
        <f>N31/L31</f>
        <v>8397.1207299294838</v>
      </c>
      <c r="N31" s="3471">
        <f>N25+N28+N29+N30</f>
        <v>282299359</v>
      </c>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7"/>
      <c r="D32" s="2673"/>
      <c r="E32" s="2670"/>
      <c r="F32" s="2670"/>
      <c r="G32" s="2670"/>
      <c r="H32" s="2670"/>
      <c r="I32" s="2670"/>
      <c r="J32" s="2670"/>
      <c r="K32" s="3467" t="s">
        <v>3465</v>
      </c>
      <c r="L32" s="3466">
        <v>0.03</v>
      </c>
      <c r="M32" s="2668">
        <f>ROUND(M31*(1+L32),0)</f>
        <v>8649</v>
      </c>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0" t="s">
        <v>3373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2">
        <v>0</v>
      </c>
      <c r="C34" s="2800" t="s">
        <v>2294</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09">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3">
        <v>0.02</v>
      </c>
      <c r="C36" s="2800" t="s">
        <v>3374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0.03</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0.03</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2311</v>
      </c>
      <c r="B40" s="1077">
        <f ca="1">IF(A40="利息：取LPR",存贷款利率!G1,存贷款利率!G1+C40)</f>
        <v>3.3500000000000002E-2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4"/>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4"/>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4"/>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4"/>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4"/>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4">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4"/>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4"/>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4"/>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3"/>
      <c r="L134" s="23"/>
    </row>
    <row r="135" spans="1:12" s="1679" customFormat="1">
      <c r="A135" s="1741"/>
      <c r="D135" s="1742"/>
      <c r="K135" s="23"/>
      <c r="L135" s="23"/>
    </row>
    <row r="136" spans="1:12" s="1679" customFormat="1">
      <c r="A136" s="1741"/>
      <c r="D136" s="1742"/>
      <c r="K136" s="23"/>
      <c r="L136" s="23"/>
    </row>
    <row r="137" spans="1:12" s="1679" customFormat="1">
      <c r="A137" s="1741"/>
      <c r="D137" s="1742"/>
      <c r="K137" s="23"/>
      <c r="L137" s="23"/>
    </row>
    <row r="138" spans="1:12" s="1679" customFormat="1">
      <c r="A138" s="1741"/>
      <c r="D138" s="1742"/>
      <c r="K138" s="23"/>
      <c r="L138" s="23"/>
    </row>
    <row r="139" spans="1:12" s="1679" customFormat="1">
      <c r="A139" s="1741"/>
      <c r="D139" s="1742"/>
      <c r="K139" s="23"/>
      <c r="L139" s="23"/>
    </row>
    <row r="140" spans="1:12" s="1679" customFormat="1">
      <c r="A140" s="1741"/>
      <c r="D140" s="1742"/>
      <c r="K140" s="23"/>
      <c r="L140" s="23"/>
    </row>
    <row r="141" spans="1:12" s="1679" customFormat="1">
      <c r="A141" s="1741"/>
      <c r="D141" s="1742"/>
      <c r="K141" s="23"/>
      <c r="L141" s="23"/>
    </row>
    <row r="142" spans="1:12" s="1679" customFormat="1">
      <c r="A142" s="1741"/>
      <c r="D142" s="1742"/>
      <c r="K142" s="23"/>
      <c r="L142" s="23"/>
    </row>
    <row r="143" spans="1:12" s="1679" customFormat="1">
      <c r="A143" s="1741"/>
      <c r="D143" s="1742"/>
      <c r="K143" s="23"/>
      <c r="L143" s="23"/>
    </row>
    <row r="144" spans="1:12" s="1679" customFormat="1">
      <c r="A144" s="1741"/>
      <c r="D144" s="1742"/>
      <c r="K144" s="23"/>
      <c r="L144" s="23"/>
    </row>
    <row r="145" spans="1:12" s="1679" customFormat="1">
      <c r="A145" s="1741"/>
      <c r="D145" s="1742"/>
      <c r="K145" s="23"/>
      <c r="L145" s="23"/>
    </row>
    <row r="146" spans="1:12" s="1679" customFormat="1">
      <c r="A146" s="1741"/>
      <c r="D146" s="1742"/>
      <c r="K146" s="23"/>
      <c r="L146" s="23"/>
    </row>
    <row r="147" spans="1:12" s="1679" customFormat="1">
      <c r="A147" s="1741"/>
      <c r="D147" s="1742"/>
      <c r="K147" s="23"/>
      <c r="L147" s="23"/>
    </row>
    <row r="148" spans="1:12" s="1679" customFormat="1">
      <c r="A148" s="1741"/>
      <c r="D148" s="1742"/>
      <c r="K148" s="23"/>
      <c r="L148" s="23"/>
    </row>
    <row r="149" spans="1:12" s="1679" customFormat="1">
      <c r="A149" s="1741"/>
      <c r="D149" s="1742"/>
      <c r="K149" s="23"/>
      <c r="L149" s="23"/>
    </row>
    <row r="150" spans="1:12" s="1679" customFormat="1">
      <c r="A150" s="1741"/>
      <c r="D150" s="1742"/>
      <c r="K150" s="23"/>
      <c r="L150" s="23"/>
    </row>
    <row r="151" spans="1:12" s="1679" customFormat="1">
      <c r="A151" s="1741"/>
      <c r="D151" s="1742"/>
      <c r="K151" s="23"/>
      <c r="L151" s="23"/>
    </row>
    <row r="152" spans="1:12" s="1679" customFormat="1">
      <c r="A152" s="1741"/>
      <c r="D152" s="1742"/>
      <c r="K152" s="23"/>
      <c r="L152" s="23"/>
    </row>
    <row r="153" spans="1:12" s="1679" customFormat="1">
      <c r="A153" s="1741"/>
      <c r="D153" s="1742"/>
      <c r="K153" s="23"/>
      <c r="L153" s="23"/>
    </row>
    <row r="154" spans="1:12" s="1679" customFormat="1">
      <c r="A154" s="1741"/>
      <c r="D154" s="1742"/>
      <c r="K154" s="23"/>
      <c r="L154" s="23"/>
    </row>
    <row r="155" spans="1:12" s="1679" customFormat="1">
      <c r="A155" s="1741"/>
      <c r="D155" s="1742"/>
      <c r="K155" s="23"/>
      <c r="L155" s="23"/>
    </row>
    <row r="156" spans="1:12" s="1679" customFormat="1">
      <c r="A156" s="1741"/>
      <c r="D156" s="1742"/>
      <c r="K156" s="23"/>
      <c r="L156" s="23"/>
    </row>
    <row r="157" spans="1:12" s="1679" customFormat="1">
      <c r="A157" s="1741"/>
      <c r="D157" s="1742"/>
      <c r="K157" s="23"/>
      <c r="L157" s="23"/>
    </row>
    <row r="158" spans="1:12" s="1679" customFormat="1">
      <c r="A158" s="1741"/>
      <c r="D158" s="1742"/>
      <c r="K158" s="23"/>
      <c r="L158" s="23"/>
    </row>
    <row r="159" spans="1:12" s="1679" customFormat="1">
      <c r="A159" s="1741"/>
      <c r="D159" s="1742"/>
      <c r="K159" s="23"/>
      <c r="L159" s="23"/>
    </row>
    <row r="160" spans="1:12" s="1679" customFormat="1">
      <c r="A160" s="1741"/>
      <c r="D160" s="1742"/>
      <c r="K160" s="23"/>
      <c r="L160" s="23"/>
    </row>
    <row r="161" spans="1:12" s="1679" customFormat="1">
      <c r="A161" s="1741"/>
      <c r="D161" s="1742"/>
      <c r="K161" s="23"/>
      <c r="L161" s="23"/>
    </row>
    <row r="162" spans="1:12" s="1679" customFormat="1">
      <c r="A162" s="1741"/>
      <c r="D162" s="1742"/>
      <c r="K162" s="23"/>
      <c r="L162" s="23"/>
    </row>
    <row r="163" spans="1:12" s="1679" customFormat="1">
      <c r="A163" s="1741"/>
      <c r="D163" s="1742"/>
      <c r="K163" s="23"/>
      <c r="L163" s="23"/>
    </row>
    <row r="164" spans="1:12" s="1679" customFormat="1">
      <c r="A164" s="1741"/>
      <c r="D164" s="1742"/>
      <c r="K164" s="23"/>
      <c r="L164" s="23"/>
    </row>
    <row r="165" spans="1:12" s="1679" customFormat="1">
      <c r="A165" s="1741"/>
      <c r="D165" s="1742"/>
      <c r="K165" s="23"/>
      <c r="L165" s="23"/>
    </row>
    <row r="166" spans="1:12" s="1679" customFormat="1">
      <c r="A166" s="1741"/>
      <c r="D166" s="1742"/>
      <c r="K166" s="23"/>
      <c r="L166" s="23"/>
    </row>
    <row r="167" spans="1:12" s="1679" customFormat="1">
      <c r="A167" s="1741"/>
      <c r="D167" s="1742"/>
      <c r="K167" s="23"/>
      <c r="L167" s="23"/>
    </row>
    <row r="168" spans="1:12" s="1679" customFormat="1">
      <c r="A168" s="1741"/>
      <c r="D168" s="1742"/>
      <c r="K168" s="23"/>
      <c r="L168" s="23"/>
    </row>
    <row r="169" spans="1:12" s="1679" customFormat="1">
      <c r="A169" s="1741"/>
      <c r="D169" s="1742"/>
      <c r="K169" s="23"/>
      <c r="L169" s="23"/>
    </row>
    <row r="170" spans="1:12" s="1679" customFormat="1">
      <c r="A170" s="1741"/>
      <c r="D170" s="1742"/>
      <c r="K170" s="23"/>
      <c r="L170" s="23"/>
    </row>
    <row r="171" spans="1:12" s="1679" customFormat="1">
      <c r="A171" s="1741"/>
      <c r="D171" s="1742"/>
      <c r="K171" s="23"/>
      <c r="L171" s="23"/>
    </row>
    <row r="172" spans="1:12" s="1679" customFormat="1">
      <c r="A172" s="1741"/>
      <c r="D172" s="1742"/>
      <c r="K172" s="23"/>
      <c r="L172" s="23"/>
    </row>
    <row r="173" spans="1:12" s="1679" customFormat="1">
      <c r="A173" s="1741"/>
      <c r="D173" s="1742"/>
      <c r="K173" s="23"/>
      <c r="L173" s="23"/>
    </row>
    <row r="174" spans="1:12" s="1679" customFormat="1">
      <c r="A174" s="1741"/>
      <c r="D174" s="1742"/>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586" t="s">
        <v>2285</v>
      </c>
      <c r="B1" s="3587"/>
      <c r="C1" s="3587"/>
      <c r="D1" s="3587"/>
      <c r="E1" s="3587"/>
      <c r="F1" s="3587"/>
      <c r="G1" s="358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8"/>
      <c r="I2" s="798"/>
      <c r="J2" s="798"/>
      <c r="K2" s="798"/>
      <c r="L2" s="798"/>
      <c r="M2" s="798"/>
      <c r="N2" s="798"/>
      <c r="O2" s="798"/>
      <c r="P2" s="798"/>
      <c r="Q2" s="798"/>
      <c r="R2" s="798"/>
    </row>
    <row r="3" spans="1:29" ht="48">
      <c r="A3" s="2438" t="s">
        <v>2282</v>
      </c>
      <c r="B3" s="2460" t="s">
        <v>2251</v>
      </c>
      <c r="C3" s="2461" t="s">
        <v>2283</v>
      </c>
      <c r="D3" s="2462"/>
      <c r="E3" s="2439" t="s">
        <v>2282</v>
      </c>
      <c r="F3" s="2463" t="s">
        <v>2252</v>
      </c>
      <c r="G3" s="2464" t="s">
        <v>2284</v>
      </c>
      <c r="H3" s="798"/>
      <c r="I3" s="798"/>
      <c r="J3" s="798"/>
      <c r="K3" s="798"/>
      <c r="L3" s="798"/>
      <c r="M3" s="798"/>
      <c r="N3" s="798"/>
      <c r="O3" s="798"/>
      <c r="P3" s="798"/>
      <c r="Q3" s="798"/>
      <c r="R3" s="798"/>
    </row>
    <row r="4" spans="1:29" ht="36.75">
      <c r="A4" s="2439"/>
      <c r="B4" s="322" t="s">
        <v>2253</v>
      </c>
      <c r="C4" s="2465" t="s">
        <v>2254</v>
      </c>
      <c r="D4" s="2462"/>
      <c r="E4" s="2466"/>
      <c r="F4" s="1371" t="s">
        <v>2255</v>
      </c>
      <c r="G4" s="2467" t="s">
        <v>2256</v>
      </c>
      <c r="H4" s="798"/>
      <c r="I4" s="798"/>
      <c r="J4" s="798"/>
      <c r="K4" s="798"/>
      <c r="L4" s="798"/>
      <c r="M4" s="798"/>
      <c r="N4" s="798"/>
      <c r="O4" s="798"/>
      <c r="P4" s="798"/>
      <c r="Q4" s="798"/>
      <c r="R4" s="798"/>
    </row>
    <row r="5" spans="1:29" ht="36.75">
      <c r="A5" s="2439"/>
      <c r="B5" s="322" t="s">
        <v>2257</v>
      </c>
      <c r="C5" s="2465" t="s">
        <v>2258</v>
      </c>
      <c r="D5" s="2462"/>
      <c r="E5" s="2466"/>
      <c r="F5" s="322" t="s">
        <v>2259</v>
      </c>
      <c r="G5" s="2467" t="s">
        <v>2260</v>
      </c>
      <c r="H5" s="798"/>
      <c r="I5" s="798"/>
      <c r="J5" s="798"/>
      <c r="K5" s="798"/>
      <c r="L5" s="798"/>
      <c r="M5" s="798"/>
      <c r="N5" s="798"/>
      <c r="O5" s="798"/>
      <c r="P5" s="798"/>
      <c r="Q5" s="798"/>
      <c r="R5" s="798"/>
    </row>
    <row r="6" spans="1:29" ht="36">
      <c r="A6" s="2439"/>
      <c r="B6" s="322" t="s">
        <v>2261</v>
      </c>
      <c r="C6" s="2467" t="s">
        <v>2256</v>
      </c>
      <c r="D6" s="2462"/>
      <c r="E6" s="2466"/>
      <c r="F6" s="322" t="s">
        <v>2262</v>
      </c>
      <c r="G6" s="2467" t="s">
        <v>2263</v>
      </c>
      <c r="H6" s="798"/>
      <c r="I6" s="798"/>
      <c r="J6" s="798"/>
      <c r="K6" s="798"/>
      <c r="L6" s="798"/>
      <c r="M6" s="798"/>
      <c r="N6" s="798"/>
      <c r="O6" s="798"/>
      <c r="P6" s="798"/>
      <c r="Q6" s="798"/>
      <c r="R6" s="798"/>
    </row>
    <row r="7" spans="1:29" ht="24.75" thickBot="1">
      <c r="A7" s="2439"/>
      <c r="B7" s="322" t="s">
        <v>2259</v>
      </c>
      <c r="C7" s="2467" t="s">
        <v>2260</v>
      </c>
      <c r="D7" s="2468"/>
      <c r="E7" s="2469"/>
      <c r="F7" s="2470" t="s">
        <v>2264</v>
      </c>
      <c r="G7" s="2471" t="s">
        <v>2265</v>
      </c>
      <c r="H7" s="798"/>
      <c r="I7" s="798"/>
      <c r="J7" s="798"/>
      <c r="K7" s="798"/>
      <c r="L7" s="798"/>
      <c r="M7" s="798"/>
      <c r="N7" s="798"/>
      <c r="O7" s="798"/>
      <c r="P7" s="798"/>
      <c r="Q7" s="798"/>
      <c r="R7" s="798"/>
    </row>
    <row r="8" spans="1:29">
      <c r="A8" s="2439"/>
      <c r="B8" s="322" t="s">
        <v>2262</v>
      </c>
      <c r="C8" s="2467" t="s">
        <v>2263</v>
      </c>
      <c r="D8" s="2468"/>
      <c r="E8" s="2468"/>
      <c r="F8" s="2472"/>
      <c r="G8" s="2472"/>
      <c r="H8" s="798"/>
      <c r="I8" s="798"/>
      <c r="J8" s="798"/>
      <c r="K8" s="798"/>
      <c r="L8" s="798"/>
      <c r="M8" s="798"/>
      <c r="N8" s="798"/>
      <c r="O8" s="798"/>
      <c r="P8" s="798"/>
      <c r="Q8" s="798"/>
      <c r="R8" s="798"/>
    </row>
    <row r="9" spans="1:29" ht="24">
      <c r="A9" s="2439"/>
      <c r="B9" s="322" t="s">
        <v>2266</v>
      </c>
      <c r="C9" s="2465" t="s">
        <v>2267</v>
      </c>
      <c r="D9" s="2462"/>
      <c r="E9" s="2468"/>
      <c r="F9" s="2472"/>
      <c r="G9" s="2472"/>
      <c r="H9" s="798"/>
      <c r="I9" s="798"/>
      <c r="J9" s="798"/>
      <c r="K9" s="798"/>
      <c r="L9" s="798"/>
      <c r="M9" s="798"/>
      <c r="N9" s="798"/>
      <c r="O9" s="798"/>
      <c r="P9" s="798"/>
      <c r="Q9" s="798"/>
      <c r="R9" s="798"/>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8"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8"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B3" sqref="B3"/>
    </sheetView>
  </sheetViews>
  <sheetFormatPr defaultColWidth="9" defaultRowHeight="13.5"/>
  <cols>
    <col min="1" max="1" width="25" style="2510" customWidth="1"/>
    <col min="2" max="9" width="15.75" style="2510" customWidth="1"/>
    <col min="10" max="10" width="10.5" style="2510" bestFit="1" customWidth="1"/>
    <col min="11" max="16384" width="9" style="2510"/>
  </cols>
  <sheetData>
    <row r="1" spans="1:11" ht="16.5">
      <c r="A1" s="2509" t="s">
        <v>665</v>
      </c>
      <c r="B1" s="2509">
        <f>SUM(B14:B23)</f>
        <v>33618.589999999997</v>
      </c>
      <c r="C1" s="2683"/>
      <c r="D1" s="2683"/>
      <c r="E1" s="2683"/>
      <c r="F1" s="2683"/>
      <c r="G1" s="2684"/>
      <c r="H1" s="2685"/>
      <c r="I1" s="2685"/>
      <c r="J1" s="2685"/>
      <c r="K1" s="2685"/>
    </row>
    <row r="2" spans="1:11" ht="16.5">
      <c r="A2" s="2509" t="s">
        <v>653</v>
      </c>
      <c r="B2" s="2509">
        <f>SUM(C14:C23)</f>
        <v>22981.55</v>
      </c>
      <c r="C2" s="2683"/>
      <c r="D2" s="2683"/>
      <c r="E2" s="2683"/>
      <c r="F2" s="2683"/>
      <c r="G2" s="2684"/>
      <c r="H2" s="2685"/>
      <c r="I2" s="2685"/>
      <c r="J2" s="2685"/>
      <c r="K2" s="2685"/>
    </row>
    <row r="3" spans="1:11" ht="16.5">
      <c r="A3" s="2509" t="s">
        <v>662</v>
      </c>
      <c r="B3" s="2511">
        <f>项目基本情况!D3</f>
        <v>45565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48844</v>
      </c>
      <c r="C5" s="2509">
        <f ca="1">IF(B5=D14,结果表!H102,ROUND(B5*10000/$B$1,0))</f>
        <v>14529</v>
      </c>
      <c r="D5" s="2509">
        <f ca="1">ROUND(B5*10000/$B$2,0)</f>
        <v>21254</v>
      </c>
      <c r="E5" s="2683"/>
      <c r="F5" s="2684"/>
      <c r="G5" s="2684"/>
      <c r="H5" s="2685"/>
      <c r="I5" s="2685"/>
      <c r="J5" s="2685"/>
      <c r="K5" s="2685"/>
    </row>
    <row r="6" spans="1:11" ht="16.5">
      <c r="A6" s="2509" t="s">
        <v>656</v>
      </c>
      <c r="B6" s="2509">
        <f ca="1">SUM(G14:G23)</f>
        <v>48844</v>
      </c>
      <c r="C6" s="2509">
        <f ca="1">IF(B6=G14,结果表!H108,ROUND(B6*10000/$B$1,0))</f>
        <v>14529</v>
      </c>
      <c r="D6" s="2509">
        <f ca="1">ROUND(B6*10000/$B$2,0)</f>
        <v>21254</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3348</v>
      </c>
      <c r="D10" s="2509" t="s">
        <v>3349</v>
      </c>
      <c r="E10" s="3436"/>
      <c r="F10" s="3440" t="s">
        <v>3350</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3493">
        <v>45363</v>
      </c>
      <c r="K13" s="2685"/>
    </row>
    <row r="14" spans="1:11" ht="16.5">
      <c r="A14" s="2514" t="s">
        <v>650</v>
      </c>
      <c r="B14" s="2515">
        <f>结果表!B118</f>
        <v>33618.589999999997</v>
      </c>
      <c r="C14" s="2515">
        <f>'数据-汇总表'!D3</f>
        <v>22981.55</v>
      </c>
      <c r="D14" s="2515">
        <f ca="1">结果表!H101</f>
        <v>48844</v>
      </c>
      <c r="E14" s="2515">
        <f ca="1">ROUND(D14*10000/B14,0)</f>
        <v>14529</v>
      </c>
      <c r="F14" s="2515">
        <f ca="1">ROUND(D14*10000/C14,0)</f>
        <v>21254</v>
      </c>
      <c r="G14" s="2515">
        <f ca="1">结果表!H107</f>
        <v>48844</v>
      </c>
      <c r="H14" s="2515"/>
      <c r="I14" s="2515"/>
      <c r="J14" s="2684">
        <v>50134</v>
      </c>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K122" sqref="K12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2" t="s">
        <v>1265</v>
      </c>
      <c r="B4" s="1753" t="s">
        <v>1266</v>
      </c>
      <c r="C4" s="1754" t="s">
        <v>3491</v>
      </c>
      <c r="D4" s="1754" t="s">
        <v>3492</v>
      </c>
      <c r="E4" s="3628" t="s">
        <v>1267</v>
      </c>
      <c r="F4" s="3629"/>
      <c r="G4" s="3629"/>
      <c r="H4" s="3629"/>
      <c r="I4" s="363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2" t="s">
        <v>1268</v>
      </c>
      <c r="B5" s="3589">
        <v>25</v>
      </c>
      <c r="C5" s="3605"/>
      <c r="D5" s="3625"/>
      <c r="E5" s="130" t="s">
        <v>1269</v>
      </c>
      <c r="F5" s="1755"/>
      <c r="G5" s="1755"/>
      <c r="H5" s="1755"/>
      <c r="I5" s="1371"/>
    </row>
    <row r="6" spans="1:12" ht="12.75">
      <c r="A6" s="3602"/>
      <c r="B6" s="3589"/>
      <c r="C6" s="3606"/>
      <c r="D6" s="3625"/>
      <c r="E6" s="130" t="s">
        <v>1270</v>
      </c>
      <c r="F6" s="1755"/>
      <c r="G6" s="1755"/>
      <c r="H6" s="1755"/>
      <c r="I6" s="1371"/>
    </row>
    <row r="7" spans="1:12" ht="12.75">
      <c r="A7" s="3602"/>
      <c r="B7" s="3589"/>
      <c r="C7" s="3607"/>
      <c r="D7" s="3625"/>
      <c r="E7" s="130" t="s">
        <v>1271</v>
      </c>
      <c r="F7" s="1755"/>
      <c r="G7" s="1755"/>
      <c r="H7" s="1755"/>
      <c r="I7" s="1371"/>
    </row>
    <row r="8" spans="1:12" ht="12.75">
      <c r="A8" s="3602" t="s">
        <v>1272</v>
      </c>
      <c r="B8" s="3589">
        <v>15</v>
      </c>
      <c r="C8" s="3605"/>
      <c r="D8" s="3625"/>
      <c r="E8" s="130" t="s">
        <v>1273</v>
      </c>
      <c r="F8" s="1755"/>
      <c r="G8" s="1755"/>
      <c r="H8" s="1755"/>
      <c r="I8" s="1371"/>
    </row>
    <row r="9" spans="1:12" ht="12.75">
      <c r="A9" s="3602"/>
      <c r="B9" s="3589"/>
      <c r="C9" s="3607"/>
      <c r="D9" s="3625"/>
      <c r="E9" s="130" t="s">
        <v>1274</v>
      </c>
      <c r="F9" s="1755"/>
      <c r="G9" s="1755"/>
      <c r="H9" s="1755"/>
      <c r="I9" s="1371"/>
    </row>
    <row r="10" spans="1:12" ht="12.75">
      <c r="A10" s="3602" t="s">
        <v>1275</v>
      </c>
      <c r="B10" s="3589">
        <v>15</v>
      </c>
      <c r="C10" s="3605"/>
      <c r="D10" s="3625"/>
      <c r="E10" s="130" t="s">
        <v>1276</v>
      </c>
      <c r="F10" s="1755"/>
      <c r="G10" s="1755"/>
      <c r="H10" s="1755"/>
      <c r="I10" s="1371"/>
    </row>
    <row r="11" spans="1:12" ht="12.75">
      <c r="A11" s="3602"/>
      <c r="B11" s="3589"/>
      <c r="C11" s="3607"/>
      <c r="D11" s="3625"/>
      <c r="E11" s="130" t="s">
        <v>1277</v>
      </c>
      <c r="F11" s="1755"/>
      <c r="G11" s="1755"/>
      <c r="H11" s="1755"/>
      <c r="I11" s="1371"/>
    </row>
    <row r="12" spans="1:12" ht="12.75">
      <c r="A12" s="3602" t="s">
        <v>1278</v>
      </c>
      <c r="B12" s="3589">
        <v>15</v>
      </c>
      <c r="C12" s="3605"/>
      <c r="D12" s="3625"/>
      <c r="E12" s="130" t="s">
        <v>1279</v>
      </c>
      <c r="F12" s="1755"/>
      <c r="G12" s="1755"/>
      <c r="H12" s="1755"/>
      <c r="I12" s="1371"/>
    </row>
    <row r="13" spans="1:12" ht="12.75">
      <c r="A13" s="3602"/>
      <c r="B13" s="3589"/>
      <c r="C13" s="3607"/>
      <c r="D13" s="3625"/>
      <c r="E13" s="130" t="s">
        <v>1280</v>
      </c>
      <c r="F13" s="1755"/>
      <c r="G13" s="1755"/>
      <c r="H13" s="1755"/>
      <c r="I13" s="1371"/>
    </row>
    <row r="14" spans="1:12" ht="12.75">
      <c r="A14" s="3602" t="s">
        <v>1281</v>
      </c>
      <c r="B14" s="3589">
        <v>30</v>
      </c>
      <c r="C14" s="3605">
        <v>5</v>
      </c>
      <c r="D14" s="3625">
        <v>5</v>
      </c>
      <c r="E14" s="130" t="s">
        <v>1282</v>
      </c>
      <c r="F14" s="1755"/>
      <c r="G14" s="1755"/>
      <c r="H14" s="1755"/>
      <c r="I14" s="1371"/>
    </row>
    <row r="15" spans="1:12" ht="12.75">
      <c r="A15" s="3602"/>
      <c r="B15" s="3589"/>
      <c r="C15" s="3606"/>
      <c r="D15" s="3625"/>
      <c r="E15" s="130" t="s">
        <v>1283</v>
      </c>
      <c r="F15" s="1755"/>
      <c r="G15" s="1755"/>
      <c r="H15" s="1755"/>
      <c r="I15" s="1371"/>
    </row>
    <row r="16" spans="1:12" ht="12.75">
      <c r="A16" s="3602"/>
      <c r="B16" s="3589"/>
      <c r="C16" s="3607"/>
      <c r="D16" s="3625"/>
      <c r="E16" s="130" t="s">
        <v>1284</v>
      </c>
      <c r="F16" s="1755"/>
      <c r="G16" s="1755"/>
      <c r="H16" s="1755"/>
      <c r="I16" s="1371"/>
    </row>
    <row r="17" spans="1:36" ht="15">
      <c r="A17" s="1756" t="s">
        <v>1285</v>
      </c>
      <c r="B17" s="55"/>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12" t="s">
        <v>2130</v>
      </c>
      <c r="F18" s="3613"/>
      <c r="G18" s="3613"/>
      <c r="H18" s="3613"/>
      <c r="I18" s="3613"/>
      <c r="K18" s="301" t="s">
        <v>1289</v>
      </c>
      <c r="L18" s="301">
        <f>IF(C1="",'数据-汇总表'!E3,SUMIF(项目类型,C1,'数据-汇总表'!E17:E26)+SUMIF(项目类型,C1,'数据-汇总表'!I17:I26))</f>
        <v>33618.589999999997</v>
      </c>
      <c r="M18" s="301">
        <f>IF(C1="",'数据-汇总表'!E3,SUMIF(项目类型,C1,'数据-汇总表'!E17:E26))</f>
        <v>33618.589999999997</v>
      </c>
    </row>
    <row r="19" spans="1:36" ht="15">
      <c r="A19" s="1759" t="s">
        <v>1290</v>
      </c>
      <c r="B19" s="1760" t="s">
        <v>1291</v>
      </c>
      <c r="C19" s="133">
        <f ca="1">SUMIF(INDIRECT("'"&amp;C4&amp;"'"&amp;"!A:A"),结果表!B19,INDIRECT("'"&amp;C4&amp;"'"&amp;"!B:B"))</f>
        <v>48865</v>
      </c>
      <c r="D19" s="134">
        <f ca="1">SUMIF(INDIRECT("'"&amp;D4&amp;"'"&amp;"!A:A"),结果表!B19,INDIRECT("'"&amp;D4&amp;"'"&amp;"!B:B"))</f>
        <v>48823.578424942665</v>
      </c>
      <c r="E19" s="1759" t="s">
        <v>1292</v>
      </c>
      <c r="F19" s="1760" t="s">
        <v>1291</v>
      </c>
      <c r="G19" s="135">
        <f ca="1">ROUND(C19*$C$18+D19*$D$18,0)</f>
        <v>48844</v>
      </c>
      <c r="H19" s="1761" t="s">
        <v>1293</v>
      </c>
      <c r="I19" s="128"/>
      <c r="J19" s="724">
        <v>50134</v>
      </c>
      <c r="K19" s="301" t="s">
        <v>1294</v>
      </c>
      <c r="L19" s="301">
        <f>IF(C1="",'数据-汇总表'!D3,SUMIF(项目类型,C1,'数据-汇总表'!D17:D26)+SUMIF(项目类型,C1,'数据-汇总表'!H17:H27))</f>
        <v>22981.55</v>
      </c>
      <c r="M19" s="301">
        <f>IF(C1="",'数据-汇总表'!D3,SUMIF(项目类型,C1,'数据-汇总表'!D17:D26))</f>
        <v>22981.55</v>
      </c>
    </row>
    <row r="20" spans="1:36" ht="15">
      <c r="A20" s="1762"/>
      <c r="B20" s="1025" t="s">
        <v>1295</v>
      </c>
      <c r="C20" s="136">
        <f ca="1">SUMIF(INDIRECT("'"&amp;C4&amp;"'"&amp;"!A:A"),结果表!B20,INDIRECT("'"&amp;C4&amp;"'"&amp;"!B:B"))</f>
        <v>14535</v>
      </c>
      <c r="D20" s="137">
        <f ca="1">SUMIF(INDIRECT("'"&amp;D4&amp;"'"&amp;"!A:A"),结果表!B20,INDIRECT("'"&amp;D4&amp;"'"&amp;"!B:B"))</f>
        <v>14523</v>
      </c>
      <c r="E20" s="1762"/>
      <c r="F20" s="1025" t="s">
        <v>1295</v>
      </c>
      <c r="G20" s="138">
        <f ca="1">ROUND(C20*$C$18+D20*$D$18,0)</f>
        <v>14529</v>
      </c>
      <c r="H20" s="807" t="s">
        <v>1296</v>
      </c>
      <c r="I20" s="128"/>
    </row>
    <row r="21" spans="1:36" ht="15" customHeight="1" thickBot="1">
      <c r="A21" s="827"/>
      <c r="B21" s="1763" t="s">
        <v>1297</v>
      </c>
      <c r="C21" s="718">
        <f ca="1">ROUND(C19*10000/L19,0)</f>
        <v>21263</v>
      </c>
      <c r="D21" s="719">
        <f ca="1">ROUND(D19*10000/L19,0)</f>
        <v>21245</v>
      </c>
      <c r="E21" s="827"/>
      <c r="F21" s="1763" t="s">
        <v>1297</v>
      </c>
      <c r="G21" s="139">
        <f ca="1">ROUND(G19*10000/L19,0)</f>
        <v>21254</v>
      </c>
      <c r="H21" s="1764" t="s">
        <v>1296</v>
      </c>
      <c r="I21" s="128"/>
    </row>
    <row r="22" spans="1:36" ht="15" thickBot="1">
      <c r="A22" s="1686" t="s">
        <v>1298</v>
      </c>
      <c r="B22" s="1765"/>
      <c r="C22" s="1766"/>
      <c r="D22" s="720">
        <f ca="1">IF(C19&lt;D19,D19/C19-1,C19/D19-1)</f>
        <v>8.4839285430526878E-4</v>
      </c>
      <c r="E22" s="128"/>
      <c r="F22" s="128"/>
      <c r="G22" s="128"/>
      <c r="H22" s="128"/>
      <c r="I22" s="128"/>
    </row>
    <row r="23" spans="1:36" ht="13.5" thickBot="1">
      <c r="A23" s="1745"/>
      <c r="B23" s="1745"/>
      <c r="C23" s="1745"/>
      <c r="D23" s="1745"/>
      <c r="E23" s="128"/>
      <c r="F23" s="128"/>
      <c r="G23" s="128"/>
      <c r="H23" s="128"/>
      <c r="I23" s="128"/>
    </row>
    <row r="24" spans="1:36" ht="14.25">
      <c r="A24" s="3596" t="s">
        <v>1299</v>
      </c>
      <c r="B24" s="1760" t="s">
        <v>1291</v>
      </c>
      <c r="C24" s="135">
        <f>IF(B30=0,0,D30)</f>
        <v>0</v>
      </c>
      <c r="D24" s="1767"/>
      <c r="E24" s="128"/>
      <c r="F24" s="128"/>
      <c r="G24" s="128"/>
      <c r="H24" s="128"/>
      <c r="I24" s="128"/>
    </row>
    <row r="25" spans="1:36" ht="14.25">
      <c r="A25" s="3597"/>
      <c r="B25" s="1025"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48844</v>
      </c>
      <c r="D32" s="1773" t="s">
        <v>3497</v>
      </c>
      <c r="E32" s="128"/>
      <c r="F32" s="128"/>
      <c r="G32" s="128"/>
      <c r="H32" s="128"/>
      <c r="I32" s="128"/>
    </row>
    <row r="33" spans="1:15" ht="15">
      <c r="A33" s="785" t="s">
        <v>1306</v>
      </c>
      <c r="B33" s="1774"/>
      <c r="C33" s="1775" t="s">
        <v>3498</v>
      </c>
      <c r="D33" s="1776" t="s">
        <v>3491</v>
      </c>
      <c r="E33" s="1777" t="s">
        <v>1307</v>
      </c>
      <c r="F33" s="1778" t="str">
        <f>IF(D32="楼面单价","取值（单价）","取值（总价）")</f>
        <v>取值（总价）</v>
      </c>
      <c r="G33" s="128"/>
      <c r="H33" s="128"/>
      <c r="I33" s="128"/>
    </row>
    <row r="34" spans="1:15" ht="15">
      <c r="A34" s="1779"/>
      <c r="B34" s="1780" t="s">
        <v>1308</v>
      </c>
      <c r="C34" s="147">
        <f ca="1">IF(C33="自定义",F34,C32-C35)</f>
        <v>9280</v>
      </c>
      <c r="D34" s="860">
        <f ca="1">IF(C33="自定义",ROUND(C34/C32,3),IF(C33="收益比率",SUMIF(INDIRECT("'"&amp;D33&amp;"'"&amp;"!b:b"),"土地收益比率",INDIRECT("'"&amp;D33&amp;"'"&amp;"!c:c")),SUMIF(INDIRECT("'"&amp;D33&amp;"'"&amp;"!b:b"),"土地成本比率",INDIRECT("'"&amp;D33&amp;"'"&amp;"!c:c"))))</f>
        <v>0.18999999999999995</v>
      </c>
      <c r="E34" s="1781" t="s">
        <v>1309</v>
      </c>
      <c r="F34" s="1328"/>
      <c r="G34" s="128"/>
      <c r="H34" s="128"/>
      <c r="I34" s="128"/>
    </row>
    <row r="35" spans="1:15" ht="15.75" thickBot="1">
      <c r="A35" s="1782"/>
      <c r="B35" s="1783" t="s">
        <v>1310</v>
      </c>
      <c r="C35" s="1169">
        <f ca="1">IF(C33="自定义",F35,ROUND(C32*D35,0))</f>
        <v>39564</v>
      </c>
      <c r="D35" s="1170">
        <f ca="1">IF(C33="自定义",ROUND(C35/C32,3),IF(C33="收益比率",SUMIF(INDIRECT("'"&amp;D33&amp;"'"&amp;"!b:b"),"建筑物收益比率",INDIRECT("'"&amp;D33&amp;"'"&amp;"!c:c")),SUMIF(INDIRECT("'"&amp;D33&amp;"'"&amp;"!b:b"),"建筑物成本比率",INDIRECT("'"&amp;D33&amp;"'"&amp;"!c:c"))))</f>
        <v>0.81</v>
      </c>
      <c r="E35" s="1784" t="s">
        <v>1311</v>
      </c>
      <c r="F35" s="153"/>
      <c r="G35" s="128"/>
      <c r="H35" s="128"/>
      <c r="I35" s="128"/>
    </row>
    <row r="36" spans="1:15" ht="15.75" thickBot="1">
      <c r="A36" s="3616" t="s">
        <v>1312</v>
      </c>
      <c r="B36" s="1785" t="s">
        <v>1313</v>
      </c>
      <c r="C36" s="144"/>
      <c r="D36" s="1786"/>
      <c r="E36" s="1787"/>
      <c r="F36" s="1788"/>
      <c r="G36" s="128"/>
      <c r="H36" s="128"/>
      <c r="I36" s="128"/>
    </row>
    <row r="37" spans="1:15" ht="15.75" thickBot="1">
      <c r="A37" s="3617"/>
      <c r="B37" s="1672" t="s">
        <v>1314</v>
      </c>
      <c r="C37" s="146"/>
      <c r="D37" s="1138"/>
      <c r="E37" s="1138"/>
      <c r="F37" s="1788"/>
      <c r="G37" s="128"/>
      <c r="H37" s="128"/>
      <c r="I37" s="128"/>
    </row>
    <row r="38" spans="1:15" ht="15.75" thickBot="1">
      <c r="A38" s="3618"/>
      <c r="B38" s="1789" t="s">
        <v>1315</v>
      </c>
      <c r="C38" s="673"/>
      <c r="D38" s="1790" t="s">
        <v>1316</v>
      </c>
      <c r="E38" s="1138"/>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93" t="s">
        <v>1326</v>
      </c>
      <c r="B45" s="3594"/>
      <c r="C45" s="3595"/>
      <c r="D45" s="154">
        <f ca="1">ROUND(H101*F45,0)</f>
        <v>48844</v>
      </c>
      <c r="E45" s="155" t="s">
        <v>1327</v>
      </c>
      <c r="F45" s="156">
        <v>1</v>
      </c>
      <c r="G45" s="157" t="s">
        <v>1328</v>
      </c>
      <c r="H45" s="128"/>
      <c r="I45" s="128"/>
      <c r="J45" s="3671" t="s">
        <v>1329</v>
      </c>
      <c r="K45" s="3671"/>
      <c r="L45" s="3671"/>
      <c r="M45" s="3671"/>
      <c r="N45" s="3671"/>
      <c r="O45" s="3671"/>
    </row>
    <row r="46" spans="1:15" ht="14.25" customHeight="1">
      <c r="A46" s="3590" t="s">
        <v>1330</v>
      </c>
      <c r="B46" s="3591"/>
      <c r="C46" s="3591"/>
      <c r="D46" s="3591"/>
      <c r="E46" s="3591"/>
      <c r="F46" s="3591"/>
      <c r="G46" s="3592"/>
      <c r="H46" s="1804"/>
      <c r="I46" s="158"/>
      <c r="J46" s="2520">
        <v>1</v>
      </c>
      <c r="K46" s="3652" t="s">
        <v>1331</v>
      </c>
      <c r="L46" s="3652"/>
      <c r="M46" s="3672"/>
      <c r="N46" s="3672"/>
      <c r="O46" s="3672"/>
    </row>
    <row r="47" spans="1:15" ht="12" customHeight="1">
      <c r="A47" s="159" t="s">
        <v>1332</v>
      </c>
      <c r="B47" s="160"/>
      <c r="C47" s="161"/>
      <c r="D47" s="1086" t="s">
        <v>1333</v>
      </c>
      <c r="E47" s="301" t="s">
        <v>1334</v>
      </c>
      <c r="F47" s="162" t="s">
        <v>1335</v>
      </c>
      <c r="G47" s="2543" t="s">
        <v>1336</v>
      </c>
      <c r="H47" s="2544"/>
      <c r="I47" s="158"/>
      <c r="J47" s="2520">
        <v>2</v>
      </c>
      <c r="K47" s="3652" t="s">
        <v>1337</v>
      </c>
      <c r="L47" s="3652"/>
      <c r="M47" s="3673">
        <f>'数据-取费表'!B2</f>
        <v>45565</v>
      </c>
      <c r="N47" s="3673"/>
      <c r="O47" s="3673"/>
    </row>
    <row r="48" spans="1:15" ht="25.5">
      <c r="A48" s="3621" t="s">
        <v>1338</v>
      </c>
      <c r="B48" s="3604"/>
      <c r="C48" s="3604"/>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52" t="s">
        <v>1340</v>
      </c>
      <c r="L48" s="3652"/>
      <c r="M48" s="3674">
        <f ca="1">H101</f>
        <v>48844</v>
      </c>
      <c r="N48" s="3674"/>
      <c r="O48" s="3674"/>
    </row>
    <row r="49" spans="1:35" ht="25.5" customHeight="1">
      <c r="A49" s="2331" t="s">
        <v>1341</v>
      </c>
      <c r="B49" s="3588" t="s">
        <v>1342</v>
      </c>
      <c r="C49" s="3588"/>
      <c r="D49" s="1588">
        <v>0</v>
      </c>
      <c r="E49" s="323" t="s">
        <v>1343</v>
      </c>
      <c r="F49" s="2421" t="s">
        <v>28</v>
      </c>
      <c r="G49" s="3658"/>
      <c r="H49" s="2308" t="s">
        <v>2133</v>
      </c>
      <c r="I49" s="2309"/>
      <c r="J49" s="2520">
        <v>4</v>
      </c>
      <c r="K49" s="3652" t="str">
        <f>IF(项目基本情况!E8="房地产抵押价值","房地产抵押价值","抵押担保权已注销时的房地产抵押价值")</f>
        <v>房地产抵押价值</v>
      </c>
      <c r="L49" s="3652"/>
      <c r="M49" s="3674">
        <f ca="1">IF(项目基本情况!E8="房地产抵押价值",H107,H109)</f>
        <v>48844</v>
      </c>
      <c r="N49" s="3674"/>
      <c r="O49" s="3674"/>
    </row>
    <row r="50" spans="1:35" ht="25.5" customHeight="1">
      <c r="A50" s="2548"/>
      <c r="B50" s="3588" t="s">
        <v>1344</v>
      </c>
      <c r="C50" s="3588"/>
      <c r="D50" s="2549"/>
      <c r="E50" s="331"/>
      <c r="F50" s="2421"/>
      <c r="G50" s="3659"/>
      <c r="H50" s="2310" t="s">
        <v>2134</v>
      </c>
      <c r="I50" s="2309"/>
      <c r="J50" s="3671" t="s">
        <v>1345</v>
      </c>
      <c r="K50" s="3671"/>
      <c r="L50" s="3671"/>
      <c r="M50" s="3671"/>
      <c r="N50" s="3671"/>
      <c r="O50" s="3671"/>
    </row>
    <row r="51" spans="1:35" ht="20.45" customHeight="1">
      <c r="A51" s="2550"/>
      <c r="B51" s="3588" t="s">
        <v>1346</v>
      </c>
      <c r="C51" s="3588"/>
      <c r="D51" s="1086"/>
      <c r="E51" s="326"/>
      <c r="F51" s="2421"/>
      <c r="G51" s="3660"/>
      <c r="H51" s="2310" t="s">
        <v>2135</v>
      </c>
      <c r="I51" s="2309"/>
      <c r="J51" s="2521" t="s">
        <v>1347</v>
      </c>
      <c r="K51" s="3652" t="s">
        <v>1348</v>
      </c>
      <c r="L51" s="3652"/>
      <c r="M51" s="2521" t="s">
        <v>1349</v>
      </c>
      <c r="N51" s="2521" t="s">
        <v>1350</v>
      </c>
      <c r="O51" s="2521" t="s">
        <v>1351</v>
      </c>
    </row>
    <row r="52" spans="1:35" ht="24" customHeight="1">
      <c r="A52" s="2333" t="s">
        <v>1352</v>
      </c>
      <c r="B52" s="3588" t="s">
        <v>1353</v>
      </c>
      <c r="C52" s="3588"/>
      <c r="D52" s="1086">
        <f ca="1">ROUND(D45*'数据-取费表'!B41/(1+'数据-取费表'!C42),0)</f>
        <v>2558</v>
      </c>
      <c r="E52" s="2332" t="s">
        <v>1354</v>
      </c>
      <c r="F52" s="2551">
        <f>'数据-取费表'!B41</f>
        <v>5.5000000000000007E-2</v>
      </c>
      <c r="G52" s="2552"/>
      <c r="H52" s="2541"/>
      <c r="I52" s="1805"/>
      <c r="J52" s="2520">
        <v>1</v>
      </c>
      <c r="K52" s="3653" t="s">
        <v>1355</v>
      </c>
      <c r="L52" s="3653"/>
      <c r="M52" s="2522" t="b">
        <f>D48</f>
        <v>0</v>
      </c>
      <c r="N52" s="2520" t="str">
        <f>E48</f>
        <v>销售额×税（费）率</v>
      </c>
      <c r="O52" s="2523">
        <f>F48</f>
        <v>5.5000000000000007E-2</v>
      </c>
    </row>
    <row r="53" spans="1:35" ht="12" customHeight="1">
      <c r="A53" s="2333" t="s">
        <v>1356</v>
      </c>
      <c r="B53" s="3614" t="s">
        <v>2290</v>
      </c>
      <c r="C53" s="3615"/>
      <c r="D53" s="1086">
        <f ca="1">ROUND(D45*'数据-取费表'!B41/(1+'数据-取费表'!C42),0)</f>
        <v>2558</v>
      </c>
      <c r="E53" s="2332" t="s">
        <v>1354</v>
      </c>
      <c r="F53" s="2551">
        <f>'数据-取费表'!B41</f>
        <v>5.5000000000000007E-2</v>
      </c>
      <c r="G53" s="2552"/>
      <c r="H53" s="2541"/>
      <c r="I53" s="1805"/>
      <c r="J53" s="2520">
        <v>2</v>
      </c>
      <c r="K53" s="3653" t="s">
        <v>1357</v>
      </c>
      <c r="L53" s="3653"/>
      <c r="M53" s="2522">
        <f t="shared" ref="M53:O54" ca="1" si="0">D55</f>
        <v>24</v>
      </c>
      <c r="N53" s="2520" t="str">
        <f t="shared" si="0"/>
        <v>销售额×税（费）率</v>
      </c>
      <c r="O53" s="2523" t="str">
        <f t="shared" si="0"/>
        <v>免征</v>
      </c>
    </row>
    <row r="54" spans="1:35" ht="12" customHeight="1">
      <c r="A54" s="2333" t="s">
        <v>1358</v>
      </c>
      <c r="B54" s="3614" t="s">
        <v>2291</v>
      </c>
      <c r="C54" s="3615"/>
      <c r="D54" s="1086">
        <f ca="1">C68</f>
        <v>2558</v>
      </c>
      <c r="E54" s="326" t="s">
        <v>1359</v>
      </c>
      <c r="F54" s="2551">
        <f>'数据-取费表'!B41</f>
        <v>5.5000000000000007E-2</v>
      </c>
      <c r="G54" s="2552"/>
      <c r="H54" s="2553"/>
      <c r="I54" s="1805"/>
      <c r="J54" s="2520">
        <v>3</v>
      </c>
      <c r="K54" s="3653" t="s">
        <v>1360</v>
      </c>
      <c r="L54" s="3653"/>
      <c r="M54" s="2522">
        <f t="shared" ca="1" si="0"/>
        <v>27689</v>
      </c>
      <c r="N54" s="2520" t="str">
        <f t="shared" si="0"/>
        <v>增值额×税（费）率</v>
      </c>
      <c r="O54" s="2524" t="str">
        <f t="shared" si="0"/>
        <v>免征</v>
      </c>
    </row>
    <row r="55" spans="1:35" ht="24" customHeight="1">
      <c r="A55" s="3603" t="s">
        <v>1361</v>
      </c>
      <c r="B55" s="3604"/>
      <c r="C55" s="3604"/>
      <c r="D55" s="2322">
        <f ca="1">IF(H55="个人住宅",0,ROUND(D45*I55,0))</f>
        <v>24</v>
      </c>
      <c r="E55" s="2332" t="s">
        <v>1362</v>
      </c>
      <c r="F55" s="2551" t="str">
        <f>IF(H55="正常",I55,"免征")</f>
        <v>免征</v>
      </c>
      <c r="G55" s="2552"/>
      <c r="H55" s="2547"/>
      <c r="I55" s="164">
        <f>'数据-取费表'!B49</f>
        <v>5.0000000000000001E-4</v>
      </c>
      <c r="J55" s="2520">
        <f>IF(H59="非个人房产","",4)</f>
        <v>4</v>
      </c>
      <c r="K55" s="3653" t="str">
        <f>IF(H59="非个人房产","——","个人所得税")</f>
        <v>个人所得税</v>
      </c>
      <c r="L55" s="3653"/>
      <c r="M55" s="2525">
        <f ca="1">D59</f>
        <v>465</v>
      </c>
      <c r="N55" s="2038" t="str">
        <f>E59</f>
        <v>差额计税</v>
      </c>
      <c r="O55" s="2526">
        <f>F59</f>
        <v>0.01</v>
      </c>
    </row>
    <row r="56" spans="1:35" ht="24.75">
      <c r="A56" s="3603" t="s">
        <v>1363</v>
      </c>
      <c r="B56" s="3604"/>
      <c r="C56" s="3604"/>
      <c r="D56" s="2322">
        <f ca="1">IF(H56="个人住宅",D57,D58)</f>
        <v>27689</v>
      </c>
      <c r="E56" s="2332" t="s">
        <v>1364</v>
      </c>
      <c r="F56" s="2551" t="str">
        <f>IF(H56="正常",F58,"免征")</f>
        <v>免征</v>
      </c>
      <c r="G56" s="2554" t="s">
        <v>1365</v>
      </c>
      <c r="H56" s="2555"/>
      <c r="I56" s="1806"/>
      <c r="J56" s="2520" t="str">
        <f>IF(项目基本情况!K6="上海银行",IF(J55="",4,J55+1),"")</f>
        <v/>
      </c>
      <c r="K56" s="3676" t="str">
        <f>IF(项目基本情况!K6="上海银行","其他处置费用","")</f>
        <v/>
      </c>
      <c r="L56" s="3677"/>
      <c r="M56" s="2522" t="str">
        <f>IF(项目基本情况!K6="上海银行",M69,"")</f>
        <v/>
      </c>
      <c r="N56" s="3676" t="str">
        <f>IF(项目基本情况!K6="上海银行","包含处置中涉及的律师、诉讼、拍卖、评估等费用","")</f>
        <v/>
      </c>
      <c r="O56" s="3679"/>
    </row>
    <row r="57" spans="1:35" ht="12.75">
      <c r="A57" s="2333" t="s">
        <v>1341</v>
      </c>
      <c r="B57" s="3614" t="s">
        <v>1366</v>
      </c>
      <c r="C57" s="3615"/>
      <c r="D57" s="1588">
        <v>0</v>
      </c>
      <c r="E57" s="323" t="s">
        <v>1343</v>
      </c>
      <c r="F57" s="301"/>
      <c r="G57" s="2552"/>
      <c r="H57" s="2556"/>
      <c r="I57" s="1806"/>
      <c r="J57" s="3653">
        <f>IF(AND(J55="",J56=""),4,IF(项目基本情况!K6="上海银行",结果表!J56+1,结果表!J55+1))</f>
        <v>5</v>
      </c>
      <c r="K57" s="3653" t="s">
        <v>1367</v>
      </c>
      <c r="L57" s="2527" t="s">
        <v>1368</v>
      </c>
      <c r="M57" s="2528"/>
      <c r="N57" s="2529">
        <f ca="1">SUMIF(M52:M56,"&lt;9e307")</f>
        <v>28178</v>
      </c>
      <c r="O57" s="2530"/>
      <c r="P57" s="2687">
        <f ca="1">N57/M49</f>
        <v>0.57689787896159206</v>
      </c>
    </row>
    <row r="58" spans="1:35" ht="24.75">
      <c r="A58" s="2333" t="s">
        <v>1352</v>
      </c>
      <c r="B58" s="3614" t="s">
        <v>1369</v>
      </c>
      <c r="C58" s="3588"/>
      <c r="D58" s="2322">
        <f ca="1">IF(H58="转让取得",C81,C97)</f>
        <v>27689</v>
      </c>
      <c r="E58" s="2332" t="s">
        <v>1364</v>
      </c>
      <c r="F58" s="301" t="s">
        <v>28</v>
      </c>
      <c r="G58" s="2552"/>
      <c r="H58" s="2555"/>
      <c r="I58" s="1806"/>
      <c r="J58" s="3653"/>
      <c r="K58" s="3653"/>
      <c r="L58" s="2527" t="s">
        <v>1370</v>
      </c>
      <c r="M58" s="2531"/>
      <c r="N58" s="2532" t="str">
        <f ca="1">NUMBERSTRING(INT(N57*10000),2)&amp;"元整"</f>
        <v>贰亿捌仟壹佰柒拾捌万元整</v>
      </c>
      <c r="O58" s="2533"/>
    </row>
    <row r="59" spans="1:35" ht="24.75" thickBot="1">
      <c r="A59" s="3656" t="s">
        <v>1371</v>
      </c>
      <c r="B59" s="3657"/>
      <c r="C59" s="3657"/>
      <c r="D59" s="2557">
        <f ca="1">IF(H59="非个人房产","——",IF(H59="个人住宅（满五唯一有凭证）",0,IF(H59="个人其他（无凭证）",ROUND(D45*F59,0),ROUND(C67*F59,0))))</f>
        <v>465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654">
        <f>J57+1</f>
        <v>6</v>
      </c>
      <c r="K59" s="3653" t="s">
        <v>1372</v>
      </c>
      <c r="L59" s="2520" t="s">
        <v>1368</v>
      </c>
      <c r="M59" s="2534"/>
      <c r="N59" s="2535">
        <f ca="1">M49-N57</f>
        <v>20666</v>
      </c>
      <c r="O59" s="2536"/>
    </row>
    <row r="60" spans="1:35" ht="12" customHeight="1">
      <c r="A60" s="1807"/>
      <c r="B60" s="1745"/>
      <c r="C60" s="1745"/>
      <c r="D60" s="1745"/>
      <c r="E60" s="1576"/>
      <c r="F60" s="1806"/>
      <c r="G60" s="1806"/>
      <c r="H60" s="1808"/>
      <c r="I60" s="128"/>
      <c r="J60" s="3655"/>
      <c r="K60" s="3653"/>
      <c r="L60" s="2527" t="s">
        <v>1370</v>
      </c>
      <c r="M60" s="2531"/>
      <c r="N60" s="2532" t="str">
        <f ca="1">NUMBERSTRING(INT(N59*10000),2)&amp;"元整"</f>
        <v>贰亿零陆佰陆拾陆万元整</v>
      </c>
      <c r="O60" s="2533"/>
    </row>
    <row r="61" spans="1:35" ht="13.5" thickBot="1">
      <c r="A61" s="3601" t="s">
        <v>1373</v>
      </c>
      <c r="B61" s="3601"/>
      <c r="C61" s="3601"/>
      <c r="D61" s="3601"/>
      <c r="E61" s="3601"/>
      <c r="F61" s="1806"/>
      <c r="G61" s="1806"/>
      <c r="H61" s="1808"/>
      <c r="I61" s="128"/>
      <c r="J61" s="2520">
        <f>J59+1</f>
        <v>7</v>
      </c>
      <c r="K61" s="3653" t="s">
        <v>1374</v>
      </c>
      <c r="L61" s="3653"/>
      <c r="M61" s="2537"/>
      <c r="N61" s="2538">
        <f ca="1">ROUND(N59*10000/'数据-汇总表'!E3,0)</f>
        <v>6147</v>
      </c>
      <c r="O61" s="2539"/>
    </row>
    <row r="62" spans="1:35" ht="12.75">
      <c r="A62" s="3619" t="s">
        <v>1375</v>
      </c>
      <c r="B62" s="3620"/>
      <c r="C62" s="2019"/>
      <c r="D62" s="2019" t="s">
        <v>1376</v>
      </c>
      <c r="E62" s="165" t="s">
        <v>1377</v>
      </c>
      <c r="F62" s="1806"/>
      <c r="G62" s="1806"/>
      <c r="H62" s="1808"/>
      <c r="I62" s="128"/>
    </row>
    <row r="63" spans="1:35" ht="12.75">
      <c r="A63" s="172" t="s">
        <v>330</v>
      </c>
      <c r="B63" s="166" t="s">
        <v>1378</v>
      </c>
      <c r="C63" s="2561">
        <f ca="1">ROUND((C64+C65)/(1+'数据-取费表'!C42),0)</f>
        <v>46518</v>
      </c>
      <c r="D63" s="166"/>
      <c r="E63" s="167"/>
      <c r="F63" s="1806"/>
      <c r="G63" s="1806"/>
      <c r="H63" s="1808"/>
      <c r="I63" s="128"/>
      <c r="J63" s="3678" t="s">
        <v>1379</v>
      </c>
      <c r="K63" s="1330" t="s">
        <v>1380</v>
      </c>
      <c r="L63" s="1330">
        <f ca="1">IF(M49&gt;10000,M49*0.5%,IF(AND(M49&gt;1000,M49&lt;=10000),M49*1%,IF(AND(M49&gt;100,M49&lt;=1000),M49*3%,IF(AND(M49&gt;10,M49&lt;=100),M49*5%,M49*8%))))</f>
        <v>244.22</v>
      </c>
      <c r="M63" s="301">
        <f ca="1">ROUND(L63,1)</f>
        <v>244.2</v>
      </c>
      <c r="N63" s="2540"/>
      <c r="Z63" s="1750"/>
      <c r="AI63" s="1751"/>
    </row>
    <row r="64" spans="1:35" ht="14.25" customHeight="1">
      <c r="A64" s="168" t="s">
        <v>325</v>
      </c>
      <c r="B64" s="169" t="s">
        <v>1381</v>
      </c>
      <c r="C64" s="2562">
        <f ca="1">D45</f>
        <v>48844</v>
      </c>
      <c r="D64" s="169" t="s">
        <v>26</v>
      </c>
      <c r="E64" s="171"/>
      <c r="F64" s="1806"/>
      <c r="G64" s="1806"/>
      <c r="H64" s="1808"/>
      <c r="I64" s="128"/>
      <c r="J64" s="3678"/>
      <c r="K64" s="1330" t="s">
        <v>1382</v>
      </c>
      <c r="L64" s="1330">
        <f ca="1">IF(M49&gt;2000,M49*0.5%,IF(AND(M49&gt;1000,M49&lt;=2000),M49*0.6%,IF(AND(M49&gt;500,M49&lt;=1000),M49*0.7%,IF(AND(M49&gt;200,M49&lt;=500),M49*0.8%,IF(AND(M49&gt;100,M49&lt;=200),M49*0.9%,IF(AND(M49&gt;50,M49&lt;=100),M49*1%,IF(AND(M49&gt;20,M49&lt;=50),M49*1.5%,IF(AND(M49&gt;10,M49&lt;=20),M49*2%,IF(AND(M49&gt;1,M49&lt;=10),M49*2.5%)))))))))</f>
        <v>244.22</v>
      </c>
      <c r="M64" s="301">
        <f t="shared" ref="M64:M65" ca="1" si="1">ROUND(L64,1)</f>
        <v>244.2</v>
      </c>
      <c r="N64" s="2541" t="s">
        <v>1383</v>
      </c>
      <c r="Z64" s="1750"/>
      <c r="AI64" s="1751"/>
    </row>
    <row r="65" spans="1:35" ht="14.25" customHeight="1">
      <c r="A65" s="168" t="s">
        <v>326</v>
      </c>
      <c r="B65" s="169" t="s">
        <v>1384</v>
      </c>
      <c r="C65" s="2563"/>
      <c r="D65" s="169"/>
      <c r="E65" s="171"/>
      <c r="F65" s="1806"/>
      <c r="G65" s="1806"/>
      <c r="H65" s="1808"/>
      <c r="I65" s="128"/>
      <c r="J65" s="3678"/>
      <c r="K65" s="1330" t="s">
        <v>1385</v>
      </c>
      <c r="L65" s="1330">
        <f ca="1">IF(M49&gt;1000,M49*0.1%,IF(AND(M49&gt;500,M49&lt;=1000),M49*0.5%,IF(AND(M49&gt;50,M49&lt;=500),M49*1%,IF(AND(M49&gt;1,M49&lt;=50),M49*1.5%))))</f>
        <v>48.844000000000001</v>
      </c>
      <c r="M65" s="301">
        <f t="shared" ca="1" si="1"/>
        <v>48.8</v>
      </c>
      <c r="N65" s="2541" t="s">
        <v>1383</v>
      </c>
      <c r="Z65" s="1750"/>
      <c r="AI65" s="1751"/>
    </row>
    <row r="66" spans="1:35" ht="14.25" customHeight="1">
      <c r="A66" s="172" t="s">
        <v>327</v>
      </c>
      <c r="B66" s="173" t="s">
        <v>1386</v>
      </c>
      <c r="C66" s="2564"/>
      <c r="D66" s="173" t="s">
        <v>26</v>
      </c>
      <c r="E66" s="1336" t="s">
        <v>671</v>
      </c>
      <c r="F66" s="1806"/>
      <c r="G66" s="1806"/>
      <c r="H66" s="1808"/>
      <c r="I66" s="128"/>
      <c r="J66" s="3678"/>
      <c r="K66" s="1330" t="s">
        <v>1387</v>
      </c>
      <c r="L66" s="1330">
        <f ca="1">M49*0.5%</f>
        <v>244.22</v>
      </c>
      <c r="M66" s="301">
        <f ca="1">IF(L66&gt;0.5,0.5,ROUND(L66,0))</f>
        <v>0.5</v>
      </c>
      <c r="N66" s="2541" t="s">
        <v>1388</v>
      </c>
      <c r="Z66" s="1750"/>
      <c r="AI66" s="1751"/>
    </row>
    <row r="67" spans="1:35" ht="14.25" customHeight="1">
      <c r="A67" s="172" t="s">
        <v>328</v>
      </c>
      <c r="B67" s="173" t="s">
        <v>1389</v>
      </c>
      <c r="C67" s="2565">
        <f ca="1">C63-C66</f>
        <v>46518</v>
      </c>
      <c r="D67" s="169" t="s">
        <v>26</v>
      </c>
      <c r="E67" s="171"/>
      <c r="F67" s="1806"/>
      <c r="G67" s="1806"/>
      <c r="H67" s="1808"/>
      <c r="I67" s="128"/>
      <c r="J67" s="3678"/>
      <c r="K67" s="1330" t="s">
        <v>1390</v>
      </c>
      <c r="L67" s="1330">
        <f ca="1">IF(M49&gt;=10000,(8.25+(M49-10000)*0.01%),IF(AND(M49&gt;=8000,M49&lt;10000),(7.85+(M49-8000)*0.02%),IF(AND(M49&gt;=5000,M49&lt;8000),(6.65+(M49-5000)*0.04%),IF(AND(M49&gt;=2000,M49&lt;5000),(4.25+(PM49-2000)*0.08%),IF(AND(M49&gt;=1000,M49&lt;2000),(2.75+(M49-1000)*0.15%),IF(AND(M49&gt;=100,M49&lt;1000),(0.5+(M49-100)*0.25%),IF(AND(M49&gt;0,M49&lt;100),M49*0.5%)))))))</f>
        <v>12.134399999999999</v>
      </c>
      <c r="M67" s="301">
        <f ca="1">ROUND(L67*0.9,1)</f>
        <v>10.9</v>
      </c>
      <c r="N67" s="2540"/>
      <c r="Z67" s="1750"/>
      <c r="AI67" s="1751"/>
    </row>
    <row r="68" spans="1:35" ht="14.25" customHeight="1" thickBot="1">
      <c r="A68" s="175" t="s">
        <v>329</v>
      </c>
      <c r="B68" s="176" t="s">
        <v>1391</v>
      </c>
      <c r="C68" s="2566">
        <f ca="1">IF(C67&lt;=0,0,ROUND(C67*D68,0))</f>
        <v>2558</v>
      </c>
      <c r="D68" s="2567">
        <f>'数据-取费表'!B41</f>
        <v>5.5000000000000007E-2</v>
      </c>
      <c r="E68" s="177"/>
      <c r="F68" s="1806"/>
      <c r="G68" s="1806"/>
      <c r="H68" s="1808"/>
      <c r="I68" s="128"/>
      <c r="J68" s="3678"/>
      <c r="K68" s="1330" t="s">
        <v>1392</v>
      </c>
      <c r="L68" s="1330">
        <f ca="1">IF(M49&gt;10000,M49*0.5%,IF(AND(M49&gt;5000,M49&lt;=10000),M49*1%,IF(AND(M49&gt;1000,M49&lt;=5000),M49*2%,IF(AND(M49&gt;200,M49&lt;=1000),M49*3%,M49*5%))))</f>
        <v>244.22</v>
      </c>
      <c r="M68" s="301">
        <f ca="1">ROUND(L68,1)</f>
        <v>244.2</v>
      </c>
      <c r="N68" s="2540"/>
      <c r="Z68" s="1750"/>
      <c r="AI68" s="1751"/>
    </row>
    <row r="69" spans="1:35" s="1770" customFormat="1" ht="16.5" customHeight="1">
      <c r="A69" s="1809"/>
      <c r="B69" s="1810"/>
      <c r="C69" s="1811"/>
      <c r="D69" s="1812"/>
      <c r="E69" s="1813"/>
      <c r="F69" s="1576"/>
      <c r="G69" s="1576"/>
      <c r="H69" s="1575"/>
      <c r="I69" s="1745"/>
      <c r="J69" s="3678"/>
      <c r="K69" s="1330" t="s">
        <v>1393</v>
      </c>
      <c r="L69" s="1330"/>
      <c r="M69" s="301">
        <f ca="1">ROUND(SUM(M63:M68),0)</f>
        <v>793</v>
      </c>
      <c r="N69" s="2542">
        <f ca="1">M69/M49</f>
        <v>1.6235361559249855E-2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40" t="s">
        <v>1394</v>
      </c>
      <c r="B70" s="3641"/>
      <c r="C70" s="3641"/>
      <c r="D70" s="3641"/>
      <c r="E70" s="3641"/>
      <c r="F70" s="3641"/>
      <c r="G70" s="3641"/>
      <c r="H70" s="364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9" t="s">
        <v>1375</v>
      </c>
      <c r="B71" s="3620"/>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46518</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233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14" t="s">
        <v>1402</v>
      </c>
      <c r="F76" s="3588"/>
      <c r="G76" s="3588"/>
      <c r="H76" s="363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233</v>
      </c>
      <c r="D78" s="2574">
        <f>'数据-取费表'!B43</f>
        <v>5.000000000000001E-3</v>
      </c>
      <c r="E78" s="3598" t="s">
        <v>1406</v>
      </c>
      <c r="F78" s="3599"/>
      <c r="G78" s="3599"/>
      <c r="H78" s="360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46285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198.6480686695279</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27689</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40" t="s">
        <v>1410</v>
      </c>
      <c r="B83" s="3641"/>
      <c r="C83" s="3641"/>
      <c r="D83" s="3641"/>
      <c r="E83" s="3641"/>
      <c r="F83" s="3641"/>
      <c r="G83" s="3641"/>
      <c r="H83" s="364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9" t="s">
        <v>1375</v>
      </c>
      <c r="B84" s="3620"/>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46518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233</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2" t="str">
        <f>IF(H88="-","土地取得成本中已包含该笔费用"," ")</f>
        <v xml:space="preserve"> </v>
      </c>
      <c r="F90" s="2325"/>
      <c r="G90" s="3680" t="s">
        <v>2128</v>
      </c>
      <c r="H90" s="3681"/>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598" t="s">
        <v>1419</v>
      </c>
      <c r="F91" s="3599"/>
      <c r="G91" s="359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598" t="s">
        <v>1422</v>
      </c>
      <c r="F92" s="3599"/>
      <c r="G92" s="3599"/>
      <c r="H92" s="3608"/>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233</v>
      </c>
      <c r="D93" s="2574">
        <f>'数据-取费表'!B43</f>
        <v>5.000000000000001E-3</v>
      </c>
      <c r="E93" s="3598" t="s">
        <v>1406</v>
      </c>
      <c r="F93" s="3599"/>
      <c r="G93" s="3599"/>
      <c r="H93" s="360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09" t="s">
        <v>1426</v>
      </c>
      <c r="F94" s="3610"/>
      <c r="G94" s="3610"/>
      <c r="H94" s="361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46285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198.6480686695279</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27689</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82" t="s">
        <v>1428</v>
      </c>
      <c r="B100" s="3583"/>
      <c r="C100" s="3583"/>
      <c r="D100" s="3600"/>
      <c r="E100" s="3583" t="s">
        <v>1429</v>
      </c>
      <c r="F100" s="3583"/>
      <c r="G100" s="3583"/>
      <c r="H100" s="3600"/>
      <c r="I100" s="128"/>
    </row>
    <row r="101" spans="1:35" ht="18.75" customHeight="1">
      <c r="A101" s="3661" t="s">
        <v>1430</v>
      </c>
      <c r="B101" s="3662"/>
      <c r="C101" s="2582" t="str">
        <f>C4</f>
        <v>成本法</v>
      </c>
      <c r="D101" s="2583" t="str">
        <f>D4</f>
        <v>收益法-酒店模型</v>
      </c>
      <c r="E101" s="3675" t="s">
        <v>1431</v>
      </c>
      <c r="F101" s="3632"/>
      <c r="G101" s="1825" t="s">
        <v>1432</v>
      </c>
      <c r="H101" s="2592">
        <f ca="1">H118</f>
        <v>48844</v>
      </c>
      <c r="I101" s="128"/>
    </row>
    <row r="102" spans="1:35" ht="18.75" customHeight="1">
      <c r="A102" s="3634" t="s">
        <v>1433</v>
      </c>
      <c r="B102" s="2581" t="s">
        <v>1432</v>
      </c>
      <c r="C102" s="2582">
        <f ca="1">IF(D32="楼面单价",ROUND(C19,0),C19)</f>
        <v>48865</v>
      </c>
      <c r="D102" s="2583">
        <f ca="1">IF(D32="楼面单价",ROUND(D19,0),D19)</f>
        <v>48823.578424942665</v>
      </c>
      <c r="E102" s="3675"/>
      <c r="F102" s="3632"/>
      <c r="G102" s="1825" t="s">
        <v>1434</v>
      </c>
      <c r="H102" s="2552">
        <f ca="1">I118</f>
        <v>14529</v>
      </c>
      <c r="I102" s="128"/>
    </row>
    <row r="103" spans="1:35" ht="42.75" customHeight="1">
      <c r="A103" s="3634"/>
      <c r="B103" s="2581" t="s">
        <v>1434</v>
      </c>
      <c r="C103" s="2584">
        <f ca="1">C20</f>
        <v>14535</v>
      </c>
      <c r="D103" s="2585">
        <f ca="1">D20</f>
        <v>14523</v>
      </c>
      <c r="E103" s="3669" t="s">
        <v>1435</v>
      </c>
      <c r="F103" s="3670"/>
      <c r="G103" s="1826" t="s">
        <v>1436</v>
      </c>
      <c r="H103" s="2592">
        <f>IF(D36="正常操作",H104+H105+H106,H105+H106)</f>
        <v>0</v>
      </c>
      <c r="I103" s="128"/>
    </row>
    <row r="104" spans="1:35" ht="18.75" customHeight="1">
      <c r="A104" s="3634" t="s">
        <v>1437</v>
      </c>
      <c r="B104" s="2586" t="s">
        <v>1432</v>
      </c>
      <c r="C104" s="2587">
        <f ca="1">H118</f>
        <v>48844</v>
      </c>
      <c r="D104" s="2588"/>
      <c r="E104" s="1672" t="s">
        <v>1438</v>
      </c>
      <c r="F104" s="1664"/>
      <c r="G104" s="1826" t="s">
        <v>1436</v>
      </c>
      <c r="H104" s="2593">
        <f>IF(D36="同一抵押权人同一抵押物续贷",C36&amp;"（续贷，未扣减，详见特别提示）",C36)</f>
        <v>0</v>
      </c>
      <c r="I104" s="128"/>
    </row>
    <row r="105" spans="1:35" ht="18.75" customHeight="1" thickBot="1">
      <c r="A105" s="3635"/>
      <c r="B105" s="2589" t="s">
        <v>1434</v>
      </c>
      <c r="C105" s="2590">
        <f ca="1">I118</f>
        <v>14529</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31" t="str">
        <f>IF(项目基本情况!E8="已注销","——","3.房地产抵押价值")</f>
        <v>3.房地产抵押价值</v>
      </c>
      <c r="F107" s="3632"/>
      <c r="G107" s="1825" t="s">
        <v>1432</v>
      </c>
      <c r="H107" s="2592">
        <f ca="1">IF(E107="——","——",H101-H103)</f>
        <v>48844</v>
      </c>
      <c r="I107" s="128"/>
    </row>
    <row r="108" spans="1:35" ht="18.75" customHeight="1">
      <c r="A108" s="128"/>
      <c r="B108" s="128"/>
      <c r="C108" s="128"/>
      <c r="D108" s="128"/>
      <c r="E108" s="3631"/>
      <c r="F108" s="3632"/>
      <c r="G108" s="1825" t="s">
        <v>1434</v>
      </c>
      <c r="H108" s="2552">
        <f ca="1">IF(H107=H101,H102,ROUND(H107*10000/'数据-汇总表'!E3,0))</f>
        <v>14529</v>
      </c>
      <c r="I108" s="128"/>
    </row>
    <row r="109" spans="1:35" ht="18.75" customHeight="1">
      <c r="A109" s="128"/>
      <c r="B109" s="128"/>
      <c r="C109" s="128"/>
      <c r="D109" s="128"/>
      <c r="E109" s="3631" t="str">
        <f>IF(项目基本情况!E8="已注销及未注销","4.抵押担保权已注销时的房地产抵押价值",IF(项目基本情况!E8="已注销","3.抵押担保权已注销时的房地产抵押价值","——"))</f>
        <v>——</v>
      </c>
      <c r="F109" s="3632"/>
      <c r="G109" s="1825" t="s">
        <v>1432</v>
      </c>
      <c r="H109" s="2595" t="str">
        <f>IF(E109="——","——",H101-H105-H106)</f>
        <v>——</v>
      </c>
      <c r="I109" s="128"/>
    </row>
    <row r="110" spans="1:35" ht="18.75" customHeight="1">
      <c r="A110" s="128"/>
      <c r="B110" s="128"/>
      <c r="C110" s="128"/>
      <c r="D110" s="128"/>
      <c r="E110" s="3631"/>
      <c r="F110" s="3632"/>
      <c r="G110" s="1825" t="s">
        <v>1434</v>
      </c>
      <c r="H110" s="2552" t="str">
        <f>IF(H109="——","——",ROUND(H109*10000/'数据-汇总表'!E3,0))</f>
        <v>——</v>
      </c>
      <c r="I110" s="128"/>
    </row>
    <row r="111" spans="1:35" ht="18.75" customHeight="1">
      <c r="A111" s="128"/>
      <c r="B111" s="128"/>
      <c r="C111" s="128"/>
      <c r="D111" s="128"/>
      <c r="E111" s="3663" t="str">
        <f>IF(项目基本情况!E9="抵押净值",IF(OR(项目基本情况!E8="已注销",项目基本情况!E8="房地产抵押价值"),"4.抵押净值","5.抵押净值"),"——")</f>
        <v>——</v>
      </c>
      <c r="F111" s="3633"/>
      <c r="G111" s="1825" t="s">
        <v>1432</v>
      </c>
      <c r="H111" s="2592" t="str">
        <f>IF(E111="——","——",N59)</f>
        <v>——</v>
      </c>
      <c r="I111" s="128"/>
    </row>
    <row r="112" spans="1:35" ht="18.75" customHeight="1" thickBot="1">
      <c r="A112" s="128"/>
      <c r="B112" s="128"/>
      <c r="C112" s="128"/>
      <c r="D112" s="128"/>
      <c r="E112" s="3664"/>
      <c r="F112" s="3665"/>
      <c r="G112" s="1828" t="s">
        <v>1434</v>
      </c>
      <c r="H112" s="2596" t="str">
        <f>IF(E111="——","——",N61)</f>
        <v>——</v>
      </c>
      <c r="I112" s="128"/>
    </row>
    <row r="113" spans="1:27" ht="18.75" customHeight="1">
      <c r="A113" s="128"/>
      <c r="B113" s="128"/>
      <c r="C113" s="128"/>
      <c r="D113" s="128"/>
      <c r="E113" s="3636" t="s">
        <v>1440</v>
      </c>
      <c r="F113" s="3636"/>
      <c r="G113" s="3636"/>
      <c r="H113" s="3636"/>
      <c r="I113" s="128"/>
    </row>
    <row r="114" spans="1:27" ht="3.75" customHeight="1">
      <c r="A114" s="1745"/>
      <c r="B114" s="1745"/>
      <c r="C114" s="1745"/>
      <c r="D114" s="1745"/>
      <c r="E114" s="1807"/>
      <c r="F114" s="1807"/>
      <c r="G114" s="1807"/>
      <c r="H114" s="1807"/>
      <c r="I114" s="1745"/>
    </row>
    <row r="115" spans="1:27" ht="18.75" customHeight="1">
      <c r="A115" s="3646" t="s">
        <v>1442</v>
      </c>
      <c r="B115" s="3647"/>
      <c r="C115" s="3647"/>
      <c r="D115" s="3647"/>
      <c r="E115" s="3647"/>
      <c r="F115" s="3647"/>
      <c r="G115" s="3647"/>
      <c r="H115" s="3647"/>
      <c r="I115" s="3648"/>
    </row>
    <row r="116" spans="1:27" ht="27" customHeight="1">
      <c r="A116" s="3602" t="s">
        <v>1443</v>
      </c>
      <c r="B116" s="3637" t="s">
        <v>1444</v>
      </c>
      <c r="C116" s="3637" t="s">
        <v>1445</v>
      </c>
      <c r="D116" s="3650" t="s">
        <v>1446</v>
      </c>
      <c r="E116" s="3651"/>
      <c r="F116" s="3645" t="s">
        <v>1447</v>
      </c>
      <c r="G116" s="3645"/>
      <c r="H116" s="3602" t="s">
        <v>1448</v>
      </c>
      <c r="I116" s="3602"/>
    </row>
    <row r="117" spans="1:27" ht="18.75" customHeight="1">
      <c r="A117" s="3602"/>
      <c r="B117" s="3638"/>
      <c r="C117" s="3638"/>
      <c r="D117" s="2327" t="s">
        <v>1449</v>
      </c>
      <c r="E117" s="2327" t="s">
        <v>1450</v>
      </c>
      <c r="F117" s="2327" t="s">
        <v>1449</v>
      </c>
      <c r="G117" s="2327" t="s">
        <v>1451</v>
      </c>
      <c r="H117" s="2327" t="s">
        <v>1449</v>
      </c>
      <c r="I117" s="2327" t="s">
        <v>1451</v>
      </c>
    </row>
    <row r="118" spans="1:27" ht="24.75" customHeight="1">
      <c r="A118" s="2597" t="str">
        <f>项目基本情况!S2</f>
        <v>北京市房地产</v>
      </c>
      <c r="B118" s="2327">
        <f>M18</f>
        <v>33618.589999999997</v>
      </c>
      <c r="C118" s="2327">
        <f>M19</f>
        <v>22981.55</v>
      </c>
      <c r="D118" s="2327">
        <f ca="1">ROUND(IF(D32="总价",C34,E118*B118/10000),0)</f>
        <v>9280</v>
      </c>
      <c r="E118" s="2327">
        <f ca="1">ROUND(IF(C33="自定义",IF(D32="楼面单价",C34,D118*10000/B118),I118-G118),0)</f>
        <v>2761</v>
      </c>
      <c r="F118" s="2327">
        <f ca="1">ROUND(IF(D32="总价",C35,G118*B118/10000),0)</f>
        <v>39564</v>
      </c>
      <c r="G118" s="2327">
        <f ca="1">ROUND(IF(D32="楼面单价",C35,F118*10000/B118),0)</f>
        <v>11768</v>
      </c>
      <c r="H118" s="2327">
        <f ca="1">ROUND(IF(D32="总价",C32,I118*B118/10000),0)</f>
        <v>48844</v>
      </c>
      <c r="I118" s="2327">
        <f ca="1">ROUND(IF(D32="楼面单价",C32,H118*10000/B118),0)</f>
        <v>14529</v>
      </c>
    </row>
    <row r="119" spans="1:27" ht="18.75" customHeight="1">
      <c r="A119" s="3602" t="s">
        <v>1452</v>
      </c>
      <c r="B119" s="3602"/>
      <c r="C119" s="3602"/>
      <c r="D119" s="3642" t="str">
        <f ca="1">NUMBERSTRING(INT(D118*10000),2)&amp;"元整"</f>
        <v>玖仟贰佰捌拾万元整</v>
      </c>
      <c r="E119" s="3644"/>
      <c r="F119" s="3642" t="str">
        <f ca="1">NUMBERSTRING(INT(F118*10000),2)&amp;"元整"</f>
        <v>叁亿玖仟伍佰陆拾肆万元整</v>
      </c>
      <c r="G119" s="3644"/>
      <c r="H119" s="3642" t="str">
        <f ca="1">NUMBERSTRING(INT(H118*10000),2)&amp;"元整"</f>
        <v>肆亿捌仟捌佰肆拾肆万元整</v>
      </c>
      <c r="I119" s="3644"/>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42" t="s">
        <v>1452</v>
      </c>
      <c r="B121" s="3643"/>
      <c r="C121" s="3644"/>
      <c r="D121" s="3642" t="str">
        <f>IF(D120=0,"零元整",NUMBERSTRING(INT(D120*10000),2)&amp;"元整")</f>
        <v>零元整</v>
      </c>
      <c r="E121" s="3643"/>
      <c r="F121" s="3643"/>
      <c r="G121" s="3643"/>
      <c r="H121" s="3643"/>
      <c r="I121" s="3644"/>
      <c r="AA121" s="724"/>
    </row>
    <row r="122" spans="1:27" ht="18.75" customHeight="1">
      <c r="A122" s="3633" t="str">
        <f>IF(项目基本情况!B9="房地产市场价值","",MID(E107,3,LEN(E107)-2))</f>
        <v>房地产抵押价值</v>
      </c>
      <c r="B122" s="3633"/>
      <c r="C122" s="3633"/>
      <c r="D122" s="3666">
        <f ca="1">H107</f>
        <v>48844</v>
      </c>
      <c r="E122" s="3667"/>
      <c r="F122" s="3667"/>
      <c r="G122" s="3667"/>
      <c r="H122" s="3667"/>
      <c r="I122" s="3668"/>
      <c r="AA122" s="724"/>
    </row>
    <row r="123" spans="1:27" ht="18.75" customHeight="1">
      <c r="A123" s="3602" t="s">
        <v>1452</v>
      </c>
      <c r="B123" s="3602"/>
      <c r="C123" s="3602"/>
      <c r="D123" s="3642" t="str">
        <f ca="1">NUMBERSTRING(INT(D122*10000),2)&amp;"元整"</f>
        <v>肆亿捌仟捌佰肆拾肆万元整</v>
      </c>
      <c r="E123" s="3643"/>
      <c r="F123" s="3643"/>
      <c r="G123" s="3643"/>
      <c r="H123" s="3643"/>
      <c r="I123" s="3644"/>
      <c r="AA123" s="724"/>
    </row>
    <row r="124" spans="1:27" ht="18.75" customHeight="1">
      <c r="A124" s="3633" t="str">
        <f>IF(项目基本情况!B9="房地产市场价值","",MID(E109,3,LEN(E109)-2))</f>
        <v/>
      </c>
      <c r="B124" s="3633"/>
      <c r="C124" s="3633"/>
      <c r="D124" s="3666" t="str">
        <f>H109</f>
        <v>——</v>
      </c>
      <c r="E124" s="3667"/>
      <c r="F124" s="3667"/>
      <c r="G124" s="3667"/>
      <c r="H124" s="3667"/>
      <c r="I124" s="3668"/>
      <c r="AA124" s="724"/>
    </row>
    <row r="125" spans="1:27" ht="18.75" customHeight="1">
      <c r="A125" s="3602" t="s">
        <v>1452</v>
      </c>
      <c r="B125" s="3602"/>
      <c r="C125" s="3602"/>
      <c r="D125" s="3642" t="e">
        <f>NUMBERSTRING(INT(D124*10000),2)&amp;"元整"</f>
        <v>#VALUE!</v>
      </c>
      <c r="E125" s="3643"/>
      <c r="F125" s="3643"/>
      <c r="G125" s="3643"/>
      <c r="H125" s="3643"/>
      <c r="I125" s="3644"/>
      <c r="AA125" s="724"/>
    </row>
    <row r="126" spans="1:27" ht="18.75" customHeight="1">
      <c r="A126" s="3633" t="str">
        <f>IF(项目基本情况!B9="房地产市场价值","",MID(E111,3,LEN(E111)-2))</f>
        <v/>
      </c>
      <c r="B126" s="3633"/>
      <c r="C126" s="3633"/>
      <c r="D126" s="3666" t="str">
        <f>H111</f>
        <v>——</v>
      </c>
      <c r="E126" s="3667"/>
      <c r="F126" s="3667"/>
      <c r="G126" s="3667"/>
      <c r="H126" s="3667"/>
      <c r="I126" s="3668"/>
      <c r="AA126" s="724"/>
    </row>
    <row r="127" spans="1:27" ht="18.75" customHeight="1">
      <c r="A127" s="3602" t="s">
        <v>1452</v>
      </c>
      <c r="B127" s="3602"/>
      <c r="C127" s="3602"/>
      <c r="D127" s="3642" t="e">
        <f>NUMBERSTRING(INT(D126*10000),2)&amp;"元整"</f>
        <v>#VALUE!</v>
      </c>
      <c r="E127" s="3643"/>
      <c r="F127" s="3643"/>
      <c r="G127" s="3643"/>
      <c r="H127" s="3643"/>
      <c r="I127" s="3644"/>
      <c r="AA127" s="724"/>
    </row>
    <row r="128" spans="1:27" ht="21.75" customHeight="1">
      <c r="A128" s="3649" t="s">
        <v>1453</v>
      </c>
      <c r="B128" s="3649"/>
      <c r="C128" s="3649"/>
      <c r="D128" s="3649"/>
      <c r="E128" s="3649"/>
      <c r="F128" s="3649"/>
      <c r="G128" s="3649"/>
      <c r="H128" s="3649"/>
      <c r="I128" s="3649"/>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4" t="str">
        <f>项目基本情况!B1</f>
        <v>北京市房地产抵押价值预评估</v>
      </c>
      <c r="C37" s="3494"/>
      <c r="D37" s="3494"/>
      <c r="E37" s="3494"/>
      <c r="F37" s="3494"/>
      <c r="G37" s="3494"/>
      <c r="H37" s="3494"/>
      <c r="I37" s="3494"/>
    </row>
    <row r="38" spans="1:9">
      <c r="A38" s="843"/>
      <c r="B38" s="843"/>
    </row>
    <row r="39" spans="1:9">
      <c r="A39" s="841" t="s">
        <v>371</v>
      </c>
      <c r="B39" s="841" t="s">
        <v>373</v>
      </c>
    </row>
    <row r="40" spans="1:9">
      <c r="A40" s="841"/>
      <c r="B40" s="1472" t="str">
        <f>项目基本情况!B5</f>
        <v>天津银行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5">
        <f>MATCH(B1,'数据-取费表'!A6:A16,0)+5</f>
        <v>7</v>
      </c>
    </row>
    <row r="2" spans="1:9" s="199" customFormat="1" ht="18" customHeight="1">
      <c r="A2" s="200" t="s">
        <v>1462</v>
      </c>
      <c r="B2" s="201">
        <f ca="1">IF(D2="——",C52,C52-E2)</f>
        <v>48865</v>
      </c>
      <c r="C2" s="198" t="s">
        <v>1463</v>
      </c>
      <c r="D2" s="1851" t="s">
        <v>43</v>
      </c>
      <c r="E2" s="1168"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14535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6758</v>
      </c>
      <c r="D5" s="210" t="s">
        <v>1469</v>
      </c>
      <c r="E5" s="211" t="s">
        <v>1470</v>
      </c>
      <c r="F5" s="211" t="s">
        <v>1471</v>
      </c>
      <c r="G5" s="212"/>
    </row>
    <row r="6" spans="1:9" s="213" customFormat="1" ht="13.5" customHeight="1">
      <c r="A6" s="777" t="s">
        <v>1472</v>
      </c>
      <c r="B6" s="214" t="s">
        <v>1473</v>
      </c>
      <c r="C6" s="215">
        <f>基准地价修正!E33+基准地价修正!E42</f>
        <v>6297</v>
      </c>
      <c r="D6" s="216"/>
      <c r="E6" s="217"/>
      <c r="F6" s="217"/>
      <c r="G6" s="218"/>
    </row>
    <row r="7" spans="1:9" s="213" customFormat="1" ht="13.5" customHeight="1">
      <c r="A7" s="777" t="s">
        <v>1474</v>
      </c>
      <c r="B7" s="214" t="s">
        <v>1475</v>
      </c>
      <c r="C7" s="219">
        <f>ROUND(C6*F7,0)</f>
        <v>192</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269</v>
      </c>
      <c r="D8" s="221"/>
      <c r="E8" s="219"/>
      <c r="F8" s="220"/>
      <c r="G8" s="1854" t="s">
        <v>3485</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80</v>
      </c>
      <c r="F9" s="220"/>
      <c r="G9" s="1855" t="s">
        <v>3486</v>
      </c>
      <c r="H9" s="1136"/>
      <c r="I9" s="1856" t="s">
        <v>1479</v>
      </c>
    </row>
    <row r="10" spans="1:9" s="213" customFormat="1" ht="13.5" customHeight="1">
      <c r="A10" s="778" t="s">
        <v>356</v>
      </c>
      <c r="B10" s="223" t="s">
        <v>1480</v>
      </c>
      <c r="C10" s="224">
        <f ca="1">ROUND(D10*E10/10000,0)</f>
        <v>269</v>
      </c>
      <c r="D10" s="844">
        <f ca="1">IF(B1="",'数据-汇总表'!E6,IF(INDIRECT("'数据-取费表'!c"&amp;$G$1)="住宅",INDIRECT("'数据-取费表'!s"&amp;$G$1),INDIRECT("'数据-取费表'!k"&amp;$G$1)+INDIRECT("'数据-取费表'!s"&amp;$G$1)))</f>
        <v>33618.589999999997</v>
      </c>
      <c r="E10" s="224">
        <f>'数据-取费表'!B28</f>
        <v>80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33618.589999999997</v>
      </c>
      <c r="E19" s="210">
        <f>'数据-取费表'!B31</f>
        <v>200</v>
      </c>
      <c r="F19" s="230"/>
      <c r="G19" s="1854" t="s">
        <v>3487</v>
      </c>
    </row>
    <row r="20" spans="1:7" s="213" customFormat="1" ht="13.5" customHeight="1">
      <c r="A20" s="254" t="s">
        <v>1493</v>
      </c>
      <c r="B20" s="209" t="s">
        <v>1494</v>
      </c>
      <c r="C20" s="231">
        <f ca="1">ROUND((C5+C19)*F20,0)</f>
        <v>203</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3">
        <f ca="1">ROUND(SUM(C23:C25),0)</f>
        <v>467</v>
      </c>
      <c r="D22" s="234">
        <f ca="1">C26</f>
        <v>1E-3</v>
      </c>
      <c r="E22" s="235" t="s">
        <v>1498</v>
      </c>
      <c r="F22" s="236">
        <f ca="1">'数据-取费表'!B40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460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7</v>
      </c>
      <c r="D25" s="237"/>
      <c r="E25" s="240"/>
      <c r="F25" s="238"/>
      <c r="G25" s="241" t="s">
        <v>1510</v>
      </c>
    </row>
    <row r="26" spans="1:7" s="213" customFormat="1">
      <c r="A26" s="779" t="s">
        <v>350</v>
      </c>
      <c r="B26" s="214" t="s">
        <v>1511</v>
      </c>
      <c r="C26" s="237">
        <f ca="1">ROUND(IF('数据-取费表'!B22&lt;=1,F21*F22*'数据-取费表'!B23/2,F21*(POWER((1+F22),'数据-取费表'!B23/2)-1)),4)</f>
        <v>1E-3</v>
      </c>
      <c r="D26" s="237"/>
      <c r="E26" s="240"/>
      <c r="F26" s="238"/>
      <c r="G26" s="242"/>
    </row>
    <row r="27" spans="1:7" s="213" customFormat="1" ht="24.75">
      <c r="A27" s="254" t="s">
        <v>1512</v>
      </c>
      <c r="B27" s="243" t="s">
        <v>1513</v>
      </c>
      <c r="C27" s="244">
        <f ca="1">C28</f>
        <v>1044</v>
      </c>
      <c r="D27" s="234">
        <f ca="1">C29</f>
        <v>4.4999999999999997E-3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1044</v>
      </c>
      <c r="D28" s="234"/>
      <c r="E28" s="235"/>
      <c r="F28" s="245"/>
      <c r="G28" s="246"/>
    </row>
    <row r="29" spans="1:7" s="213" customFormat="1" ht="13.5" customHeight="1">
      <c r="A29" s="779" t="s">
        <v>347</v>
      </c>
      <c r="B29" s="247" t="s">
        <v>1517</v>
      </c>
      <c r="C29" s="237">
        <f ca="1">ROUND(C21*F27*'数据-取费表'!B21/'数据-取费表'!B20,4)</f>
        <v>4.4999999999999997E-3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9288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30528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27903</v>
      </c>
      <c r="D34" s="216"/>
      <c r="E34" s="219"/>
      <c r="F34" s="256">
        <f ca="1">IF('数据-取费表'!B24=0,1,IF(B1="",'数据-取费表'!N16,INDIRECT("'数据-取费表'!n"&amp;$G$1)))</f>
        <v>1</v>
      </c>
      <c r="G34" s="218" t="s">
        <v>1526</v>
      </c>
    </row>
    <row r="35" spans="1:7" ht="13.5" customHeight="1">
      <c r="A35" s="779" t="s">
        <v>351</v>
      </c>
      <c r="B35" s="214" t="s">
        <v>1527</v>
      </c>
      <c r="C35" s="219">
        <f ca="1">ROUND(C34*F35,0)</f>
        <v>1395</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672</v>
      </c>
      <c r="D37" s="216">
        <f ca="1">D19</f>
        <v>33618.589999999997</v>
      </c>
      <c r="E37" s="248">
        <f>'数据-取费表'!B35</f>
        <v>200</v>
      </c>
      <c r="F37" s="258"/>
      <c r="G37" s="260" t="s">
        <v>1532</v>
      </c>
    </row>
    <row r="38" spans="1:7" ht="13.5" customHeight="1">
      <c r="A38" s="779" t="s">
        <v>354</v>
      </c>
      <c r="B38" s="214" t="s">
        <v>1533</v>
      </c>
      <c r="C38" s="219">
        <f ca="1">ROUND(C34*F38,0)</f>
        <v>558</v>
      </c>
      <c r="D38" s="219"/>
      <c r="E38" s="219"/>
      <c r="F38" s="258">
        <f>'数据-取费表'!B36</f>
        <v>0.02</v>
      </c>
      <c r="G38" s="218" t="s">
        <v>1528</v>
      </c>
    </row>
    <row r="39" spans="1:7" s="213" customFormat="1" ht="13.5" customHeight="1">
      <c r="A39" s="254" t="s">
        <v>1534</v>
      </c>
      <c r="B39" s="209" t="s">
        <v>1535</v>
      </c>
      <c r="C39" s="231">
        <f ca="1">ROUND(C33*F20,0)</f>
        <v>916</v>
      </c>
      <c r="D39" s="231"/>
      <c r="E39" s="231"/>
      <c r="F39" s="232">
        <f>F20</f>
        <v>0.03</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1054</v>
      </c>
      <c r="D41" s="234">
        <f ca="1">C44</f>
        <v>1E-3</v>
      </c>
      <c r="E41" s="235" t="s">
        <v>1539</v>
      </c>
      <c r="F41" s="236">
        <f ca="1">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1023</v>
      </c>
      <c r="D42" s="237"/>
      <c r="E42" s="237"/>
      <c r="F42" s="238"/>
      <c r="G42" s="3682" t="s">
        <v>1544</v>
      </c>
    </row>
    <row r="43" spans="1:7" ht="13.5" customHeight="1">
      <c r="A43" s="779" t="s">
        <v>347</v>
      </c>
      <c r="B43" s="214" t="s">
        <v>1545</v>
      </c>
      <c r="C43" s="237">
        <f ca="1">ROUND(IF('数据-取费表'!B22&lt;=1,C39*F22*'数据-取费表'!B21/2,C39*(POWER((1+F22),'数据-取费表'!B21/2)-1)),0)</f>
        <v>31</v>
      </c>
      <c r="D43" s="237"/>
      <c r="E43" s="237"/>
      <c r="F43" s="238"/>
      <c r="G43" s="3683"/>
    </row>
    <row r="44" spans="1:7" ht="13.5" customHeight="1">
      <c r="A44" s="779" t="s">
        <v>348</v>
      </c>
      <c r="B44" s="214" t="s">
        <v>1546</v>
      </c>
      <c r="C44" s="237">
        <f ca="1">ROUND(IF('数据-取费表'!B22&lt;=1,C40*F22*'数据-取费表'!B21/2,C40*(POWER((1+F22),'数据-取费表'!B21/2)-1)),4)</f>
        <v>1E-3</v>
      </c>
      <c r="D44" s="237"/>
      <c r="E44" s="237"/>
      <c r="F44" s="238"/>
      <c r="G44" s="3684"/>
    </row>
    <row r="45" spans="1:7" s="213" customFormat="1" ht="13.5" customHeight="1">
      <c r="A45" s="254" t="s">
        <v>1547</v>
      </c>
      <c r="B45" s="243" t="s">
        <v>1513</v>
      </c>
      <c r="C45" s="244">
        <f ca="1">C46</f>
        <v>4717</v>
      </c>
      <c r="D45" s="234">
        <f ca="1">C47</f>
        <v>4.4999999999999997E-3</v>
      </c>
      <c r="E45" s="235" t="s">
        <v>1539</v>
      </c>
      <c r="F45" s="245">
        <f ca="1">F27</f>
        <v>0.15</v>
      </c>
      <c r="G45" s="246" t="s">
        <v>1548</v>
      </c>
    </row>
    <row r="46" spans="1:7" s="213" customFormat="1" ht="13.5" customHeight="1">
      <c r="A46" s="779" t="s">
        <v>346</v>
      </c>
      <c r="B46" s="247" t="s">
        <v>1549</v>
      </c>
      <c r="C46" s="248">
        <f ca="1">ROUND((C33+C39)*F27,0)</f>
        <v>4717</v>
      </c>
      <c r="D46" s="262"/>
      <c r="E46" s="235"/>
      <c r="F46" s="245"/>
      <c r="G46" s="246"/>
    </row>
    <row r="47" spans="1:7" s="213" customFormat="1" ht="13.5" customHeight="1">
      <c r="A47" s="779" t="s">
        <v>347</v>
      </c>
      <c r="B47" s="247" t="s">
        <v>1550</v>
      </c>
      <c r="C47" s="237">
        <f ca="1">ROUND(C40*F27,4)</f>
        <v>4.4999999999999997E-3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40801</v>
      </c>
      <c r="D49" s="231"/>
      <c r="E49" s="231"/>
      <c r="F49" s="263"/>
      <c r="G49" s="233" t="s">
        <v>1554</v>
      </c>
    </row>
    <row r="50" spans="1:7" s="257" customFormat="1" ht="24">
      <c r="A50" s="254" t="s">
        <v>1555</v>
      </c>
      <c r="B50" s="209" t="s">
        <v>1556</v>
      </c>
      <c r="C50" s="231"/>
      <c r="D50" s="231"/>
      <c r="E50" s="231"/>
      <c r="F50" s="263">
        <f>IF('数据-取费表'!B24=0,'数据-取费表'!N16,1)</f>
        <v>0.97</v>
      </c>
      <c r="G50" s="246" t="s">
        <v>1557</v>
      </c>
    </row>
    <row r="51" spans="1:7" ht="16.5" customHeight="1">
      <c r="A51" s="254" t="s">
        <v>1558</v>
      </c>
      <c r="B51" s="209" t="s">
        <v>1559</v>
      </c>
      <c r="C51" s="231">
        <f ca="1">ROUND(C49*F50,0)</f>
        <v>39577</v>
      </c>
      <c r="D51" s="231"/>
      <c r="E51" s="231"/>
      <c r="F51" s="263"/>
      <c r="G51" s="233" t="s">
        <v>1560</v>
      </c>
    </row>
    <row r="52" spans="1:7" s="207" customFormat="1" ht="16.5" thickBot="1">
      <c r="A52" s="264" t="s">
        <v>1561</v>
      </c>
      <c r="B52" s="265"/>
      <c r="C52" s="266">
        <f ca="1">C31+C51</f>
        <v>48865</v>
      </c>
      <c r="D52" s="265"/>
      <c r="E52" s="265"/>
      <c r="F52" s="265"/>
      <c r="G52" s="267"/>
    </row>
    <row r="55" spans="1:7" ht="15">
      <c r="B55" s="269" t="s">
        <v>1562</v>
      </c>
      <c r="C55" s="270"/>
    </row>
    <row r="56" spans="1:7">
      <c r="B56" s="272" t="s">
        <v>802</v>
      </c>
      <c r="C56" s="274">
        <f ca="1">1-C57</f>
        <v>0.18999999999999995</v>
      </c>
    </row>
    <row r="57" spans="1:7">
      <c r="B57" s="272" t="s">
        <v>803</v>
      </c>
      <c r="C57" s="273">
        <f ca="1">ROUND(C51/C52,3)</f>
        <v>0.81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19">
        <f ca="1">ROUND(IF(D2="——",C52/10000,C52/10000-E2),4)</f>
        <v>40871.250599999999</v>
      </c>
      <c r="C2" s="198" t="s">
        <v>1463</v>
      </c>
      <c r="D2" s="1851" t="s">
        <v>43</v>
      </c>
      <c r="E2" s="1168"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12157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2689487</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2689487</v>
      </c>
      <c r="D8" s="221"/>
      <c r="E8" s="219"/>
      <c r="F8" s="220"/>
      <c r="G8" s="1854"/>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80</v>
      </c>
      <c r="F9" s="220"/>
      <c r="G9" s="225"/>
    </row>
    <row r="10" spans="1:8" s="213" customFormat="1" ht="13.5" customHeight="1">
      <c r="A10" s="778" t="s">
        <v>356</v>
      </c>
      <c r="B10" s="223" t="s">
        <v>1480</v>
      </c>
      <c r="C10" s="224">
        <f ca="1">ROUND(D10*E10,0)</f>
        <v>2689487</v>
      </c>
      <c r="D10" s="844">
        <f ca="1">IF(B1="",'数据-汇总表'!E6,IF(INDIRECT("'数据-取费表'!c"&amp;$G$1)="住宅",INDIRECT("'数据-取费表'!s"&amp;$G$1),INDIRECT("'数据-取费表'!k"&amp;$G$1)+INDIRECT("'数据-取费表'!s"&amp;$G$1)))</f>
        <v>33618.589999999997</v>
      </c>
      <c r="E10" s="224">
        <f>'数据-取费表'!B28</f>
        <v>80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6723718</v>
      </c>
      <c r="D19" s="848">
        <f ca="1">D9+D10</f>
        <v>33618.589999999997</v>
      </c>
      <c r="E19" s="210">
        <f>'数据-取费表'!B31</f>
        <v>200</v>
      </c>
      <c r="F19" s="230"/>
      <c r="G19" s="1854"/>
    </row>
    <row r="20" spans="1:7" s="213" customFormat="1" ht="13.5" customHeight="1">
      <c r="A20" s="254" t="s">
        <v>1574</v>
      </c>
      <c r="B20" s="209" t="s">
        <v>1575</v>
      </c>
      <c r="C20" s="231">
        <f ca="1">ROUND((C5+C19)*F20,0)</f>
        <v>282396</v>
      </c>
      <c r="D20" s="231"/>
      <c r="E20" s="231"/>
      <c r="F20" s="232">
        <f>'数据-取费表'!B37</f>
        <v>0.03</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6">
        <f ca="1">ROUND(SUM(C23:C25),0)</f>
        <v>650709</v>
      </c>
      <c r="D22" s="234">
        <f ca="1">C26</f>
        <v>1E-3</v>
      </c>
      <c r="E22" s="235" t="s">
        <v>1579</v>
      </c>
      <c r="F22" s="236">
        <f ca="1">'数据-取费表'!B40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183214</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458035</v>
      </c>
      <c r="D24" s="237"/>
      <c r="E24" s="237"/>
      <c r="F24" s="238"/>
      <c r="G24" s="239" t="s">
        <v>1586</v>
      </c>
    </row>
    <row r="25" spans="1:7" s="213" customFormat="1" ht="24">
      <c r="A25" s="779" t="s">
        <v>1476</v>
      </c>
      <c r="B25" s="214" t="s">
        <v>1587</v>
      </c>
      <c r="C25" s="1127">
        <f ca="1">ROUND(IF('数据-取费表'!B22&lt;=1,C20*F22*'数据-取费表'!B22/2,C20*(POWER((1+F22),'数据-取费表'!B22/2)-1)),0)</f>
        <v>9460</v>
      </c>
      <c r="D25" s="237"/>
      <c r="E25" s="240"/>
      <c r="F25" s="238"/>
      <c r="G25" s="241" t="s">
        <v>1588</v>
      </c>
    </row>
    <row r="26" spans="1:7" s="213" customFormat="1">
      <c r="A26" s="779" t="s">
        <v>350</v>
      </c>
      <c r="B26" s="214" t="s">
        <v>1511</v>
      </c>
      <c r="C26" s="237">
        <f ca="1">ROUND(IF('数据-取费表'!B22&lt;=1,F21*F22*'数据-取费表'!B22/2,F21*(POWER((1+F22),'数据-取费表'!B22/2)-1)),4)</f>
        <v>1E-3</v>
      </c>
      <c r="D26" s="237"/>
      <c r="E26" s="240"/>
      <c r="F26" s="238"/>
      <c r="G26" s="242"/>
    </row>
    <row r="27" spans="1:7" s="213" customFormat="1" ht="24.75">
      <c r="A27" s="254" t="s">
        <v>1512</v>
      </c>
      <c r="B27" s="243" t="s">
        <v>1513</v>
      </c>
      <c r="C27" s="244">
        <f ca="1">C28</f>
        <v>1454340</v>
      </c>
      <c r="D27" s="234">
        <f ca="1">C29</f>
        <v>4.4999999999999997E-3</v>
      </c>
      <c r="E27" s="235" t="s">
        <v>1514</v>
      </c>
      <c r="F27" s="245">
        <f ca="1">IF(B1="",'数据-取费表'!Q16,INDIRECT("'数据-取费表'!q"&amp;$G$1))</f>
        <v>0.15</v>
      </c>
      <c r="G27" s="246" t="s">
        <v>1515</v>
      </c>
    </row>
    <row r="28" spans="1:7" s="213" customFormat="1" ht="13.5" customHeight="1">
      <c r="A28" s="779" t="s">
        <v>346</v>
      </c>
      <c r="B28" s="247" t="s">
        <v>1516</v>
      </c>
      <c r="C28" s="248">
        <f ca="1">ROUND((C5+C19+C20)*F27,0)</f>
        <v>1454340</v>
      </c>
      <c r="D28" s="234"/>
      <c r="E28" s="235"/>
      <c r="F28" s="245"/>
      <c r="G28" s="246"/>
    </row>
    <row r="29" spans="1:7" s="213" customFormat="1" ht="13.5" customHeight="1">
      <c r="A29" s="779" t="s">
        <v>347</v>
      </c>
      <c r="B29" s="247" t="s">
        <v>1517</v>
      </c>
      <c r="C29" s="237">
        <f ca="1">ROUND(C21*F27,4)</f>
        <v>4.4999999999999997E-3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12937891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305290416</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279034297</v>
      </c>
      <c r="D34" s="216"/>
      <c r="E34" s="219"/>
      <c r="F34" s="256"/>
      <c r="G34" s="218"/>
    </row>
    <row r="35" spans="1:7" ht="13.5" customHeight="1">
      <c r="A35" s="779" t="s">
        <v>351</v>
      </c>
      <c r="B35" s="214" t="s">
        <v>1527</v>
      </c>
      <c r="C35" s="219">
        <f ca="1">ROUND(C34*F35,0)</f>
        <v>13951715</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6723718</v>
      </c>
      <c r="D37" s="216">
        <f ca="1">D19</f>
        <v>33618.589999999997</v>
      </c>
      <c r="E37" s="248">
        <f>'数据-取费表'!B35</f>
        <v>200</v>
      </c>
      <c r="F37" s="258"/>
      <c r="G37" s="260"/>
    </row>
    <row r="38" spans="1:7" ht="13.5" customHeight="1">
      <c r="A38" s="779" t="s">
        <v>354</v>
      </c>
      <c r="B38" s="214" t="s">
        <v>1533</v>
      </c>
      <c r="C38" s="219">
        <f ca="1">ROUND(C34*F38,0)</f>
        <v>5580686</v>
      </c>
      <c r="D38" s="219"/>
      <c r="E38" s="219"/>
      <c r="F38" s="258">
        <f>'数据-取费表'!B36</f>
        <v>0.02</v>
      </c>
      <c r="G38" s="218" t="s">
        <v>1528</v>
      </c>
    </row>
    <row r="39" spans="1:7" s="213" customFormat="1" ht="13.5" customHeight="1">
      <c r="A39" s="254" t="s">
        <v>1534</v>
      </c>
      <c r="B39" s="209" t="s">
        <v>1535</v>
      </c>
      <c r="C39" s="231">
        <f ca="1">ROUND(C33*F20,0)</f>
        <v>9158712</v>
      </c>
      <c r="D39" s="231"/>
      <c r="E39" s="231"/>
      <c r="F39" s="232">
        <f>F20</f>
        <v>0.03</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10534046</v>
      </c>
      <c r="D41" s="234">
        <f ca="1">C44</f>
        <v>1E-3</v>
      </c>
      <c r="E41" s="235" t="s">
        <v>1539</v>
      </c>
      <c r="F41" s="236">
        <f ca="1">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10227229</v>
      </c>
      <c r="D42" s="237"/>
      <c r="E42" s="237"/>
      <c r="F42" s="238"/>
      <c r="G42" s="3682" t="s">
        <v>1591</v>
      </c>
    </row>
    <row r="43" spans="1:7" ht="13.5" customHeight="1">
      <c r="A43" s="779" t="s">
        <v>347</v>
      </c>
      <c r="B43" s="214" t="s">
        <v>1545</v>
      </c>
      <c r="C43" s="237">
        <f ca="1">ROUND(IF('数据-取费表'!B22&lt;=1,C39*F22*'数据-取费表'!B20/2,C39*(POWER((1+F22),'数据-取费表'!B20/2)-1)),0)</f>
        <v>306817</v>
      </c>
      <c r="D43" s="237"/>
      <c r="E43" s="237"/>
      <c r="F43" s="238"/>
      <c r="G43" s="3683"/>
    </row>
    <row r="44" spans="1:7" ht="13.5" customHeight="1">
      <c r="A44" s="779" t="s">
        <v>348</v>
      </c>
      <c r="B44" s="214" t="s">
        <v>1546</v>
      </c>
      <c r="C44" s="237">
        <f ca="1">ROUND(IF('数据-取费表'!B22&lt;=1,C40*F22*'数据-取费表'!B20/2,C40*(POWER((1+F22),'数据-取费表'!B20/2)-1)),4)</f>
        <v>1E-3</v>
      </c>
      <c r="D44" s="237"/>
      <c r="E44" s="237"/>
      <c r="F44" s="238"/>
      <c r="G44" s="3684"/>
    </row>
    <row r="45" spans="1:7" s="213" customFormat="1" ht="13.5" customHeight="1">
      <c r="A45" s="254" t="s">
        <v>1547</v>
      </c>
      <c r="B45" s="243" t="s">
        <v>1513</v>
      </c>
      <c r="C45" s="244">
        <f ca="1">C46</f>
        <v>47167369</v>
      </c>
      <c r="D45" s="234">
        <f ca="1">C47</f>
        <v>4.4999999999999997E-3</v>
      </c>
      <c r="E45" s="235" t="s">
        <v>1539</v>
      </c>
      <c r="F45" s="245">
        <f ca="1">F27</f>
        <v>0.15</v>
      </c>
      <c r="G45" s="246" t="s">
        <v>1548</v>
      </c>
    </row>
    <row r="46" spans="1:7" s="213" customFormat="1" ht="13.5" customHeight="1">
      <c r="A46" s="779" t="s">
        <v>346</v>
      </c>
      <c r="B46" s="247" t="s">
        <v>1549</v>
      </c>
      <c r="C46" s="248">
        <f ca="1">ROUND((C33+C39)*F27,0)</f>
        <v>47167369</v>
      </c>
      <c r="D46" s="262"/>
      <c r="E46" s="235"/>
      <c r="F46" s="245"/>
      <c r="G46" s="246"/>
    </row>
    <row r="47" spans="1:7" s="213" customFormat="1" ht="13.5" customHeight="1">
      <c r="A47" s="779" t="s">
        <v>347</v>
      </c>
      <c r="B47" s="247" t="s">
        <v>1550</v>
      </c>
      <c r="C47" s="237">
        <f ca="1">ROUND(C40*F27,4)</f>
        <v>4.4999999999999997E-3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408015067</v>
      </c>
      <c r="D49" s="231"/>
      <c r="E49" s="231"/>
      <c r="F49" s="263"/>
      <c r="G49" s="233" t="s">
        <v>1554</v>
      </c>
    </row>
    <row r="50" spans="1:7" s="257" customFormat="1">
      <c r="A50" s="254" t="s">
        <v>1555</v>
      </c>
      <c r="B50" s="209" t="s">
        <v>1556</v>
      </c>
      <c r="C50" s="231"/>
      <c r="D50" s="231"/>
      <c r="E50" s="231"/>
      <c r="F50" s="263">
        <f>IF('数据-取费表'!B24=0,'数据-取费表'!N16,1)</f>
        <v>0.97</v>
      </c>
      <c r="G50" s="246"/>
    </row>
    <row r="51" spans="1:7" ht="16.5" customHeight="1">
      <c r="A51" s="254" t="s">
        <v>1558</v>
      </c>
      <c r="B51" s="209" t="s">
        <v>1593</v>
      </c>
      <c r="C51" s="231">
        <f ca="1">ROUND(C49*F50,0)</f>
        <v>395774615</v>
      </c>
      <c r="D51" s="231"/>
      <c r="E51" s="231"/>
      <c r="F51" s="263"/>
      <c r="G51" s="233" t="s">
        <v>1560</v>
      </c>
    </row>
    <row r="52" spans="1:7" s="207" customFormat="1" ht="16.5" thickBot="1">
      <c r="A52" s="264" t="s">
        <v>1561</v>
      </c>
      <c r="B52" s="265"/>
      <c r="C52" s="266">
        <f ca="1">C31+C51</f>
        <v>408712506</v>
      </c>
      <c r="D52" s="265"/>
      <c r="E52" s="265"/>
      <c r="F52" s="265"/>
      <c r="G52" s="267"/>
    </row>
    <row r="55" spans="1:7" ht="15">
      <c r="B55" s="269" t="s">
        <v>1562</v>
      </c>
      <c r="C55" s="270"/>
    </row>
    <row r="56" spans="1:7">
      <c r="B56" s="272" t="s">
        <v>802</v>
      </c>
      <c r="C56" s="274">
        <f ca="1">1-C57</f>
        <v>3.2000000000000028E-2</v>
      </c>
    </row>
    <row r="57" spans="1:7">
      <c r="B57" s="272" t="s">
        <v>803</v>
      </c>
      <c r="C57" s="273">
        <f ca="1">ROUND(C51/C52,3)</f>
        <v>0.96799999999999997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89"/>
      <c r="C1" s="1190"/>
      <c r="D1" s="1188"/>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0">
        <f ca="1">ROUND(C11*F12,0)</f>
        <v>0</v>
      </c>
      <c r="D12" s="801"/>
      <c r="E12" s="328"/>
      <c r="F12" s="811">
        <f>'数据-取费表'!B33</f>
        <v>0.05</v>
      </c>
      <c r="G12" s="5" t="s">
        <v>1614</v>
      </c>
      <c r="H12" s="796"/>
      <c r="I12" s="796"/>
      <c r="J12" s="796"/>
      <c r="K12" s="797"/>
    </row>
    <row r="13" spans="1:33" s="802" customFormat="1" ht="13.5" customHeight="1">
      <c r="A13" s="799" t="s">
        <v>637</v>
      </c>
      <c r="B13" s="800" t="s">
        <v>1615</v>
      </c>
      <c r="C13" s="20">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0">
        <f ca="1">ROUND(D14*E14*F11/10000,0)</f>
        <v>0</v>
      </c>
      <c r="D14" s="845">
        <f ca="1">IF(C1="",'数据-汇总表'!E3,INDIRECT("'数据-取费表'!K"&amp;$K$1)+INDIRECT("'数据-取费表'!S"&amp;$K$1))</f>
        <v>33618.589999999997</v>
      </c>
      <c r="E14" s="20">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0">
        <f ca="1">ROUND(D17*E17/10000,0)</f>
        <v>0</v>
      </c>
      <c r="D17" s="845">
        <f ca="1">D14</f>
        <v>33618.589999999997</v>
      </c>
      <c r="E17" s="20">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0">
        <f ca="1">C19+C20-IF(C1="",'数据-取费表'!B29,IF(G18="已全部缴纳",C19+C20,H18))</f>
        <v>0</v>
      </c>
      <c r="D18" s="845"/>
      <c r="E18" s="20"/>
      <c r="F18" s="803"/>
      <c r="G18" s="1860"/>
      <c r="H18" s="1185"/>
      <c r="I18" s="1861" t="s">
        <v>1625</v>
      </c>
      <c r="J18" s="806"/>
      <c r="K18" s="807"/>
    </row>
    <row r="19" spans="1:33" s="802" customFormat="1" ht="13.5" customHeight="1">
      <c r="A19" s="799" t="s">
        <v>360</v>
      </c>
      <c r="B19" s="800" t="s">
        <v>1626</v>
      </c>
      <c r="C19" s="20">
        <f ca="1">ROUND(D19*E19/10000,0)</f>
        <v>0</v>
      </c>
      <c r="D19" s="845">
        <f ca="1">IF(C1="",'数据-汇总表'!E5,IF(INDIRECT("'数据-取费表'!c"&amp;$K$1)="住宅",INDIRECT("'数据-取费表'!k"&amp;$K$1),0))</f>
        <v>0</v>
      </c>
      <c r="E19" s="20">
        <f>'数据-取费表'!B27</f>
        <v>80</v>
      </c>
      <c r="F19" s="803"/>
      <c r="G19" s="11"/>
      <c r="H19" s="1187"/>
      <c r="I19" s="808"/>
      <c r="J19" s="808"/>
      <c r="K19" s="809"/>
    </row>
    <row r="20" spans="1:33" s="802" customFormat="1" ht="13.5" customHeight="1">
      <c r="A20" s="799" t="s">
        <v>361</v>
      </c>
      <c r="B20" s="800" t="s">
        <v>1627</v>
      </c>
      <c r="C20" s="20">
        <f ca="1">ROUND(D20*E20/10000,0)</f>
        <v>269</v>
      </c>
      <c r="D20" s="845">
        <f ca="1">IF(C1="",'数据-汇总表'!E6,IF(INDIRECT("'数据-取费表'!c"&amp;$K$1)="住宅",INDIRECT("'数据-取费表'!s"&amp;$K$1),INDIRECT("'数据-取费表'!k"&amp;$K$1)+INDIRECT("'数据-取费表'!s"&amp;$K$1)))</f>
        <v>33618.589999999997</v>
      </c>
      <c r="E20" s="20">
        <f>'数据-取费表'!B28</f>
        <v>80</v>
      </c>
      <c r="F20" s="803"/>
      <c r="G20" s="11"/>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0.03</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0.03</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7" sqref="D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1925</v>
      </c>
      <c r="B1" s="196"/>
      <c r="C1" s="200" t="s">
        <v>1926</v>
      </c>
      <c r="D1" s="341">
        <f>SUM(D33:D34,D37:D42)</f>
        <v>33986.960000000006</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0" t="s">
        <v>1933</v>
      </c>
      <c r="B2" s="203">
        <f>C30</f>
        <v>6297</v>
      </c>
      <c r="C2" s="1997" t="s">
        <v>1934</v>
      </c>
      <c r="D2" s="1998" t="s">
        <v>1935</v>
      </c>
      <c r="E2" s="3417" t="s">
        <v>673</v>
      </c>
      <c r="F2" s="1998" t="s">
        <v>1936</v>
      </c>
      <c r="G2" s="1999" t="str">
        <f>IF(E2="商业",项目基本情况!B37,IF(E2="办公",项目基本情况!C37,IF(E2="住宅",项目基本情况!D37,IF(E2="工业",项目基本情况!E37,项目基本情况!F37))))</f>
        <v>十一级</v>
      </c>
      <c r="H2" s="1998" t="s">
        <v>1937</v>
      </c>
      <c r="I2" s="1999" t="str">
        <f>IF(E2="商业",项目基本情况!B38,IF(E2="办公",项目基本情况!C38,IF(E2="住宅",项目基本情况!D38,IF(E2="工业",项目基本情况!E38,项目基本情况!F38))))</f>
        <v>Ⅺ-平4</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6">
        <f>ROUND(SUMPRODUCT((B106:B110=R2)*(C105:N105=G2)*(C106:N110)),4)</f>
        <v>1.5418000000000001</v>
      </c>
      <c r="T2" s="3356">
        <f t="shared" ref="T2:T16" si="0">ROUND($C$5*$C$22*$C$23*$C$24*S2*$C$28,0)</f>
        <v>3294</v>
      </c>
      <c r="U2" s="1211"/>
      <c r="V2" s="3356">
        <f>ROUND(T2*U2/10000,0)</f>
        <v>0</v>
      </c>
      <c r="W2" s="1214"/>
      <c r="X2" s="1214"/>
      <c r="Y2" s="1214"/>
      <c r="Z2" s="1214"/>
      <c r="AA2" s="1214"/>
      <c r="AB2" s="1214"/>
      <c r="AC2" s="1215"/>
      <c r="AD2" s="1216"/>
      <c r="AE2" s="1216"/>
      <c r="AF2" s="1216"/>
      <c r="AG2" s="1216"/>
      <c r="AH2" s="1216"/>
      <c r="AI2" s="1216"/>
      <c r="AJ2" s="1217"/>
    </row>
    <row r="3" spans="1:36" ht="15.75">
      <c r="A3" s="202" t="s">
        <v>1939</v>
      </c>
      <c r="B3" s="203">
        <f>ROUND(B2*10000/D1,0)</f>
        <v>1853</v>
      </c>
      <c r="C3" s="1997" t="s">
        <v>1940</v>
      </c>
      <c r="D3" s="1998" t="s">
        <v>1941</v>
      </c>
      <c r="E3" s="3415" t="s">
        <v>2438</v>
      </c>
      <c r="F3" s="2002" t="s">
        <v>3471</v>
      </c>
      <c r="G3" s="751">
        <f>IF(F3="宗地容积率",'数据-汇总表'!I4,IF(F3="估价对象容积率",'数据-汇总表'!I6,'数据-汇总表'!I7))</f>
        <v>1</v>
      </c>
      <c r="H3" s="169"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6">
        <f>ROUND(SUMPRODUCT((B106:B110=R3)*(C105:N105=G2)*(C106:N110)),4)</f>
        <v>1.1883999999999999</v>
      </c>
      <c r="T3" s="3356">
        <f t="shared" si="0"/>
        <v>2539</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692"/>
      <c r="B4" s="3693"/>
      <c r="C4" s="3693"/>
      <c r="D4" s="3694"/>
      <c r="E4" s="3694"/>
      <c r="F4" s="3694"/>
      <c r="G4" s="3694"/>
      <c r="H4" s="3694"/>
      <c r="I4" s="3694"/>
      <c r="J4" s="3695"/>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6">
        <f>ROUND(SUMPRODUCT((B106:B110=R4)*(C105:N105=G2)*(C106:N110)),4)</f>
        <v>0.96940000000000004</v>
      </c>
      <c r="T4" s="3356">
        <f t="shared" si="0"/>
        <v>2071</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2">
        <f>ROUND(IF(E2="商业",C6*C7*C17+C20,(IF(E2="住宅",C6*C13*C17+C20,IF(E2="办公",C6*C12*C17+C20,C6+C20)))),0)</f>
        <v>2475</v>
      </c>
      <c r="D5" s="1337">
        <f>ROUND(C6*C17+C20,0)</f>
        <v>2475</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0">
        <v>4</v>
      </c>
      <c r="S5" s="3356">
        <f>ROUND(SUMPRODUCT((B106:B110=R5)*(C105:N105=G2)*(C106:N110)),4)</f>
        <v>0.82299999999999995</v>
      </c>
      <c r="T5" s="3356">
        <f t="shared" si="0"/>
        <v>1758</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3">
        <f>SUMIF(L1:L12,G2,M1:M12)</f>
        <v>2460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6">
        <f>ROUND(SUMPRODUCT((B106:B110=R6)*(C105:N105=G2)*(C106:N110)),4)</f>
        <v>0.74980000000000002</v>
      </c>
      <c r="T6" s="3356">
        <f t="shared" si="0"/>
        <v>1602</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3230</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4"/>
      <c r="T7" s="3356">
        <f t="shared" si="0"/>
        <v>0</v>
      </c>
      <c r="U7" s="1211"/>
      <c r="V7" s="3356">
        <f t="shared" si="1"/>
        <v>0</v>
      </c>
      <c r="W7" s="1356" t="s">
        <v>1954</v>
      </c>
      <c r="X7" s="1212" t="str">
        <f>G2</f>
        <v>十一级</v>
      </c>
      <c r="Y7" s="1212" t="s">
        <v>1955</v>
      </c>
      <c r="Z7" s="1213">
        <f>G3</f>
        <v>1</v>
      </c>
      <c r="AA7" s="1214"/>
      <c r="AB7" s="1214"/>
      <c r="AC7" s="1215"/>
      <c r="AD7" s="1216"/>
      <c r="AE7" s="1216"/>
      <c r="AF7" s="1216"/>
      <c r="AG7" s="1216"/>
      <c r="AH7" s="1216"/>
      <c r="AI7" s="1216"/>
      <c r="AJ7" s="1217"/>
    </row>
    <row r="8" spans="1:36" ht="25.5">
      <c r="A8" s="3294"/>
      <c r="B8" s="169" t="s">
        <v>1956</v>
      </c>
      <c r="C8" s="2024" t="s">
        <v>3472</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6">
        <f t="shared" si="0"/>
        <v>0</v>
      </c>
      <c r="U8" s="1211"/>
      <c r="V8" s="3356">
        <f t="shared" si="1"/>
        <v>0</v>
      </c>
      <c r="W8" s="3689" t="s">
        <v>1959</v>
      </c>
      <c r="X8" s="3690"/>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4"/>
      <c r="B9" s="169" t="s">
        <v>1972</v>
      </c>
      <c r="C9" s="757">
        <f>SUMIF(修正!C71:C138,C8,修正!E71:E138)</f>
        <v>0</v>
      </c>
      <c r="D9" s="170" t="s">
        <v>113</v>
      </c>
      <c r="E9" s="170"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0">
        <v>8</v>
      </c>
      <c r="S9" s="1211"/>
      <c r="T9" s="3356">
        <f t="shared" si="0"/>
        <v>0</v>
      </c>
      <c r="U9" s="1211"/>
      <c r="V9" s="3356">
        <f t="shared" si="1"/>
        <v>0</v>
      </c>
      <c r="W9" s="3691"/>
      <c r="X9" s="3357" t="s">
        <v>3260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1975</v>
      </c>
      <c r="C10" s="170">
        <f>SUMIF(修正!C71:C138,C8,修正!F71:F138)</f>
        <v>0</v>
      </c>
      <c r="D10" s="170" t="s">
        <v>114</v>
      </c>
      <c r="E10" s="170"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6">
        <f t="shared" si="0"/>
        <v>0</v>
      </c>
      <c r="U10" s="1211"/>
      <c r="V10" s="3356">
        <f t="shared" si="1"/>
        <v>0</v>
      </c>
      <c r="W10" s="369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2460</v>
      </c>
      <c r="N11" s="865">
        <f>SUMPRODUCT((因素修正幅度!B358:B377=I2)*(因素修正幅度!C3:G3=E2)*(因素修正幅度!C358:G377))</f>
        <v>0.15</v>
      </c>
      <c r="O11" s="1118"/>
      <c r="P11" s="1118"/>
      <c r="Q11" s="1118"/>
      <c r="R11" s="1210">
        <v>10</v>
      </c>
      <c r="S11" s="1211"/>
      <c r="T11" s="3356">
        <f t="shared" si="0"/>
        <v>0</v>
      </c>
      <c r="U11" s="1211"/>
      <c r="V11" s="3356">
        <f t="shared" si="1"/>
        <v>0</v>
      </c>
      <c r="W11" s="1214"/>
      <c r="X11" s="1214"/>
      <c r="Y11" s="1214"/>
      <c r="Z11" s="1214"/>
      <c r="AA11" s="1214"/>
      <c r="AB11" s="1214"/>
      <c r="AC11" s="1215"/>
      <c r="AD11" s="2786"/>
      <c r="AE11" s="2786"/>
      <c r="AF11" s="2786"/>
      <c r="AG11" s="2786"/>
      <c r="AH11" s="2786"/>
      <c r="AI11" s="2786"/>
      <c r="AJ11" s="2787"/>
    </row>
    <row r="12" spans="1:36" ht="25.5" thickBot="1">
      <c r="A12" s="3299" t="s">
        <v>3231</v>
      </c>
      <c r="B12" s="3300" t="s">
        <v>3232</v>
      </c>
      <c r="C12" s="3301">
        <v>1</v>
      </c>
      <c r="D12" s="3302" t="s">
        <v>3233</v>
      </c>
      <c r="E12" s="3303" t="s">
        <v>3234</v>
      </c>
      <c r="F12" s="3304"/>
      <c r="G12" s="3305"/>
      <c r="H12" s="3305"/>
      <c r="I12" s="3305"/>
      <c r="J12" s="3306"/>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6">
        <f t="shared" si="0"/>
        <v>0</v>
      </c>
      <c r="U12" s="1211"/>
      <c r="V12" s="3356">
        <f t="shared" si="1"/>
        <v>0</v>
      </c>
      <c r="W12" s="1214"/>
      <c r="X12" s="1214"/>
      <c r="Y12" s="1214"/>
      <c r="Z12" s="1214"/>
      <c r="AA12" s="1214"/>
      <c r="AB12" s="1214"/>
      <c r="AC12" s="1215"/>
      <c r="AD12" s="2786"/>
      <c r="AE12" s="2786"/>
      <c r="AF12" s="2786"/>
      <c r="AG12" s="2786"/>
      <c r="AH12" s="2786"/>
      <c r="AI12" s="2786"/>
      <c r="AJ12" s="2787"/>
    </row>
    <row r="13" spans="1:36" ht="15.75" thickBot="1">
      <c r="A13" s="3299" t="s">
        <v>3235</v>
      </c>
      <c r="B13" s="2032" t="s">
        <v>1981</v>
      </c>
      <c r="C13" s="754">
        <f>ROUND(C16*D16*E16*F16*G16*H16*I16*J16,4)</f>
        <v>0</v>
      </c>
      <c r="D13" s="2033" t="s">
        <v>1982</v>
      </c>
      <c r="E13" s="2034"/>
      <c r="F13" s="2034"/>
      <c r="G13" s="2035"/>
      <c r="H13" s="2035"/>
      <c r="I13" s="2035"/>
      <c r="J13" s="2036"/>
      <c r="K13" s="1118"/>
      <c r="L13" s="3295"/>
      <c r="M13" s="3296"/>
      <c r="N13" s="3297"/>
      <c r="O13" s="1118"/>
      <c r="P13" s="1118"/>
      <c r="Q13" s="1118"/>
      <c r="R13" s="1210">
        <v>12</v>
      </c>
      <c r="S13" s="1211"/>
      <c r="T13" s="3356">
        <f t="shared" si="0"/>
        <v>0</v>
      </c>
      <c r="U13" s="1211"/>
      <c r="V13" s="3356">
        <f t="shared" si="1"/>
        <v>0</v>
      </c>
      <c r="W13" s="1214"/>
      <c r="X13" s="1214"/>
      <c r="Y13" s="1214"/>
      <c r="Z13" s="1214"/>
      <c r="AA13" s="1214"/>
      <c r="AB13" s="1214"/>
      <c r="AC13" s="1215"/>
      <c r="AD13" s="2786"/>
      <c r="AE13" s="2786"/>
      <c r="AF13" s="2786"/>
      <c r="AG13" s="2786"/>
      <c r="AH13" s="2786"/>
      <c r="AI13" s="2786"/>
      <c r="AJ13" s="2787"/>
    </row>
    <row r="14" spans="1:36" ht="15">
      <c r="A14" s="3293"/>
      <c r="B14" s="2038" t="s">
        <v>1984</v>
      </c>
      <c r="C14" s="2039" t="s">
        <v>1985</v>
      </c>
      <c r="D14" s="1348" t="s">
        <v>1986</v>
      </c>
      <c r="E14" s="26" t="s">
        <v>1987</v>
      </c>
      <c r="F14" s="3307" t="s">
        <v>3236</v>
      </c>
      <c r="G14" s="3307" t="s">
        <v>3236</v>
      </c>
      <c r="H14" s="3307" t="s">
        <v>3236</v>
      </c>
      <c r="I14" s="3307" t="s">
        <v>3236</v>
      </c>
      <c r="J14" s="3307" t="s">
        <v>3236</v>
      </c>
      <c r="K14" s="1118"/>
      <c r="L14" s="1118"/>
      <c r="M14" s="1118"/>
      <c r="N14" s="1118"/>
      <c r="O14" s="1118"/>
      <c r="P14" s="1118"/>
      <c r="Q14" s="1118"/>
      <c r="R14" s="1210">
        <v>13</v>
      </c>
      <c r="S14" s="1211"/>
      <c r="T14" s="3356">
        <f t="shared" si="0"/>
        <v>0</v>
      </c>
      <c r="U14" s="1211"/>
      <c r="V14" s="3356">
        <f t="shared" si="1"/>
        <v>0</v>
      </c>
      <c r="W14" s="1214"/>
      <c r="X14" s="1214"/>
      <c r="Y14" s="1214"/>
      <c r="Z14" s="1214"/>
      <c r="AA14" s="1214"/>
      <c r="AB14" s="1214"/>
      <c r="AC14" s="1215"/>
      <c r="AD14" s="2786"/>
      <c r="AE14" s="2786"/>
      <c r="AF14" s="2786"/>
      <c r="AG14" s="2786"/>
      <c r="AH14" s="2786"/>
      <c r="AI14" s="2786"/>
      <c r="AJ14" s="2787"/>
    </row>
    <row r="15" spans="1:36" ht="15">
      <c r="A15" s="3293"/>
      <c r="B15" s="2040"/>
      <c r="C15" s="2041"/>
      <c r="D15" s="2042"/>
      <c r="E15" s="2043"/>
      <c r="F15" s="3308" t="s">
        <v>3237</v>
      </c>
      <c r="G15" s="3309"/>
      <c r="H15" s="3310"/>
      <c r="I15" s="3311"/>
      <c r="J15" s="3312"/>
      <c r="K15" s="1118"/>
      <c r="L15" s="1118"/>
      <c r="M15" s="1118"/>
      <c r="N15" s="1118"/>
      <c r="O15" s="1118"/>
      <c r="P15" s="1118"/>
      <c r="Q15" s="1118"/>
      <c r="R15" s="1210">
        <v>14</v>
      </c>
      <c r="S15" s="1211"/>
      <c r="T15" s="3356">
        <f t="shared" si="0"/>
        <v>0</v>
      </c>
      <c r="U15" s="1211"/>
      <c r="V15" s="3356">
        <f t="shared" si="1"/>
        <v>0</v>
      </c>
      <c r="W15" s="1214"/>
      <c r="X15" s="1214"/>
      <c r="Y15" s="1214"/>
      <c r="Z15" s="1214"/>
      <c r="AA15" s="1214"/>
      <c r="AB15" s="1214"/>
      <c r="AC15" s="1215"/>
      <c r="AD15" s="2786"/>
      <c r="AE15" s="2786"/>
      <c r="AF15" s="2786"/>
      <c r="AG15" s="2786"/>
      <c r="AH15" s="2786"/>
      <c r="AI15" s="2786"/>
      <c r="AJ15" s="2787"/>
    </row>
    <row r="16" spans="1:36" ht="15.75" thickBot="1">
      <c r="A16" s="3293"/>
      <c r="B16" s="3315" t="s">
        <v>1988</v>
      </c>
      <c r="C16" s="3313"/>
      <c r="D16" s="3313"/>
      <c r="E16" s="3313"/>
      <c r="F16" s="3313">
        <v>1</v>
      </c>
      <c r="G16" s="3313">
        <v>1</v>
      </c>
      <c r="H16" s="3313">
        <v>1</v>
      </c>
      <c r="I16" s="3313">
        <v>1</v>
      </c>
      <c r="J16" s="3314">
        <v>1</v>
      </c>
      <c r="K16" s="1118"/>
      <c r="L16" s="1995"/>
      <c r="M16" s="1995"/>
      <c r="N16" s="1995"/>
      <c r="O16" s="1995"/>
      <c r="P16" s="1995"/>
      <c r="Q16" s="1118"/>
      <c r="R16" s="1210">
        <v>15</v>
      </c>
      <c r="S16" s="1211"/>
      <c r="T16" s="3356">
        <f t="shared" si="0"/>
        <v>0</v>
      </c>
      <c r="U16" s="1211"/>
      <c r="V16" s="3356">
        <f t="shared" si="1"/>
        <v>0</v>
      </c>
      <c r="W16" s="1214"/>
      <c r="X16" s="1214"/>
      <c r="Y16" s="1214"/>
      <c r="Z16" s="1214"/>
      <c r="AA16" s="1214"/>
      <c r="AB16" s="1214"/>
      <c r="AC16" s="1215"/>
      <c r="AD16" s="2786"/>
      <c r="AE16" s="2786"/>
      <c r="AF16" s="2786"/>
      <c r="AG16" s="2786"/>
      <c r="AH16" s="2786"/>
      <c r="AI16" s="2786"/>
      <c r="AJ16" s="2787"/>
    </row>
    <row r="17" spans="1:37">
      <c r="A17" s="3325" t="s">
        <v>3238</v>
      </c>
      <c r="B17" s="3316" t="s">
        <v>3239</v>
      </c>
      <c r="C17" s="3326">
        <f>ROUND(IF(OR(E2="工业",E2="公共服务"),1,IF(AND(E18=0,E19=0),1,IF(AND(E18=J24,E19=G19),0.8,IF(E19=0,1+E17*(-0.2),1+E17*G17*(-0.2))))),4)</f>
        <v>1</v>
      </c>
      <c r="D17" s="3317" t="s">
        <v>3240</v>
      </c>
      <c r="E17" s="3326">
        <f>ROUND(G18/I18,2)</f>
        <v>0</v>
      </c>
      <c r="F17" s="3317" t="s">
        <v>3243</v>
      </c>
      <c r="G17" s="3326">
        <f>ROUND(E19/G19,2)</f>
        <v>1</v>
      </c>
      <c r="H17" s="3326"/>
      <c r="I17" s="3326"/>
      <c r="J17" s="3327"/>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8"/>
      <c r="B18" s="3005"/>
      <c r="C18" s="3323"/>
      <c r="D18" s="3318" t="s">
        <v>3241</v>
      </c>
      <c r="E18" s="3324"/>
      <c r="F18" s="3319" t="s">
        <v>3244</v>
      </c>
      <c r="G18" s="3323">
        <f>ROUND(1-(1/(POWER(1+G24,E18))),4)</f>
        <v>0</v>
      </c>
      <c r="H18" s="3319" t="s">
        <v>3246</v>
      </c>
      <c r="I18" s="3323">
        <f>ROUND(1-(1/(POWER(1+G24,J24))),4)</f>
        <v>0.88249999999999995</v>
      </c>
      <c r="J18" s="3329"/>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0"/>
      <c r="B19" s="3331"/>
      <c r="C19" s="3332"/>
      <c r="D19" s="3332" t="s">
        <v>3242</v>
      </c>
      <c r="E19" s="3333">
        <v>100</v>
      </c>
      <c r="F19" s="3334" t="s">
        <v>3245</v>
      </c>
      <c r="G19" s="3333">
        <v>100</v>
      </c>
      <c r="H19" s="3332"/>
      <c r="I19" s="3332"/>
      <c r="J19" s="3335"/>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696" t="s">
        <v>3247</v>
      </c>
      <c r="B20" s="166" t="s">
        <v>1993</v>
      </c>
      <c r="C20" s="3320">
        <f>ROUND(IF(F21="与级别开发程度一致",0,(G21-E21)/C21),0)</f>
        <v>15</v>
      </c>
      <c r="D20" s="3336" t="s">
        <v>1997</v>
      </c>
      <c r="E20" s="3337"/>
      <c r="F20" s="3702" t="s">
        <v>1994</v>
      </c>
      <c r="G20" s="3703"/>
      <c r="H20" s="3321" t="s">
        <v>3474</v>
      </c>
      <c r="I20" s="3321" t="s">
        <v>3475</v>
      </c>
      <c r="J20" s="3322" t="s">
        <v>3477</v>
      </c>
      <c r="K20" s="2045" t="s">
        <v>3476</v>
      </c>
      <c r="L20" s="2045" t="s">
        <v>3478</v>
      </c>
      <c r="M20" s="2045" t="s">
        <v>3479</v>
      </c>
      <c r="N20" s="2045" t="s">
        <v>3480</v>
      </c>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26.25" thickBot="1">
      <c r="A21" s="3697"/>
      <c r="B21" s="2162" t="s">
        <v>1996</v>
      </c>
      <c r="C21" s="2163">
        <f>IF(E3="M4科研用地",SUMPRODUCT((修正!A2:A7=E3)*(修正!B1:M1=G2)*(修正!B2:M7)),SUMPRODUCT((修正!A2:A7=E2)*(修正!B1:M1=G2)*(修正!B2:M7)))</f>
        <v>2</v>
      </c>
      <c r="D21" s="186" t="str">
        <f>IF(OR(G2="八级",G2="九级",G2="十级",G2="十一级",G2="十二级"),"五通一平","七通一平")</f>
        <v>五通一平</v>
      </c>
      <c r="E21" s="2153">
        <f>SUMPRODUCT((修正!B1:M1=G2)*(修正!B17:M17))</f>
        <v>185</v>
      </c>
      <c r="F21" s="2154" t="s">
        <v>3473</v>
      </c>
      <c r="G21" s="2155">
        <f>SUM(H21:O21)</f>
        <v>215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30</v>
      </c>
      <c r="N21" s="2163">
        <f>SUMPRODUCT((七通一平=N20)*(修正!B1:M1=G2)*(修正!B8:M16))</f>
        <v>10</v>
      </c>
      <c r="O21" s="2165">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0.9</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2" t="s">
        <v>2001</v>
      </c>
      <c r="E23" s="760">
        <v>44197</v>
      </c>
      <c r="F23" s="2052" t="s">
        <v>2002</v>
      </c>
      <c r="G23" s="761">
        <f>'数据-取费表'!B2</f>
        <v>45565</v>
      </c>
      <c r="H23" s="3338" t="s">
        <v>3248</v>
      </c>
      <c r="I23" s="3339" t="str">
        <f>IF(H23="季度增幅（自定义）",SUMIF(N25:N28,E2,O25:O28),"")</f>
        <v/>
      </c>
      <c r="J23" s="3441" t="s">
        <v>3521</v>
      </c>
      <c r="K23" s="1124"/>
      <c r="L23" s="2053" t="s">
        <v>2003</v>
      </c>
      <c r="M23" s="1326">
        <f>ROUND(SUMIF(地价!B2:G2,E2,地价!B16:G16),0)</f>
        <v>350</v>
      </c>
      <c r="N23" s="2054" t="s">
        <v>2004</v>
      </c>
      <c r="O23" s="762">
        <f>ROUNDDOWN(DATEDIF(E23,G23,"M")/3,0)</f>
        <v>14</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f>ROUND(POWER(1+G24,J24-I24)*(POWER(1+G24,I24)-1)/(POWER(1+G24,J24)-1),4)</f>
        <v>0.94410000000000005</v>
      </c>
      <c r="D24" s="2058" t="s">
        <v>2006</v>
      </c>
      <c r="E24" s="1333">
        <f>存贷款利率!E26/100</f>
        <v>4.3499999999999997E-2</v>
      </c>
      <c r="F24" s="2058" t="s">
        <v>1998</v>
      </c>
      <c r="G24" s="767">
        <f>SUMIF(M30:Q30,E2,M33:Q33)</f>
        <v>5.5E-2</v>
      </c>
      <c r="H24" s="2058" t="s">
        <v>2007</v>
      </c>
      <c r="I24" s="768">
        <f>SUMIF('数据-取费表'!C6:C15,E2,'数据-取费表'!F6:F15)/COUNTIF('数据-取费表'!C6:C15,E2)</f>
        <v>33.450000000000003</v>
      </c>
      <c r="J24" s="769">
        <f>IF(E2="住宅",70,IF(E2="商业",40,50))</f>
        <v>40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3327</v>
      </c>
      <c r="C25" s="770">
        <f>IF(B25="容积率修正",IF(G3&lt;10,D26,J26),C27)</f>
        <v>1.2333000000000001</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0" t="s">
        <v>3249</v>
      </c>
      <c r="D26" s="1350">
        <f>IF(E26=G26,F26,IF(G3&lt;10,ROUND(F26+(H26-F26)*(G3-E26)/(G26-E26),4),"——"))</f>
        <v>1.2333000000000001</v>
      </c>
      <c r="E26" s="751">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0" t="s">
        <v>3250</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0.97370000000000001</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f>IF(B25="容积率修正",E33+SUM(E37:E42),SUM(V2:V16)+SUM(E37:E42))</f>
        <v>6297</v>
      </c>
      <c r="D30" s="2081"/>
      <c r="E30" s="2044"/>
      <c r="F30" s="2082"/>
      <c r="G30" s="2044"/>
      <c r="H30" s="2044"/>
      <c r="I30" s="2044"/>
      <c r="J30" s="2083"/>
      <c r="K30" s="1118"/>
      <c r="L30" s="3346" t="s">
        <v>1935</v>
      </c>
      <c r="M30" s="3347" t="s">
        <v>1989</v>
      </c>
      <c r="N30" s="3347" t="s">
        <v>1990</v>
      </c>
      <c r="O30" s="3347" t="s">
        <v>1991</v>
      </c>
      <c r="P30" s="3347" t="s">
        <v>1992</v>
      </c>
      <c r="Q30" s="3350" t="s">
        <v>3254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f>E34+SUM(I37:I42)</f>
        <v>61</v>
      </c>
      <c r="D31" s="2085"/>
      <c r="E31" s="2086"/>
      <c r="F31" s="2087"/>
      <c r="G31" s="2086"/>
      <c r="H31" s="2086"/>
      <c r="I31" s="2086"/>
      <c r="J31" s="2088"/>
      <c r="K31" s="1118"/>
      <c r="L31" s="3348" t="s">
        <v>1995</v>
      </c>
      <c r="M31" s="1998">
        <v>0.25</v>
      </c>
      <c r="N31" s="1998">
        <v>0.2</v>
      </c>
      <c r="O31" s="1998">
        <v>0.15</v>
      </c>
      <c r="P31" s="1998">
        <v>0.1</v>
      </c>
      <c r="Q31" s="3343">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49" t="s">
        <v>1998</v>
      </c>
      <c r="M32" s="2567">
        <f>ROUND($E$24*(1+M31),3)</f>
        <v>5.3999999999999999E-2</v>
      </c>
      <c r="N32" s="2567">
        <f>ROUND($E$24*(1+N31),3)</f>
        <v>5.1999999999999998E-2</v>
      </c>
      <c r="O32" s="2567">
        <f>ROUND($E$24*(1+O31),3)</f>
        <v>0.05</v>
      </c>
      <c r="P32" s="2567">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4">
        <f>ROUND(C5*C22*C23*C24*C25*C28,0)</f>
        <v>2635</v>
      </c>
      <c r="D33" s="3842">
        <f>'数据-基础表'!A3</f>
        <v>22981.550000000003</v>
      </c>
      <c r="E33" s="772">
        <f>ROUND(C33*D33/10000,0)</f>
        <v>6056</v>
      </c>
      <c r="F33" s="3341" t="s">
        <v>3252</v>
      </c>
      <c r="G33" s="2097"/>
      <c r="H33" s="2097"/>
      <c r="I33" s="2097"/>
      <c r="J33" s="2098"/>
      <c r="K33" s="1118"/>
      <c r="L33" s="3344" t="s">
        <v>3255</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6">
        <f>ROUND(IF(E2="工业",C33*M42,IF(B25="楼层修正",SUM(V2:V16)*M41*10000/D34,C33*M41)),0)</f>
        <v>659</v>
      </c>
      <c r="D34" s="2101"/>
      <c r="E34" s="772">
        <f>ROUND(IF(B25="楼层修正",SUM(V2:V16)*M40,C34*D34/10000),0)</f>
        <v>0</v>
      </c>
      <c r="F34" s="2102" t="s">
        <v>2031</v>
      </c>
      <c r="G34" s="2103"/>
      <c r="H34" s="2103"/>
      <c r="I34" s="2103"/>
      <c r="J34" s="2104"/>
      <c r="K34" s="1118"/>
      <c r="L34" s="3344" t="s">
        <v>3256</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2" t="s">
        <v>3253</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2026</v>
      </c>
      <c r="D36" s="446" t="s">
        <v>2027</v>
      </c>
      <c r="E36" s="446" t="s">
        <v>2028</v>
      </c>
      <c r="F36" s="341" t="s">
        <v>2034</v>
      </c>
      <c r="G36" s="2110" t="s">
        <v>2026</v>
      </c>
      <c r="H36" s="2110" t="s">
        <v>2027</v>
      </c>
      <c r="I36" s="2110" t="s">
        <v>2028</v>
      </c>
      <c r="J36" s="242"/>
      <c r="K36" s="3352" t="s">
        <v>3257</v>
      </c>
      <c r="L36" s="3442">
        <f ca="1">'数据-取费表'!B40</f>
        <v>3.3500000000000002E-2</v>
      </c>
      <c r="M36" s="3353">
        <f ca="1">ROUND($L$36*(1+M31),3)</f>
        <v>4.2000000000000003E-2</v>
      </c>
      <c r="N36" s="3353">
        <f ca="1">ROUND($L$36*(1+N31),3)</f>
        <v>0.04</v>
      </c>
      <c r="O36" s="3353">
        <f ca="1">ROUND($L$36*(1+O31),3)</f>
        <v>3.9E-2</v>
      </c>
      <c r="P36" s="3353">
        <f ca="1">ROUND($L$36*(1+P31),3)</f>
        <v>3.6999999999999998E-2</v>
      </c>
      <c r="Q36" s="3353">
        <f ca="1">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00"/>
      <c r="B37" s="2111" t="s">
        <v>2035</v>
      </c>
      <c r="C37" s="174">
        <f>ROUND(D5*C22*C23*C24*C28*F37,0)</f>
        <v>1068</v>
      </c>
      <c r="D37" s="2096"/>
      <c r="E37" s="170">
        <f>ROUND(C37*D37/10000,0)</f>
        <v>0</v>
      </c>
      <c r="F37" s="170">
        <f>SUMIF(修正!A57:A68,G2,修正!B57:B68)</f>
        <v>0.5</v>
      </c>
      <c r="G37" s="170">
        <f>ROUND(IF(E2="工业",C37*$M$42,C37*$M$41),0)</f>
        <v>267</v>
      </c>
      <c r="H37" s="170">
        <f>D37</f>
        <v>0</v>
      </c>
      <c r="I37" s="170">
        <f>ROUND(G37*H37/10000,0)</f>
        <v>0</v>
      </c>
      <c r="J37" s="3007"/>
      <c r="K37" s="3354" t="s">
        <v>3258</v>
      </c>
      <c r="L37" s="3352">
        <f ca="1">L36+K38</f>
        <v>3.85E-2</v>
      </c>
      <c r="M37" s="3353">
        <f ca="1">ROUND($L$37*(1+M31),3)</f>
        <v>4.8000000000000001E-2</v>
      </c>
      <c r="N37" s="3353">
        <f t="shared" ref="N37:Q37" ca="1" si="3">ROUND($L$37*(1+N31),3)</f>
        <v>4.5999999999999999E-2</v>
      </c>
      <c r="O37" s="3353">
        <f t="shared" ca="1" si="3"/>
        <v>4.3999999999999997E-2</v>
      </c>
      <c r="P37" s="3353">
        <f t="shared" ca="1" si="3"/>
        <v>4.2000000000000003E-2</v>
      </c>
      <c r="Q37" s="3353">
        <f t="shared" ca="1"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01"/>
      <c r="B38" s="2039" t="s">
        <v>2036</v>
      </c>
      <c r="C38" s="174">
        <f>ROUND(D5*C22*C23*C24*C28*F38,0)</f>
        <v>427</v>
      </c>
      <c r="D38" s="2096"/>
      <c r="E38" s="170">
        <f t="shared" ref="E38:E42" si="4">ROUND(C38*D38/10000,0)</f>
        <v>0</v>
      </c>
      <c r="F38" s="170">
        <f>SUMIF(修正!A57:A68,G2,修正!C57:C68)</f>
        <v>0.2</v>
      </c>
      <c r="G38" s="170">
        <f>ROUND(IF(E2="工业",C38*$M$42,C38*$M$41),0)</f>
        <v>107</v>
      </c>
      <c r="H38" s="170">
        <f t="shared" ref="H38:H42" si="5">D38</f>
        <v>0</v>
      </c>
      <c r="I38" s="170">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701"/>
      <c r="B39" s="2039" t="s">
        <v>3251</v>
      </c>
      <c r="C39" s="174">
        <f>ROUND(D5*C22*C23*C24*C28*F39,0)</f>
        <v>427</v>
      </c>
      <c r="D39" s="2096"/>
      <c r="E39" s="170">
        <f t="shared" si="4"/>
        <v>0</v>
      </c>
      <c r="F39" s="170">
        <f>SUMIF(修正!A57:A68,G2,修正!D57:D68)</f>
        <v>0.2</v>
      </c>
      <c r="G39" s="170">
        <f>ROUND(IF(E2="工业",C39*$M$42,C39*$M$41),0)</f>
        <v>107</v>
      </c>
      <c r="H39" s="170">
        <f t="shared" si="5"/>
        <v>0</v>
      </c>
      <c r="I39" s="170">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0">
        <f>ROUND(D5*C22*C23*C24*C28*F40,0)</f>
        <v>427</v>
      </c>
      <c r="D40" s="2096"/>
      <c r="E40" s="170">
        <f t="shared" si="4"/>
        <v>0</v>
      </c>
      <c r="F40" s="174">
        <f>SUMIF(修正!A57:A68,G2,修正!E57:E68)</f>
        <v>0.2</v>
      </c>
      <c r="G40" s="170">
        <f>ROUND(IF(E2="工业",C40*$M$42,C40*$M$41),0)</f>
        <v>107</v>
      </c>
      <c r="H40" s="170">
        <f t="shared" si="5"/>
        <v>0</v>
      </c>
      <c r="I40" s="170">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0">
        <f>ROUND(D5*C22*C23*C44*C28*F41,0)</f>
        <v>439</v>
      </c>
      <c r="D41" s="2096"/>
      <c r="E41" s="170">
        <f t="shared" si="4"/>
        <v>0</v>
      </c>
      <c r="F41" s="174">
        <f>SUMIF(修正!A57:A68,G2,修正!F57:F68)</f>
        <v>0.2</v>
      </c>
      <c r="G41" s="170">
        <f>ROUND(IF(E2="工业",C41*$M$42,C41*$M$41),0)</f>
        <v>110</v>
      </c>
      <c r="H41" s="170">
        <f t="shared" si="5"/>
        <v>0</v>
      </c>
      <c r="I41" s="170">
        <f t="shared" si="6"/>
        <v>0</v>
      </c>
      <c r="J41" s="2112"/>
      <c r="L41" s="3355" t="s">
        <v>3259</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6">
        <f>ROUND(D5*C22*C23*C44*C28*F42,0)</f>
        <v>219</v>
      </c>
      <c r="D42" s="2101">
        <f>'数据-汇总表'!G19</f>
        <v>11005.41</v>
      </c>
      <c r="E42" s="186">
        <f t="shared" si="4"/>
        <v>241</v>
      </c>
      <c r="F42" s="766">
        <f>SUMIF(修正!A57:A68,G2,修正!G57:G68)</f>
        <v>0.1</v>
      </c>
      <c r="G42" s="186">
        <f>ROUND(IF(E2="工业",C42*$M$42,C42*$M$41),0)</f>
        <v>55</v>
      </c>
      <c r="H42" s="186">
        <f t="shared" si="5"/>
        <v>11005.41</v>
      </c>
      <c r="I42" s="186">
        <f t="shared" si="6"/>
        <v>61</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1">
        <f>ROUND(POWER(1+E44,H44-G44)*(POWER(1+E44,G44)-1)/(POWER(1+E44,H44)-1),4)</f>
        <v>0.96899999999999997</v>
      </c>
      <c r="D44" s="170" t="s">
        <v>1998</v>
      </c>
      <c r="E44" s="2151">
        <f>G24</f>
        <v>5.5E-2</v>
      </c>
      <c r="F44" s="170" t="s">
        <v>2007</v>
      </c>
      <c r="G44" s="182">
        <f>项目基本情况!F15</f>
        <v>43.46</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0.97370000000000001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t="s">
        <v>3481</v>
      </c>
      <c r="D50" s="1064">
        <f t="shared" ref="D50:D58" si="7">SUMIF($J$49:$N$49,C50,J50:N50)</f>
        <v>-2.2499999999999999E-2</v>
      </c>
      <c r="E50" s="743">
        <f>ROUND(SUM(D50:D58),4)</f>
        <v>-2.63E-2</v>
      </c>
      <c r="F50" s="1812">
        <f>IF(E2="商业",SUMIF(L1:L12,G2,N1:N12),"——")</f>
        <v>0.15</v>
      </c>
      <c r="G50" s="1062">
        <f>H50</f>
        <v>2.2499999999999999E-2</v>
      </c>
      <c r="H50" s="1065">
        <f t="shared" ref="H50:H58" si="8">IFERROR(ROUNDDOWN($F$50*I50/2,4),"——")</f>
        <v>2.2499999999999999E-2</v>
      </c>
      <c r="I50" s="3362">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t="s">
        <v>3481</v>
      </c>
      <c r="D51" s="1064">
        <f t="shared" si="7"/>
        <v>-1.6500000000000001E-2</v>
      </c>
      <c r="E51" s="744"/>
      <c r="F51" s="1812"/>
      <c r="G51" s="1062">
        <f t="shared" ref="G51:G58" si="12">H51</f>
        <v>1.6500000000000001E-2</v>
      </c>
      <c r="H51" s="1065">
        <f t="shared" si="8"/>
        <v>1.6500000000000001E-2</v>
      </c>
      <c r="I51" s="3362">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4" t="s">
        <v>3261</v>
      </c>
      <c r="B52" s="2132">
        <f>估价对象房地状况!C19</f>
        <v>0</v>
      </c>
      <c r="C52" s="2042" t="s">
        <v>3482</v>
      </c>
      <c r="D52" s="1064">
        <f t="shared" si="7"/>
        <v>8.9999999999999993E-3</v>
      </c>
      <c r="E52" s="744"/>
      <c r="F52" s="1812"/>
      <c r="G52" s="1062">
        <f t="shared" si="12"/>
        <v>8.9999999999999993E-3</v>
      </c>
      <c r="H52" s="1065">
        <f t="shared" si="8"/>
        <v>8.9999999999999993E-3</v>
      </c>
      <c r="I52" s="3362">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8" t="s">
        <v>2053</v>
      </c>
      <c r="B53" s="2133" t="s">
        <v>2054</v>
      </c>
      <c r="C53" s="2042" t="s">
        <v>3482</v>
      </c>
      <c r="D53" s="1064">
        <f t="shared" si="7"/>
        <v>3.7000000000000002E-3</v>
      </c>
      <c r="E53" s="744"/>
      <c r="F53" s="1812"/>
      <c r="G53" s="1062">
        <f t="shared" si="12"/>
        <v>3.7000000000000002E-3</v>
      </c>
      <c r="H53" s="1065">
        <f t="shared" si="8"/>
        <v>3.7000000000000002E-3</v>
      </c>
      <c r="I53" s="3362">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t="s">
        <v>3483</v>
      </c>
      <c r="D54" s="1064">
        <f t="shared" si="7"/>
        <v>0</v>
      </c>
      <c r="E54" s="744"/>
      <c r="F54" s="1812"/>
      <c r="G54" s="1062">
        <f t="shared" si="12"/>
        <v>6.0000000000000001E-3</v>
      </c>
      <c r="H54" s="1065">
        <f t="shared" si="8"/>
        <v>6.0000000000000001E-3</v>
      </c>
      <c r="I54" s="3362">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8" t="s">
        <v>2056</v>
      </c>
      <c r="B55" s="2134" t="s">
        <v>2057</v>
      </c>
      <c r="C55" s="2042" t="s">
        <v>3482</v>
      </c>
      <c r="D55" s="1064">
        <f t="shared" si="7"/>
        <v>3.7000000000000002E-3</v>
      </c>
      <c r="E55" s="744"/>
      <c r="F55" s="1812"/>
      <c r="G55" s="1062">
        <f t="shared" si="12"/>
        <v>3.7000000000000002E-3</v>
      </c>
      <c r="H55" s="1065">
        <f t="shared" si="8"/>
        <v>3.7000000000000002E-3</v>
      </c>
      <c r="I55" s="3362">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5" t="s">
        <v>2058</v>
      </c>
      <c r="B56" s="1324" t="str">
        <f>估价对象房地状况!C21</f>
        <v>估价对象所在区域公共配套设施齐备情况</v>
      </c>
      <c r="C56" s="2042" t="s">
        <v>3484</v>
      </c>
      <c r="D56" s="1064">
        <f t="shared" si="7"/>
        <v>-7.4000000000000003E-3</v>
      </c>
      <c r="E56" s="744"/>
      <c r="F56" s="1812"/>
      <c r="G56" s="1062">
        <f t="shared" si="12"/>
        <v>3.7000000000000002E-3</v>
      </c>
      <c r="H56" s="1065">
        <f t="shared" si="8"/>
        <v>3.7000000000000002E-3</v>
      </c>
      <c r="I56" s="3362">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t="s">
        <v>3483</v>
      </c>
      <c r="D57" s="1064">
        <f t="shared" si="7"/>
        <v>0</v>
      </c>
      <c r="E57" s="744"/>
      <c r="F57" s="1812"/>
      <c r="G57" s="1062">
        <f t="shared" si="12"/>
        <v>6.0000000000000001E-3</v>
      </c>
      <c r="H57" s="1065">
        <f t="shared" si="8"/>
        <v>6.0000000000000001E-3</v>
      </c>
      <c r="I57" s="3362">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t="s">
        <v>3482</v>
      </c>
      <c r="D58" s="1064">
        <f t="shared" si="7"/>
        <v>3.7000000000000002E-3</v>
      </c>
      <c r="E58" s="745"/>
      <c r="F58" s="1812"/>
      <c r="G58" s="1062">
        <f t="shared" si="12"/>
        <v>3.7000000000000002E-3</v>
      </c>
      <c r="H58" s="1065">
        <f t="shared" si="8"/>
        <v>3.7000000000000002E-3</v>
      </c>
      <c r="I58" s="3363">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3">SUMIF($J$60:$N$60,C61,J61:N61)</f>
        <v>0</v>
      </c>
      <c r="E61" s="743">
        <f>ROUND(SUM(D61:D69),4)</f>
        <v>0</v>
      </c>
      <c r="F61" s="1812" t="str">
        <f>IF(E2="办公",SUMIF(L1:L12,G2,N1:N12),"——")</f>
        <v>——</v>
      </c>
      <c r="G61" s="1062"/>
      <c r="H61" s="1065" t="str">
        <f t="shared" ref="H61:H69" si="14">IFERROR(ROUNDDOWN($F$61*I61/2,4),"——")</f>
        <v>——</v>
      </c>
      <c r="I61" s="3362">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3"/>
        <v>0</v>
      </c>
      <c r="E62" s="744"/>
      <c r="F62" s="1812"/>
      <c r="G62" s="1062"/>
      <c r="H62" s="1065" t="str">
        <f t="shared" si="14"/>
        <v>——</v>
      </c>
      <c r="I62" s="3362">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4" t="s">
        <v>3261</v>
      </c>
      <c r="B63" s="2132">
        <f>估价对象房地状况!C19</f>
        <v>0</v>
      </c>
      <c r="C63" s="2042"/>
      <c r="D63" s="1064">
        <f t="shared" si="13"/>
        <v>0</v>
      </c>
      <c r="E63" s="744"/>
      <c r="F63" s="1812"/>
      <c r="G63" s="1062"/>
      <c r="H63" s="1065" t="str">
        <f t="shared" si="14"/>
        <v>——</v>
      </c>
      <c r="I63" s="3362">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3"/>
        <v>0</v>
      </c>
      <c r="E64" s="744"/>
      <c r="F64" s="1812"/>
      <c r="G64" s="1062"/>
      <c r="H64" s="1065" t="str">
        <f t="shared" si="14"/>
        <v>——</v>
      </c>
      <c r="I64" s="3362">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3"/>
        <v>0</v>
      </c>
      <c r="E65" s="744"/>
      <c r="F65" s="1812"/>
      <c r="G65" s="1062"/>
      <c r="H65" s="1065" t="str">
        <f t="shared" si="14"/>
        <v>——</v>
      </c>
      <c r="I65" s="3362">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3"/>
        <v>0</v>
      </c>
      <c r="E66" s="744"/>
      <c r="F66" s="1812"/>
      <c r="G66" s="1062"/>
      <c r="H66" s="1065" t="str">
        <f t="shared" si="14"/>
        <v>——</v>
      </c>
      <c r="I66" s="3362">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8" t="s">
        <v>2058</v>
      </c>
      <c r="B67" s="1324" t="str">
        <f>估价对象房地状况!C21</f>
        <v>估价对象所在区域公共配套设施齐备情况</v>
      </c>
      <c r="C67" s="2042"/>
      <c r="D67" s="1064">
        <f t="shared" si="13"/>
        <v>0</v>
      </c>
      <c r="E67" s="744"/>
      <c r="F67" s="1812"/>
      <c r="G67" s="1062"/>
      <c r="H67" s="1065" t="str">
        <f t="shared" si="14"/>
        <v>——</v>
      </c>
      <c r="I67" s="3362">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8" t="s">
        <v>2059</v>
      </c>
      <c r="B68" s="1324" t="str">
        <f>估价对象房地状况!C22</f>
        <v>估价对象所在区域基础设施水平</v>
      </c>
      <c r="C68" s="2042"/>
      <c r="D68" s="1064">
        <f t="shared" si="13"/>
        <v>0</v>
      </c>
      <c r="E68" s="744"/>
      <c r="F68" s="1812"/>
      <c r="G68" s="1062"/>
      <c r="H68" s="1065" t="str">
        <f t="shared" si="14"/>
        <v>——</v>
      </c>
      <c r="I68" s="3362">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3"/>
        <v>0</v>
      </c>
      <c r="E69" s="745"/>
      <c r="F69" s="1812"/>
      <c r="G69" s="1062"/>
      <c r="H69" s="1065" t="str">
        <f t="shared" si="14"/>
        <v>——</v>
      </c>
      <c r="I69" s="3363">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8">SUMIF($J$71:$N$71,C72,J72:N72)</f>
        <v>0</v>
      </c>
      <c r="E72" s="743">
        <f>ROUND(SUM(D72:D80),4)</f>
        <v>0</v>
      </c>
      <c r="F72" s="1812" t="str">
        <f>IF(E2="住宅",SUMIF(L1:L12,G2,N1:N12),"——")</f>
        <v>——</v>
      </c>
      <c r="G72" s="1062"/>
      <c r="H72" s="1065" t="str">
        <f t="shared" ref="H72:H80" si="19">IFERROR(ROUNDDOWN($F$72*I72/2,4),"——")</f>
        <v>——</v>
      </c>
      <c r="I72" s="3362">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8"/>
        <v>0</v>
      </c>
      <c r="E73" s="746"/>
      <c r="F73" s="1812"/>
      <c r="G73" s="1062"/>
      <c r="H73" s="1065" t="str">
        <f t="shared" si="19"/>
        <v>——</v>
      </c>
      <c r="I73" s="3362">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5" customFormat="1" ht="36">
      <c r="A74" s="3364" t="s">
        <v>3261</v>
      </c>
      <c r="B74" s="2132">
        <f>估价对象房地状况!C19</f>
        <v>0</v>
      </c>
      <c r="C74" s="2042"/>
      <c r="D74" s="1064">
        <f t="shared" si="18"/>
        <v>0</v>
      </c>
      <c r="E74" s="746"/>
      <c r="F74" s="1812"/>
      <c r="G74" s="1062"/>
      <c r="H74" s="1065" t="str">
        <f t="shared" si="19"/>
        <v>——</v>
      </c>
      <c r="I74" s="3362">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8"/>
        <v>0</v>
      </c>
      <c r="E75" s="746"/>
      <c r="F75" s="1812"/>
      <c r="G75" s="1062"/>
      <c r="H75" s="1065" t="str">
        <f t="shared" si="19"/>
        <v>——</v>
      </c>
      <c r="I75" s="3362">
        <v>0.05</v>
      </c>
      <c r="J75" s="1063">
        <f t="shared" si="20"/>
        <v>0</v>
      </c>
      <c r="K75" s="1063">
        <f t="shared" si="21"/>
        <v>0</v>
      </c>
      <c r="L75" s="1063">
        <v>0</v>
      </c>
      <c r="M75" s="1063">
        <f t="shared" si="22"/>
        <v>0</v>
      </c>
      <c r="N75" s="1063">
        <f t="shared" si="22"/>
        <v>0</v>
      </c>
      <c r="O75" s="1118"/>
      <c r="P75" s="1118"/>
      <c r="Q75" s="1995"/>
      <c r="Z75" s="1996"/>
      <c r="AA75" s="2051"/>
      <c r="AG75" s="1120"/>
      <c r="AK75" s="2051"/>
    </row>
    <row r="76" spans="1:37" ht="25.5">
      <c r="A76" s="2128" t="s">
        <v>2058</v>
      </c>
      <c r="B76" s="1324" t="str">
        <f>估价对象房地状况!C21</f>
        <v>估价对象所在区域公共配套设施齐备情况</v>
      </c>
      <c r="C76" s="2042"/>
      <c r="D76" s="1064">
        <f t="shared" si="18"/>
        <v>0</v>
      </c>
      <c r="E76" s="746"/>
      <c r="F76" s="1812"/>
      <c r="G76" s="1062"/>
      <c r="H76" s="1065" t="str">
        <f t="shared" si="19"/>
        <v>——</v>
      </c>
      <c r="I76" s="3362">
        <v>0.08</v>
      </c>
      <c r="J76" s="1063">
        <f t="shared" si="20"/>
        <v>0</v>
      </c>
      <c r="K76" s="1063">
        <f t="shared" si="21"/>
        <v>0</v>
      </c>
      <c r="L76" s="1063">
        <v>0</v>
      </c>
      <c r="M76" s="1063">
        <f t="shared" si="22"/>
        <v>0</v>
      </c>
      <c r="N76" s="1063">
        <f t="shared" si="22"/>
        <v>0</v>
      </c>
      <c r="O76" s="1118"/>
      <c r="P76" s="1118"/>
      <c r="Z76" s="1996"/>
      <c r="AA76" s="2051"/>
      <c r="AG76" s="1120"/>
      <c r="AK76" s="2051"/>
    </row>
    <row r="77" spans="1:37" ht="25.5">
      <c r="A77" s="2128" t="s">
        <v>2059</v>
      </c>
      <c r="B77" s="1324" t="str">
        <f>估价对象房地状况!C22</f>
        <v>估价对象所在区域基础设施水平</v>
      </c>
      <c r="C77" s="2042"/>
      <c r="D77" s="1064">
        <f t="shared" si="18"/>
        <v>0</v>
      </c>
      <c r="E77" s="746"/>
      <c r="F77" s="1812"/>
      <c r="G77" s="1062"/>
      <c r="H77" s="1065" t="str">
        <f t="shared" si="19"/>
        <v>——</v>
      </c>
      <c r="I77" s="3362">
        <v>0.09</v>
      </c>
      <c r="J77" s="1063">
        <f t="shared" si="20"/>
        <v>0</v>
      </c>
      <c r="K77" s="1063">
        <f t="shared" si="21"/>
        <v>0</v>
      </c>
      <c r="L77" s="1063">
        <v>0</v>
      </c>
      <c r="M77" s="1063">
        <f t="shared" si="22"/>
        <v>0</v>
      </c>
      <c r="N77" s="1063">
        <f t="shared" si="22"/>
        <v>0</v>
      </c>
      <c r="O77" s="1118"/>
      <c r="P77" s="1118"/>
      <c r="Z77" s="1996"/>
      <c r="AA77" s="2051"/>
      <c r="AG77" s="1120"/>
      <c r="AK77" s="2051"/>
    </row>
    <row r="78" spans="1:37" ht="24">
      <c r="A78" s="2128" t="s">
        <v>2056</v>
      </c>
      <c r="B78" s="2134" t="s">
        <v>2057</v>
      </c>
      <c r="C78" s="2042"/>
      <c r="D78" s="1064">
        <f t="shared" si="18"/>
        <v>0</v>
      </c>
      <c r="E78" s="746"/>
      <c r="F78" s="1812"/>
      <c r="G78" s="1062"/>
      <c r="H78" s="1065" t="str">
        <f t="shared" si="19"/>
        <v>——</v>
      </c>
      <c r="I78" s="3362">
        <v>0.05</v>
      </c>
      <c r="J78" s="1063">
        <f t="shared" si="20"/>
        <v>0</v>
      </c>
      <c r="K78" s="1063">
        <f t="shared" si="21"/>
        <v>0</v>
      </c>
      <c r="L78" s="1063">
        <v>0</v>
      </c>
      <c r="M78" s="1063">
        <f t="shared" si="22"/>
        <v>0</v>
      </c>
      <c r="N78" s="1063">
        <f t="shared" si="22"/>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8"/>
        <v>0</v>
      </c>
      <c r="E79" s="746"/>
      <c r="F79" s="1812"/>
      <c r="G79" s="1062"/>
      <c r="H79" s="1065" t="str">
        <f t="shared" si="19"/>
        <v>——</v>
      </c>
      <c r="I79" s="3362">
        <v>0.12</v>
      </c>
      <c r="J79" s="1063">
        <f t="shared" si="20"/>
        <v>0</v>
      </c>
      <c r="K79" s="1063">
        <f t="shared" si="21"/>
        <v>0</v>
      </c>
      <c r="L79" s="1063">
        <v>0</v>
      </c>
      <c r="M79" s="1063">
        <f t="shared" si="22"/>
        <v>0</v>
      </c>
      <c r="N79" s="1063">
        <f t="shared" si="22"/>
        <v>0</v>
      </c>
      <c r="Z79" s="1996"/>
      <c r="AA79" s="2051"/>
      <c r="AG79" s="1120"/>
      <c r="AK79" s="2051"/>
    </row>
    <row r="80" spans="1:37" ht="24.75" thickBot="1">
      <c r="A80" s="2136" t="s">
        <v>2067</v>
      </c>
      <c r="B80" s="2140"/>
      <c r="C80" s="2042"/>
      <c r="D80" s="1064">
        <f t="shared" si="18"/>
        <v>0</v>
      </c>
      <c r="E80" s="747"/>
      <c r="F80" s="1812"/>
      <c r="G80" s="1062"/>
      <c r="H80" s="1065" t="str">
        <f t="shared" si="19"/>
        <v>——</v>
      </c>
      <c r="I80" s="3363">
        <v>0.05</v>
      </c>
      <c r="J80" s="1063">
        <f t="shared" si="20"/>
        <v>0</v>
      </c>
      <c r="K80" s="1063">
        <f t="shared" si="21"/>
        <v>0</v>
      </c>
      <c r="L80" s="1063">
        <v>0</v>
      </c>
      <c r="M80" s="1063">
        <f t="shared" si="22"/>
        <v>0</v>
      </c>
      <c r="N80" s="1063">
        <f t="shared" si="22"/>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1" t="s">
        <v>1721</v>
      </c>
      <c r="K82" s="551" t="s">
        <v>1722</v>
      </c>
      <c r="L82" s="551" t="s">
        <v>1723</v>
      </c>
      <c r="M82" s="551" t="s">
        <v>1724</v>
      </c>
      <c r="N82" s="551"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3">SUMIF($J$82:$N$82,C83,J83:N83)</f>
        <v>0</v>
      </c>
      <c r="E83" s="743">
        <f>ROUND(SUM(D83:D90),4)</f>
        <v>0</v>
      </c>
      <c r="F83" s="1812" t="str">
        <f>IF(E2="工业",SUMIF(L1:L12,G2,N1:N12),"——")</f>
        <v>——</v>
      </c>
      <c r="G83" s="1062"/>
      <c r="H83" s="1065" t="str">
        <f t="shared" ref="H83:H90" si="24">IFERROR(ROUNDDOWN($F$83*I83/2,4),"——")</f>
        <v>——</v>
      </c>
      <c r="I83" s="3362">
        <v>0.26</v>
      </c>
      <c r="J83" s="1063">
        <f t="shared" ref="J83:J90" si="25">K83+$G83</f>
        <v>0</v>
      </c>
      <c r="K83" s="1063">
        <f t="shared" ref="K83:K90" si="26">$L83+$G83</f>
        <v>0</v>
      </c>
      <c r="L83" s="1063">
        <v>0</v>
      </c>
      <c r="M83" s="1063">
        <f t="shared" ref="M83:N90" si="27">L83-$G83</f>
        <v>0</v>
      </c>
      <c r="N83" s="1063">
        <f t="shared" si="27"/>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3"/>
        <v>0</v>
      </c>
      <c r="E84" s="746"/>
      <c r="F84" s="1812"/>
      <c r="G84" s="1062"/>
      <c r="H84" s="1065" t="str">
        <f t="shared" si="24"/>
        <v>——</v>
      </c>
      <c r="I84" s="3362">
        <v>0.3</v>
      </c>
      <c r="J84" s="1063">
        <f t="shared" si="25"/>
        <v>0</v>
      </c>
      <c r="K84" s="1063">
        <f t="shared" si="26"/>
        <v>0</v>
      </c>
      <c r="L84" s="1063">
        <v>0</v>
      </c>
      <c r="M84" s="1063">
        <f t="shared" si="27"/>
        <v>0</v>
      </c>
      <c r="N84" s="1063">
        <f t="shared" si="27"/>
        <v>0</v>
      </c>
      <c r="Z84" s="1996"/>
      <c r="AA84" s="2051"/>
      <c r="AG84" s="1120"/>
      <c r="AK84" s="2051"/>
    </row>
    <row r="85" spans="1:37" ht="36">
      <c r="A85" s="3364" t="s">
        <v>3262</v>
      </c>
      <c r="B85" s="2132">
        <f>估价对象房地状况!G17</f>
        <v>0</v>
      </c>
      <c r="C85" s="2042"/>
      <c r="D85" s="1064">
        <f t="shared" si="23"/>
        <v>0</v>
      </c>
      <c r="E85" s="746"/>
      <c r="F85" s="1812"/>
      <c r="G85" s="1062"/>
      <c r="H85" s="1065" t="str">
        <f t="shared" si="24"/>
        <v>——</v>
      </c>
      <c r="I85" s="3362">
        <v>0.1</v>
      </c>
      <c r="J85" s="1063">
        <f t="shared" si="25"/>
        <v>0</v>
      </c>
      <c r="K85" s="1063">
        <f t="shared" si="26"/>
        <v>0</v>
      </c>
      <c r="L85" s="1063">
        <v>0</v>
      </c>
      <c r="M85" s="1063">
        <f t="shared" si="27"/>
        <v>0</v>
      </c>
      <c r="N85" s="1063">
        <f t="shared" si="27"/>
        <v>0</v>
      </c>
      <c r="Z85" s="1996"/>
      <c r="AA85" s="2051"/>
      <c r="AG85" s="1120"/>
      <c r="AK85" s="2051"/>
    </row>
    <row r="86" spans="1:37" ht="14.25">
      <c r="A86" s="2128" t="s">
        <v>2066</v>
      </c>
      <c r="B86" s="2132">
        <f>估价对象房地状况!G22</f>
        <v>0</v>
      </c>
      <c r="C86" s="2042"/>
      <c r="D86" s="1064">
        <f t="shared" si="23"/>
        <v>0</v>
      </c>
      <c r="E86" s="746"/>
      <c r="F86" s="1812"/>
      <c r="G86" s="1062"/>
      <c r="H86" s="1065" t="str">
        <f t="shared" si="24"/>
        <v>——</v>
      </c>
      <c r="I86" s="3362">
        <v>0.05</v>
      </c>
      <c r="J86" s="1063">
        <f t="shared" si="25"/>
        <v>0</v>
      </c>
      <c r="K86" s="1063">
        <f t="shared" si="26"/>
        <v>0</v>
      </c>
      <c r="L86" s="1063">
        <v>0</v>
      </c>
      <c r="M86" s="1063">
        <f t="shared" si="27"/>
        <v>0</v>
      </c>
      <c r="N86" s="1063">
        <f t="shared" si="27"/>
        <v>0</v>
      </c>
      <c r="Z86" s="1996"/>
      <c r="AA86" s="2051"/>
      <c r="AG86" s="1120"/>
      <c r="AK86" s="2051"/>
    </row>
    <row r="87" spans="1:37" ht="25.5">
      <c r="A87" s="2128" t="s">
        <v>2058</v>
      </c>
      <c r="B87" s="1324" t="str">
        <f>估价对象房地状况!G19</f>
        <v>估价对象所在区域公共配套设施齐备情况</v>
      </c>
      <c r="C87" s="2042"/>
      <c r="D87" s="1064">
        <f t="shared" si="23"/>
        <v>0</v>
      </c>
      <c r="E87" s="746"/>
      <c r="F87" s="1812"/>
      <c r="G87" s="1062"/>
      <c r="H87" s="1065" t="str">
        <f t="shared" si="24"/>
        <v>——</v>
      </c>
      <c r="I87" s="3362">
        <v>0.06</v>
      </c>
      <c r="J87" s="1063">
        <f t="shared" si="25"/>
        <v>0</v>
      </c>
      <c r="K87" s="1063">
        <f t="shared" si="26"/>
        <v>0</v>
      </c>
      <c r="L87" s="1063">
        <v>0</v>
      </c>
      <c r="M87" s="1063">
        <f t="shared" si="27"/>
        <v>0</v>
      </c>
      <c r="N87" s="1063">
        <f t="shared" si="27"/>
        <v>0</v>
      </c>
    </row>
    <row r="88" spans="1:37" ht="25.5">
      <c r="A88" s="2128" t="s">
        <v>2059</v>
      </c>
      <c r="B88" s="1324" t="str">
        <f>估价对象房地状况!G20</f>
        <v>估价对象所在区域基础设施水平</v>
      </c>
      <c r="C88" s="2042"/>
      <c r="D88" s="1064">
        <f t="shared" si="23"/>
        <v>0</v>
      </c>
      <c r="E88" s="746"/>
      <c r="F88" s="1812"/>
      <c r="G88" s="1062"/>
      <c r="H88" s="1065" t="str">
        <f t="shared" si="24"/>
        <v>——</v>
      </c>
      <c r="I88" s="3362">
        <v>0.12</v>
      </c>
      <c r="J88" s="1063">
        <f t="shared" si="25"/>
        <v>0</v>
      </c>
      <c r="K88" s="1063">
        <f t="shared" si="26"/>
        <v>0</v>
      </c>
      <c r="L88" s="1063">
        <v>0</v>
      </c>
      <c r="M88" s="1063">
        <f t="shared" si="27"/>
        <v>0</v>
      </c>
      <c r="N88" s="1063">
        <f t="shared" si="27"/>
        <v>0</v>
      </c>
    </row>
    <row r="89" spans="1:37" ht="24">
      <c r="A89" s="2128" t="s">
        <v>2056</v>
      </c>
      <c r="B89" s="2134" t="s">
        <v>2070</v>
      </c>
      <c r="C89" s="2042"/>
      <c r="D89" s="1064">
        <f t="shared" si="23"/>
        <v>0</v>
      </c>
      <c r="E89" s="746"/>
      <c r="F89" s="1812"/>
      <c r="G89" s="1062"/>
      <c r="H89" s="1065" t="str">
        <f t="shared" si="24"/>
        <v>——</v>
      </c>
      <c r="I89" s="3362">
        <v>0.06</v>
      </c>
      <c r="J89" s="1063">
        <f t="shared" si="25"/>
        <v>0</v>
      </c>
      <c r="K89" s="1063">
        <f t="shared" si="26"/>
        <v>0</v>
      </c>
      <c r="L89" s="1063">
        <v>0</v>
      </c>
      <c r="M89" s="1063">
        <f t="shared" si="27"/>
        <v>0</v>
      </c>
      <c r="N89" s="1063">
        <f t="shared" si="27"/>
        <v>0</v>
      </c>
    </row>
    <row r="90" spans="1:37" ht="39" thickBot="1">
      <c r="A90" s="2136" t="s">
        <v>2071</v>
      </c>
      <c r="B90" s="2141" t="str">
        <f>估价对象房地状况!G18</f>
        <v>该园区内是否有污染型企业，绿化情况，卫生条件，整体环境状况判断</v>
      </c>
      <c r="C90" s="2042"/>
      <c r="D90" s="1064">
        <f t="shared" si="23"/>
        <v>0</v>
      </c>
      <c r="E90" s="747"/>
      <c r="F90" s="1812"/>
      <c r="G90" s="1062"/>
      <c r="H90" s="1065" t="str">
        <f t="shared" si="24"/>
        <v>——</v>
      </c>
      <c r="I90" s="3363">
        <v>0.05</v>
      </c>
      <c r="J90" s="1063">
        <f t="shared" si="25"/>
        <v>0</v>
      </c>
      <c r="K90" s="1063">
        <f t="shared" si="26"/>
        <v>0</v>
      </c>
      <c r="L90" s="1063">
        <v>0</v>
      </c>
      <c r="M90" s="1063">
        <f t="shared" si="27"/>
        <v>0</v>
      </c>
      <c r="N90" s="1063">
        <f t="shared" si="27"/>
        <v>0</v>
      </c>
    </row>
    <row r="91" spans="1:37" ht="15">
      <c r="A91" s="3372" t="s">
        <v>2605</v>
      </c>
      <c r="B91" s="3373">
        <f>1+E93</f>
        <v>1</v>
      </c>
      <c r="C91" s="3366"/>
      <c r="D91" s="3367"/>
      <c r="E91" s="1812"/>
      <c r="F91" s="1812"/>
      <c r="G91" s="3368"/>
      <c r="H91" s="3369"/>
      <c r="I91" s="3370"/>
      <c r="J91" s="3371"/>
      <c r="K91" s="3371"/>
      <c r="L91" s="3371"/>
      <c r="M91" s="3371"/>
      <c r="N91" s="3371"/>
    </row>
    <row r="92" spans="1:37" ht="24.75">
      <c r="A92" s="3374" t="s">
        <v>3263</v>
      </c>
      <c r="B92" s="3361"/>
      <c r="C92" s="3361" t="s">
        <v>3272</v>
      </c>
      <c r="D92" s="3361" t="s">
        <v>3273</v>
      </c>
      <c r="E92" s="3343" t="s">
        <v>3274</v>
      </c>
      <c r="F92" s="3376" t="s">
        <v>3275</v>
      </c>
      <c r="G92" s="3361" t="s">
        <v>3276</v>
      </c>
      <c r="H92" s="3383" t="s">
        <v>3279</v>
      </c>
      <c r="I92" s="3361" t="s">
        <v>3280</v>
      </c>
      <c r="J92" s="3384" t="s">
        <v>3281</v>
      </c>
      <c r="K92" s="3384" t="s">
        <v>3282</v>
      </c>
      <c r="L92" s="3384" t="s">
        <v>3283</v>
      </c>
      <c r="M92" s="3384" t="s">
        <v>3284</v>
      </c>
      <c r="N92" s="3384" t="s">
        <v>3285</v>
      </c>
    </row>
    <row r="93" spans="1:37" ht="24">
      <c r="A93" s="3364" t="s">
        <v>3264</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3265</v>
      </c>
      <c r="B94" s="3365" t="str">
        <f>估价对象房地状况!C18</f>
        <v>估价对象周边道路状况、公共交通通达情况、停车便捷程度，综合评价交通便捷度较好</v>
      </c>
      <c r="C94" s="2042"/>
      <c r="D94" s="3361">
        <f t="shared" ref="D94:D101" si="31">SUMIF($J$60:$N$60,C94,J94:N94)</f>
        <v>0</v>
      </c>
      <c r="E94" s="3378"/>
      <c r="F94" s="1812"/>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3261</v>
      </c>
      <c r="B95" s="3365">
        <f>估价对象房地状况!C19</f>
        <v>0</v>
      </c>
      <c r="C95" s="2042"/>
      <c r="D95" s="3361">
        <f t="shared" si="31"/>
        <v>0</v>
      </c>
      <c r="E95" s="3378"/>
      <c r="F95" s="1812"/>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3266</v>
      </c>
      <c r="B96" s="3380" t="s">
        <v>3277</v>
      </c>
      <c r="C96" s="2042"/>
      <c r="D96" s="3361">
        <f t="shared" si="31"/>
        <v>0</v>
      </c>
      <c r="E96" s="3378"/>
      <c r="F96" s="1812"/>
      <c r="G96" s="3368"/>
      <c r="H96" s="3416" t="str">
        <f t="shared" si="32"/>
        <v>——</v>
      </c>
      <c r="I96" s="3362">
        <v>0.05</v>
      </c>
      <c r="J96" s="3340">
        <f t="shared" si="28"/>
        <v>0</v>
      </c>
      <c r="K96" s="3340">
        <f t="shared" si="29"/>
        <v>0</v>
      </c>
      <c r="L96" s="3340">
        <v>0</v>
      </c>
      <c r="M96" s="3340">
        <f t="shared" si="30"/>
        <v>0</v>
      </c>
      <c r="N96" s="3340">
        <f t="shared" si="30"/>
        <v>0</v>
      </c>
    </row>
    <row r="97" spans="1:14" ht="24">
      <c r="A97" s="3374" t="s">
        <v>3267</v>
      </c>
      <c r="B97" s="3365">
        <f>估价对象房地状况!C24</f>
        <v>0</v>
      </c>
      <c r="C97" s="2042"/>
      <c r="D97" s="3361">
        <f t="shared" si="31"/>
        <v>0</v>
      </c>
      <c r="E97" s="3378"/>
      <c r="F97" s="1812"/>
      <c r="G97" s="3368"/>
      <c r="H97" s="3416" t="str">
        <f t="shared" si="32"/>
        <v>——</v>
      </c>
      <c r="I97" s="3362">
        <v>0.05</v>
      </c>
      <c r="J97" s="3340">
        <f t="shared" si="28"/>
        <v>0</v>
      </c>
      <c r="K97" s="3340">
        <f t="shared" si="29"/>
        <v>0</v>
      </c>
      <c r="L97" s="3340">
        <v>0</v>
      </c>
      <c r="M97" s="3340">
        <f t="shared" si="30"/>
        <v>0</v>
      </c>
      <c r="N97" s="3340">
        <f t="shared" si="30"/>
        <v>0</v>
      </c>
    </row>
    <row r="98" spans="1:14" ht="24">
      <c r="A98" s="3374" t="s">
        <v>3268</v>
      </c>
      <c r="B98" s="3381" t="s">
        <v>3278</v>
      </c>
      <c r="C98" s="2042"/>
      <c r="D98" s="3361">
        <f t="shared" si="31"/>
        <v>0</v>
      </c>
      <c r="E98" s="3378"/>
      <c r="F98" s="1812"/>
      <c r="G98" s="3368"/>
      <c r="H98" s="3416" t="str">
        <f t="shared" si="32"/>
        <v>——</v>
      </c>
      <c r="I98" s="3362">
        <v>0.06</v>
      </c>
      <c r="J98" s="3340">
        <f t="shared" si="28"/>
        <v>0</v>
      </c>
      <c r="K98" s="3340">
        <f t="shared" si="29"/>
        <v>0</v>
      </c>
      <c r="L98" s="3340">
        <v>0</v>
      </c>
      <c r="M98" s="3340">
        <f t="shared" si="30"/>
        <v>0</v>
      </c>
      <c r="N98" s="3340">
        <f t="shared" si="30"/>
        <v>0</v>
      </c>
    </row>
    <row r="99" spans="1:14" ht="25.5">
      <c r="A99" s="3374" t="s">
        <v>3269</v>
      </c>
      <c r="B99" s="3365" t="str">
        <f>估价对象房地状况!C21</f>
        <v>估价对象所在区域公共配套设施齐备情况</v>
      </c>
      <c r="C99" s="2042"/>
      <c r="D99" s="3361">
        <f t="shared" si="31"/>
        <v>0</v>
      </c>
      <c r="E99" s="3378"/>
      <c r="F99" s="1812"/>
      <c r="G99" s="3368"/>
      <c r="H99" s="3416" t="str">
        <f t="shared" si="32"/>
        <v>——</v>
      </c>
      <c r="I99" s="3362">
        <v>0.06</v>
      </c>
      <c r="J99" s="3340">
        <f t="shared" si="28"/>
        <v>0</v>
      </c>
      <c r="K99" s="3340">
        <f t="shared" si="29"/>
        <v>0</v>
      </c>
      <c r="L99" s="3340">
        <v>0</v>
      </c>
      <c r="M99" s="3340">
        <f t="shared" si="30"/>
        <v>0</v>
      </c>
      <c r="N99" s="3340">
        <f t="shared" si="30"/>
        <v>0</v>
      </c>
    </row>
    <row r="100" spans="1:14" ht="25.5">
      <c r="A100" s="3374" t="s">
        <v>3270</v>
      </c>
      <c r="B100" s="3365" t="str">
        <f>估价对象房地状况!C22</f>
        <v>估价对象所在区域基础设施水平</v>
      </c>
      <c r="C100" s="2042"/>
      <c r="D100" s="3361">
        <f t="shared" si="31"/>
        <v>0</v>
      </c>
      <c r="E100" s="3378"/>
      <c r="F100" s="1812"/>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3271</v>
      </c>
      <c r="B101" s="3382" t="str">
        <f>估价对象房地状况!C20</f>
        <v>区域自然环境：；人文环境；综合评价环境状况一般</v>
      </c>
      <c r="C101" s="2042"/>
      <c r="D101" s="3361">
        <f t="shared" si="31"/>
        <v>0</v>
      </c>
      <c r="E101" s="3379"/>
      <c r="F101" s="1812"/>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698" t="s">
        <v>3286</v>
      </c>
      <c r="B103" s="3698"/>
      <c r="C103" s="3698"/>
      <c r="D103" s="3698"/>
      <c r="E103" s="3698"/>
      <c r="F103" s="3698"/>
      <c r="G103" s="3698"/>
      <c r="H103" s="3698"/>
      <c r="I103" s="3698"/>
      <c r="J103" s="3698"/>
      <c r="K103" s="3385"/>
      <c r="L103" s="3385"/>
      <c r="M103" s="3385"/>
      <c r="N103" s="3385"/>
    </row>
    <row r="104" spans="1:14">
      <c r="A104" s="3699" t="s">
        <v>3287</v>
      </c>
      <c r="B104" s="3699" t="s">
        <v>3288</v>
      </c>
      <c r="C104" s="3386" t="s">
        <v>3289</v>
      </c>
      <c r="D104" s="3387"/>
      <c r="E104" s="3387"/>
      <c r="F104" s="3387"/>
      <c r="G104" s="3387"/>
      <c r="H104" s="3387"/>
      <c r="I104" s="3387"/>
      <c r="J104" s="3388"/>
      <c r="K104" s="3389"/>
      <c r="L104" s="3389"/>
      <c r="M104" s="3389"/>
      <c r="N104" s="3389"/>
    </row>
    <row r="105" spans="1:14">
      <c r="A105" s="3699"/>
      <c r="B105" s="3699"/>
      <c r="C105" s="3390" t="s">
        <v>3290</v>
      </c>
      <c r="D105" s="3390" t="s">
        <v>3291</v>
      </c>
      <c r="E105" s="3390" t="s">
        <v>3292</v>
      </c>
      <c r="F105" s="3390" t="s">
        <v>3293</v>
      </c>
      <c r="G105" s="3390" t="s">
        <v>3294</v>
      </c>
      <c r="H105" s="3390" t="s">
        <v>3295</v>
      </c>
      <c r="I105" s="3390" t="s">
        <v>3296</v>
      </c>
      <c r="J105" s="3390" t="s">
        <v>3297</v>
      </c>
      <c r="K105" s="3390" t="s">
        <v>3298</v>
      </c>
      <c r="L105" s="3390" t="s">
        <v>3299</v>
      </c>
      <c r="M105" s="3390" t="s">
        <v>3300</v>
      </c>
      <c r="N105" s="3390" t="s">
        <v>3301</v>
      </c>
    </row>
    <row r="106" spans="1:14">
      <c r="A106" s="3685" t="s">
        <v>3302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8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8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8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8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86"/>
      <c r="B111" s="3390" t="s">
        <v>3260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687"/>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688" t="s">
        <v>3303</v>
      </c>
      <c r="B113" s="3688"/>
      <c r="C113" s="3688"/>
      <c r="D113" s="3688"/>
      <c r="E113" s="3688"/>
      <c r="F113" s="3688"/>
      <c r="G113" s="3688"/>
      <c r="H113" s="3688"/>
      <c r="I113" s="3688"/>
      <c r="J113" s="368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3304</v>
      </c>
      <c r="B116" s="3411">
        <f>G3</f>
        <v>1</v>
      </c>
      <c r="C116" s="3395" t="s">
        <v>3305</v>
      </c>
      <c r="D116" s="3396">
        <f>SUMPRODUCT((A118:A122=F116)*(B117:M117=H116)*B118:M122)</f>
        <v>0.8306</v>
      </c>
      <c r="E116" s="1998" t="s">
        <v>3306</v>
      </c>
      <c r="F116" s="3397" t="str">
        <f>E2</f>
        <v>商业</v>
      </c>
      <c r="G116" s="1998" t="s">
        <v>3307</v>
      </c>
      <c r="H116" s="3397" t="str">
        <f>G2</f>
        <v>十一级</v>
      </c>
      <c r="I116" s="1998"/>
      <c r="J116" s="3398"/>
      <c r="K116" s="3398"/>
      <c r="L116" s="3398"/>
      <c r="M116" s="3398"/>
      <c r="N116" s="3393"/>
    </row>
    <row r="117" spans="1:14">
      <c r="A117" s="3399"/>
      <c r="B117" s="3400" t="s">
        <v>3308</v>
      </c>
      <c r="C117" s="3400" t="s">
        <v>3309</v>
      </c>
      <c r="D117" s="3400" t="s">
        <v>3310</v>
      </c>
      <c r="E117" s="3401" t="s">
        <v>3311</v>
      </c>
      <c r="F117" s="3401" t="s">
        <v>3312</v>
      </c>
      <c r="G117" s="3401" t="s">
        <v>3313</v>
      </c>
      <c r="H117" s="3402" t="s">
        <v>3314</v>
      </c>
      <c r="I117" s="3402" t="s">
        <v>3315</v>
      </c>
      <c r="J117" s="3403" t="s">
        <v>3316</v>
      </c>
      <c r="K117" s="3403" t="s">
        <v>3317</v>
      </c>
      <c r="L117" s="3403" t="s">
        <v>3318</v>
      </c>
      <c r="M117" s="3404" t="s">
        <v>3319</v>
      </c>
      <c r="N117" s="3393"/>
    </row>
    <row r="118" spans="1:14">
      <c r="A118" s="3405" t="s">
        <v>3320</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6">I118</f>
        <v>0.8306</v>
      </c>
      <c r="K118" s="3383">
        <f t="shared" si="36"/>
        <v>0.8306</v>
      </c>
      <c r="L118" s="3383">
        <f t="shared" si="36"/>
        <v>0.8306</v>
      </c>
      <c r="M118" s="3406">
        <f t="shared" si="36"/>
        <v>0.8306</v>
      </c>
      <c r="N118" s="3393"/>
    </row>
    <row r="119" spans="1:14">
      <c r="A119" s="3405" t="s">
        <v>3321</v>
      </c>
      <c r="B119" s="3383">
        <f>ROUND(0.993-0.0112*B116,4)</f>
        <v>0.98180000000000001</v>
      </c>
      <c r="C119" s="3383">
        <f>B119</f>
        <v>0.98180000000000001</v>
      </c>
      <c r="D119" s="3383">
        <f>ROUND(0.9415-0.0142*B116,4)</f>
        <v>0.92730000000000001</v>
      </c>
      <c r="E119" s="3383">
        <f t="shared" ref="E119:H120" si="37">D119</f>
        <v>0.92730000000000001</v>
      </c>
      <c r="F119" s="3383">
        <f t="shared" si="37"/>
        <v>0.92730000000000001</v>
      </c>
      <c r="G119" s="3383">
        <f t="shared" si="37"/>
        <v>0.92730000000000001</v>
      </c>
      <c r="H119" s="3383">
        <f t="shared" si="37"/>
        <v>0.92730000000000001</v>
      </c>
      <c r="I119" s="3383">
        <f>ROUND(0.838-0.0182*B116,4)</f>
        <v>0.81979999999999997</v>
      </c>
      <c r="J119" s="3383">
        <f t="shared" si="36"/>
        <v>0.81979999999999997</v>
      </c>
      <c r="K119" s="3383">
        <f t="shared" si="36"/>
        <v>0.81979999999999997</v>
      </c>
      <c r="L119" s="3383">
        <f t="shared" si="36"/>
        <v>0.81979999999999997</v>
      </c>
      <c r="M119" s="3406">
        <f t="shared" si="36"/>
        <v>0.81979999999999997</v>
      </c>
      <c r="N119" s="3393"/>
    </row>
    <row r="120" spans="1:14">
      <c r="A120" s="3405" t="s">
        <v>3322</v>
      </c>
      <c r="B120" s="3383">
        <f>ROUND(0.9448-0.0115*B116,4)</f>
        <v>0.93330000000000002</v>
      </c>
      <c r="C120" s="3383">
        <f>B120</f>
        <v>0.93330000000000002</v>
      </c>
      <c r="D120" s="3383">
        <f>ROUND(0.937-0.0145*B116,4)</f>
        <v>0.92249999999999999</v>
      </c>
      <c r="E120" s="3383">
        <f t="shared" si="37"/>
        <v>0.92249999999999999</v>
      </c>
      <c r="F120" s="3383">
        <f t="shared" si="37"/>
        <v>0.92249999999999999</v>
      </c>
      <c r="G120" s="3383">
        <f t="shared" si="37"/>
        <v>0.92249999999999999</v>
      </c>
      <c r="H120" s="3383">
        <f t="shared" si="37"/>
        <v>0.92249999999999999</v>
      </c>
      <c r="I120" s="3383">
        <f>ROUND(0.7965-0.0185*B116,4)</f>
        <v>0.77800000000000002</v>
      </c>
      <c r="J120" s="3383">
        <f t="shared" si="36"/>
        <v>0.77800000000000002</v>
      </c>
      <c r="K120" s="3383">
        <f t="shared" si="36"/>
        <v>0.77800000000000002</v>
      </c>
      <c r="L120" s="3383">
        <f t="shared" si="36"/>
        <v>0.77800000000000002</v>
      </c>
      <c r="M120" s="3406">
        <f t="shared" si="36"/>
        <v>0.77800000000000002</v>
      </c>
      <c r="N120" s="3393"/>
    </row>
    <row r="121" spans="1:14" ht="13.5" thickBot="1">
      <c r="A121" s="3407" t="s">
        <v>3323</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6"/>
        <v>0.57150000000000001</v>
      </c>
      <c r="K121" s="3408">
        <f t="shared" si="36"/>
        <v>0.57150000000000001</v>
      </c>
      <c r="L121" s="3408">
        <f t="shared" si="36"/>
        <v>0.57150000000000001</v>
      </c>
      <c r="M121" s="3409">
        <f t="shared" si="36"/>
        <v>0.57150000000000001</v>
      </c>
      <c r="N121" s="3393"/>
    </row>
    <row r="122" spans="1:14">
      <c r="A122" s="3410" t="s">
        <v>2605</v>
      </c>
      <c r="B122" s="3383">
        <f>ROUND(0.9404-0.0106*B116,4)</f>
        <v>0.92979999999999996</v>
      </c>
      <c r="C122" s="3383">
        <f>B122</f>
        <v>0.92979999999999996</v>
      </c>
      <c r="D122" s="3383">
        <f>ROUND(0.8955-0.0135*B116,4)</f>
        <v>0.88200000000000001</v>
      </c>
      <c r="E122" s="3383">
        <f t="shared" ref="E122:H122" si="38">D122</f>
        <v>0.88200000000000001</v>
      </c>
      <c r="F122" s="3383">
        <f t="shared" si="38"/>
        <v>0.88200000000000001</v>
      </c>
      <c r="G122" s="3383">
        <f t="shared" si="38"/>
        <v>0.88200000000000001</v>
      </c>
      <c r="H122" s="3383">
        <f t="shared" si="38"/>
        <v>0.88200000000000001</v>
      </c>
      <c r="I122" s="3383">
        <f>ROUND(0.7632-0.0166*B116,4)</f>
        <v>0.74660000000000004</v>
      </c>
      <c r="J122" s="3383">
        <f t="shared" si="36"/>
        <v>0.74660000000000004</v>
      </c>
      <c r="K122" s="3383">
        <f t="shared" si="36"/>
        <v>0.74660000000000004</v>
      </c>
      <c r="L122" s="3383">
        <f t="shared" si="36"/>
        <v>0.74660000000000004</v>
      </c>
      <c r="M122" s="3406">
        <f t="shared" si="36"/>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9" zoomScaleNormal="100" workbookViewId="0">
      <selection activeCell="D6" sqref="D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6" customWidth="1"/>
    <col min="8" max="8" width="8.875" style="2833"/>
    <col min="9" max="9" width="8.875" style="2834"/>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2428</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3" t="s">
        <v>2316</v>
      </c>
      <c r="B2" s="2840">
        <f ca="1">IF(D2="——",C40,C40+E2)</f>
        <v>48823.578424942665</v>
      </c>
      <c r="C2" s="2841" t="s">
        <v>2317</v>
      </c>
      <c r="D2" s="3438" t="s">
        <v>3351</v>
      </c>
      <c r="E2" s="3439">
        <f ca="1">收益法!L46</f>
        <v>1452</v>
      </c>
      <c r="F2" s="2843"/>
      <c r="G2" s="2844"/>
      <c r="H2" s="2845"/>
      <c r="I2" s="2846"/>
      <c r="J2" s="3710" t="s">
        <v>2318</v>
      </c>
      <c r="K2" s="3711"/>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f ca="1">ROUND(B2*10000/B4,0)</f>
        <v>14523</v>
      </c>
      <c r="C3" s="2841" t="s">
        <v>2327</v>
      </c>
      <c r="D3" s="2841"/>
      <c r="E3" s="2842"/>
      <c r="F3" s="2843"/>
      <c r="G3" s="2844"/>
      <c r="H3" s="2845"/>
      <c r="I3" s="2846"/>
      <c r="J3" s="3712" t="s">
        <v>2328</v>
      </c>
      <c r="K3" s="3713"/>
      <c r="L3" s="2853"/>
      <c r="M3" s="2853"/>
      <c r="N3" s="2853"/>
      <c r="O3" s="2853"/>
      <c r="P3" s="2853"/>
      <c r="Q3" s="2854"/>
      <c r="R3" s="2855">
        <f>SUM(L3:Q3)</f>
        <v>0</v>
      </c>
      <c r="S3" s="2838"/>
      <c r="T3" s="2838"/>
      <c r="U3" s="2838"/>
      <c r="V3" s="2846"/>
    </row>
    <row r="4" spans="1:22" s="2850" customFormat="1" ht="13.15" customHeight="1">
      <c r="A4" s="2856" t="s">
        <v>2329</v>
      </c>
      <c r="B4" s="2857">
        <f>'数据-汇总表'!E3</f>
        <v>33618.589999999997</v>
      </c>
      <c r="C4" s="2841"/>
      <c r="D4" s="2841"/>
      <c r="E4" s="2842"/>
      <c r="F4" s="2843"/>
      <c r="G4" s="2844"/>
      <c r="H4" s="2845"/>
      <c r="I4" s="2846"/>
      <c r="J4" s="3712" t="s">
        <v>2330</v>
      </c>
      <c r="K4" s="3713"/>
      <c r="L4" s="2858"/>
      <c r="M4" s="2858"/>
      <c r="N4" s="2858"/>
      <c r="O4" s="2858"/>
      <c r="P4" s="2858"/>
      <c r="Q4" s="2859"/>
      <c r="R4" s="2860">
        <f>SUM(L4:Q4)</f>
        <v>0</v>
      </c>
      <c r="S4" s="2838"/>
      <c r="T4" s="2838"/>
      <c r="U4" s="2838"/>
      <c r="V4" s="2846"/>
    </row>
    <row r="5" spans="1:22" s="2850" customFormat="1" ht="13.15" customHeight="1" thickBot="1">
      <c r="A5" s="2861" t="s">
        <v>2331</v>
      </c>
      <c r="B5" s="3492">
        <f>'数据-基础表'!A3</f>
        <v>22981.550000000003</v>
      </c>
      <c r="C5" s="2841"/>
      <c r="D5" s="2862"/>
      <c r="E5" s="2843"/>
      <c r="F5" s="2843"/>
      <c r="G5" s="2844"/>
      <c r="H5" s="2845"/>
      <c r="I5" s="2846"/>
      <c r="J5" s="2863" t="s">
        <v>2332</v>
      </c>
      <c r="K5" s="2864"/>
      <c r="L5" s="2864"/>
      <c r="M5" s="2865"/>
      <c r="N5" s="2865"/>
      <c r="O5" s="2865"/>
      <c r="P5" s="2865"/>
      <c r="Q5" s="2865"/>
      <c r="R5" s="2849">
        <f>SUM(R14,R19,R24,R25,R27,R28)</f>
        <v>4576</v>
      </c>
      <c r="S5" s="2838">
        <v>4655</v>
      </c>
      <c r="T5" s="2838" t="s">
        <v>2333</v>
      </c>
      <c r="U5" s="2838" t="e">
        <f>ROUND(R5*10000/365/R3,1)</f>
        <v>#DIV/0!</v>
      </c>
      <c r="V5" s="2846"/>
    </row>
    <row r="6" spans="1:22" s="2850" customFormat="1" ht="13.15" customHeight="1" thickBot="1">
      <c r="A6" s="3718" t="s">
        <v>2334</v>
      </c>
      <c r="B6" s="3719"/>
      <c r="C6" s="3720"/>
      <c r="D6" s="3843">
        <f>R5</f>
        <v>4576</v>
      </c>
      <c r="E6" s="2866"/>
      <c r="F6" s="2867"/>
      <c r="G6" s="2868">
        <f>D6*10000/365/B4</f>
        <v>3.729182663927864</v>
      </c>
      <c r="H6" s="2845"/>
      <c r="I6" s="2846"/>
      <c r="J6" s="3704">
        <v>1</v>
      </c>
      <c r="K6" s="3705" t="s">
        <v>2335</v>
      </c>
      <c r="L6" s="2869" t="s">
        <v>2336</v>
      </c>
      <c r="M6" s="2870" t="s">
        <v>2337</v>
      </c>
      <c r="N6" s="2870" t="s">
        <v>2338</v>
      </c>
      <c r="O6" s="2870" t="s">
        <v>2339</v>
      </c>
      <c r="P6" s="2870" t="s">
        <v>2340</v>
      </c>
      <c r="Q6" s="2870" t="s">
        <v>2341</v>
      </c>
      <c r="R6" s="2855" t="s">
        <v>2342</v>
      </c>
      <c r="S6" s="2838"/>
      <c r="T6" s="2838" t="s">
        <v>2343</v>
      </c>
      <c r="U6" s="2838"/>
      <c r="V6" s="2846"/>
    </row>
    <row r="7" spans="1:22" s="2850" customFormat="1" ht="13.15" customHeight="1">
      <c r="A7" s="2871" t="s">
        <v>2344</v>
      </c>
      <c r="B7" s="2872"/>
      <c r="C7" s="2873"/>
      <c r="D7" s="2874">
        <f ca="1">SUM(D9,D10,D11,D17,0)</f>
        <v>1971</v>
      </c>
      <c r="E7" s="2875">
        <f ca="1">E9+E10+E11+E17</f>
        <v>0.43068181818181817</v>
      </c>
      <c r="F7" s="2876"/>
      <c r="G7" s="2877"/>
      <c r="H7" s="2845"/>
      <c r="I7" s="2846"/>
      <c r="J7" s="3704"/>
      <c r="K7" s="3706"/>
      <c r="L7" s="3482" t="s">
        <v>3499</v>
      </c>
      <c r="M7" s="2879">
        <v>214</v>
      </c>
      <c r="N7" s="2857">
        <v>400</v>
      </c>
      <c r="O7" s="2880">
        <v>1</v>
      </c>
      <c r="P7" s="2880">
        <v>0.65</v>
      </c>
      <c r="Q7" s="2881">
        <v>365</v>
      </c>
      <c r="R7" s="2882">
        <f>ROUND(M7*N7*O7*P7*Q7/10000,0)</f>
        <v>2031</v>
      </c>
      <c r="S7" s="2838"/>
      <c r="T7" s="2838" t="s">
        <v>2345</v>
      </c>
      <c r="U7" s="2838"/>
      <c r="V7" s="2846"/>
    </row>
    <row r="8" spans="1:22" s="2850" customFormat="1" ht="13.15" customHeight="1">
      <c r="A8" s="2883" t="s">
        <v>2346</v>
      </c>
      <c r="B8" s="3721" t="s">
        <v>2347</v>
      </c>
      <c r="C8" s="3722"/>
      <c r="D8" s="2884" t="s">
        <v>2348</v>
      </c>
      <c r="E8" s="2885" t="s">
        <v>2349</v>
      </c>
      <c r="F8" s="2886" t="s">
        <v>2350</v>
      </c>
      <c r="G8" s="2887"/>
      <c r="H8" s="2845"/>
      <c r="I8" s="2846"/>
      <c r="J8" s="3704"/>
      <c r="K8" s="3706"/>
      <c r="L8" s="3482" t="s">
        <v>3500</v>
      </c>
      <c r="M8" s="2879">
        <v>16</v>
      </c>
      <c r="N8" s="2857">
        <v>500</v>
      </c>
      <c r="O8" s="2880">
        <v>1</v>
      </c>
      <c r="P8" s="2880">
        <v>0.65</v>
      </c>
      <c r="Q8" s="2881">
        <v>365</v>
      </c>
      <c r="R8" s="2882">
        <f t="shared" ref="R8:R13" si="0">ROUND(M8*N8*O8*P8*Q8/10000,0)</f>
        <v>190</v>
      </c>
      <c r="S8" s="2838"/>
      <c r="T8" s="2838" t="s">
        <v>2351</v>
      </c>
      <c r="U8" s="2838"/>
      <c r="V8" s="2846"/>
    </row>
    <row r="9" spans="1:22" s="2850" customFormat="1" ht="13.15" customHeight="1">
      <c r="A9" s="2883">
        <v>1</v>
      </c>
      <c r="B9" s="3721" t="s">
        <v>2352</v>
      </c>
      <c r="C9" s="3722"/>
      <c r="D9" s="2884">
        <f>ROUND(D6*E9,0)</f>
        <v>686</v>
      </c>
      <c r="E9" s="2888">
        <v>0.15</v>
      </c>
      <c r="F9" s="2889" t="s">
        <v>2353</v>
      </c>
      <c r="G9" s="2868"/>
      <c r="H9" s="2845"/>
      <c r="I9" s="2846"/>
      <c r="J9" s="3704"/>
      <c r="K9" s="3706"/>
      <c r="L9" s="3482" t="s">
        <v>3493</v>
      </c>
      <c r="M9" s="2879">
        <v>84</v>
      </c>
      <c r="N9" s="2857">
        <v>700</v>
      </c>
      <c r="O9" s="2880">
        <v>1</v>
      </c>
      <c r="P9" s="2880">
        <v>0.65</v>
      </c>
      <c r="Q9" s="2881">
        <v>365</v>
      </c>
      <c r="R9" s="2882">
        <f t="shared" si="0"/>
        <v>1395</v>
      </c>
      <c r="S9" s="2838"/>
      <c r="T9" s="2838"/>
      <c r="U9" s="2838"/>
      <c r="V9" s="2846"/>
    </row>
    <row r="10" spans="1:22" s="2850" customFormat="1" ht="13.15" customHeight="1">
      <c r="A10" s="2883">
        <v>2</v>
      </c>
      <c r="B10" s="3721" t="s">
        <v>2354</v>
      </c>
      <c r="C10" s="3722"/>
      <c r="D10" s="2884">
        <f>ROUND(D6*E10,0)</f>
        <v>458</v>
      </c>
      <c r="E10" s="2888">
        <v>0.1</v>
      </c>
      <c r="F10" s="2889" t="s">
        <v>2355</v>
      </c>
      <c r="G10" s="2868"/>
      <c r="H10" s="2845"/>
      <c r="I10" s="2846"/>
      <c r="J10" s="3704"/>
      <c r="K10" s="3706"/>
      <c r="L10" s="3482" t="s">
        <v>3494</v>
      </c>
      <c r="M10" s="2879">
        <v>5</v>
      </c>
      <c r="N10" s="3489">
        <v>900</v>
      </c>
      <c r="O10" s="2880">
        <v>1</v>
      </c>
      <c r="P10" s="2880">
        <v>0.4</v>
      </c>
      <c r="Q10" s="2881">
        <v>365</v>
      </c>
      <c r="R10" s="2882">
        <f t="shared" si="0"/>
        <v>66</v>
      </c>
      <c r="S10" s="2838">
        <v>1200</v>
      </c>
      <c r="T10" s="2838"/>
      <c r="U10" s="2838"/>
      <c r="V10" s="2846"/>
    </row>
    <row r="11" spans="1:22" s="2850" customFormat="1" ht="13.15" customHeight="1">
      <c r="A11" s="2883">
        <v>3</v>
      </c>
      <c r="B11" s="3721" t="s">
        <v>2356</v>
      </c>
      <c r="C11" s="3722"/>
      <c r="D11" s="2884">
        <f ca="1">D12+D14+D15+D16</f>
        <v>598</v>
      </c>
      <c r="E11" s="2890">
        <f ca="1">D11/D6</f>
        <v>0.13068181818181818</v>
      </c>
      <c r="F11" s="2886"/>
      <c r="G11" s="2887"/>
      <c r="H11" s="2845"/>
      <c r="I11" s="2846"/>
      <c r="J11" s="3704"/>
      <c r="K11" s="3706"/>
      <c r="L11" s="3482" t="s">
        <v>3495</v>
      </c>
      <c r="M11" s="2879">
        <v>10</v>
      </c>
      <c r="N11" s="3489">
        <v>900</v>
      </c>
      <c r="O11" s="2880">
        <v>1</v>
      </c>
      <c r="P11" s="2880">
        <v>0.4</v>
      </c>
      <c r="Q11" s="2881">
        <v>365</v>
      </c>
      <c r="R11" s="2882">
        <f t="shared" si="0"/>
        <v>131</v>
      </c>
      <c r="S11" s="2838">
        <v>1200</v>
      </c>
      <c r="T11" s="2838"/>
      <c r="U11" s="2838"/>
      <c r="V11" s="2846"/>
    </row>
    <row r="12" spans="1:22" s="2850" customFormat="1" ht="13.15" customHeight="1">
      <c r="A12" s="2891" t="s">
        <v>2357</v>
      </c>
      <c r="B12" s="3714" t="s">
        <v>2358</v>
      </c>
      <c r="C12" s="3715"/>
      <c r="D12" s="2892">
        <f ca="1">ROUND(D13*1.2%*(1-30%),0)</f>
        <v>343</v>
      </c>
      <c r="E12" s="2893">
        <v>1.2E-2</v>
      </c>
      <c r="F12" s="2886" t="s">
        <v>2359</v>
      </c>
      <c r="G12" s="2887"/>
      <c r="H12" s="2845"/>
      <c r="I12" s="2846"/>
      <c r="J12" s="3704"/>
      <c r="K12" s="3706"/>
      <c r="L12" s="2878"/>
      <c r="M12" s="2879"/>
      <c r="N12" s="2857"/>
      <c r="O12" s="2880"/>
      <c r="P12" s="2880"/>
      <c r="Q12" s="2881">
        <v>365</v>
      </c>
      <c r="R12" s="2882">
        <f t="shared" si="0"/>
        <v>0</v>
      </c>
      <c r="S12" s="2838"/>
      <c r="T12" s="2838"/>
      <c r="U12" s="2838"/>
      <c r="V12" s="2846"/>
    </row>
    <row r="13" spans="1:22" s="2850" customFormat="1" ht="13.15" customHeight="1">
      <c r="A13" s="2891"/>
      <c r="B13" s="2894"/>
      <c r="C13" s="2895" t="s">
        <v>2360</v>
      </c>
      <c r="D13" s="2896">
        <f ca="1">成本法!C49</f>
        <v>40801</v>
      </c>
      <c r="E13" s="2897"/>
      <c r="F13" s="2886"/>
      <c r="G13" s="2887"/>
      <c r="H13" s="2845"/>
      <c r="I13" s="2846"/>
      <c r="J13" s="3704"/>
      <c r="K13" s="3706"/>
      <c r="L13" s="2878"/>
      <c r="M13" s="2879"/>
      <c r="N13" s="2857"/>
      <c r="O13" s="2880"/>
      <c r="P13" s="2880"/>
      <c r="Q13" s="2881">
        <v>365</v>
      </c>
      <c r="R13" s="2882">
        <f t="shared" si="0"/>
        <v>0</v>
      </c>
      <c r="S13" s="2838"/>
      <c r="T13" s="2838"/>
      <c r="U13" s="2838"/>
      <c r="V13" s="2846"/>
    </row>
    <row r="14" spans="1:22" s="2850" customFormat="1" ht="13.15" customHeight="1">
      <c r="A14" s="2891" t="s">
        <v>2361</v>
      </c>
      <c r="B14" s="3714" t="s">
        <v>2362</v>
      </c>
      <c r="C14" s="3715"/>
      <c r="D14" s="2892">
        <f>ROUND(E14*B5/10000,0)</f>
        <v>3</v>
      </c>
      <c r="E14" s="2881">
        <v>1.5</v>
      </c>
      <c r="F14" s="2886" t="s">
        <v>2363</v>
      </c>
      <c r="G14" s="2887"/>
      <c r="H14" s="2845"/>
      <c r="I14" s="2846"/>
      <c r="J14" s="3704"/>
      <c r="K14" s="3707"/>
      <c r="L14" s="2898" t="s">
        <v>2364</v>
      </c>
      <c r="M14" s="2899">
        <f>SUM(M7:M13)</f>
        <v>329</v>
      </c>
      <c r="N14" s="2899">
        <f>ROUND((N7*M7+N8*M8+N9*M9+N10*M10+N11*M11+N12*M12+N13*M13)/M14,0)</f>
        <v>504</v>
      </c>
      <c r="O14" s="2900"/>
      <c r="P14" s="2900"/>
      <c r="Q14" s="2901"/>
      <c r="R14" s="2849">
        <f>SUM(R7:R13)</f>
        <v>3813</v>
      </c>
      <c r="S14" s="2838"/>
      <c r="T14" s="2838"/>
      <c r="U14" s="2838"/>
      <c r="V14" s="2846"/>
    </row>
    <row r="15" spans="1:22" s="2850" customFormat="1" ht="13.15" customHeight="1">
      <c r="A15" s="2891" t="s">
        <v>2365</v>
      </c>
      <c r="B15" s="3714" t="s">
        <v>2366</v>
      </c>
      <c r="C15" s="3715"/>
      <c r="D15" s="2892">
        <f>ROUND(D6*E15,0)</f>
        <v>252</v>
      </c>
      <c r="E15" s="2893">
        <v>5.5E-2</v>
      </c>
      <c r="F15" s="2886" t="s">
        <v>2367</v>
      </c>
      <c r="G15" s="2868"/>
      <c r="H15" s="2845"/>
      <c r="I15" s="2846"/>
      <c r="J15" s="3704">
        <v>2</v>
      </c>
      <c r="K15" s="3705" t="s">
        <v>2368</v>
      </c>
      <c r="L15" s="2878" t="s">
        <v>2369</v>
      </c>
      <c r="M15" s="2879" t="s">
        <v>2370</v>
      </c>
      <c r="N15" s="2879" t="s">
        <v>2371</v>
      </c>
      <c r="O15" s="2880" t="s">
        <v>2372</v>
      </c>
      <c r="P15" s="2880" t="s">
        <v>2341</v>
      </c>
      <c r="Q15" s="2857" t="s">
        <v>2373</v>
      </c>
      <c r="R15" s="2902" t="s">
        <v>2342</v>
      </c>
      <c r="S15" s="2838"/>
      <c r="T15" s="2838"/>
      <c r="U15" s="2838"/>
      <c r="V15" s="2846"/>
    </row>
    <row r="16" spans="1:22" s="2850" customFormat="1" ht="13.15" customHeight="1">
      <c r="A16" s="2891" t="s">
        <v>2374</v>
      </c>
      <c r="B16" s="3714" t="s">
        <v>2375</v>
      </c>
      <c r="C16" s="3715"/>
      <c r="D16" s="2903">
        <f>D6*E16</f>
        <v>0</v>
      </c>
      <c r="E16" s="2904"/>
      <c r="F16" s="2889" t="s">
        <v>2376</v>
      </c>
      <c r="G16" s="2868"/>
      <c r="H16" s="2845"/>
      <c r="I16" s="2846"/>
      <c r="J16" s="3704"/>
      <c r="K16" s="3706"/>
      <c r="L16" s="2878" t="s">
        <v>2377</v>
      </c>
      <c r="M16" s="2879"/>
      <c r="N16" s="2879"/>
      <c r="O16" s="2880"/>
      <c r="P16" s="2881">
        <v>365</v>
      </c>
      <c r="Q16" s="2857"/>
      <c r="R16" s="2902">
        <f>ROUND(M16*N16*O16*P16/10000,0)</f>
        <v>0</v>
      </c>
      <c r="S16" s="2838"/>
      <c r="T16" s="2838"/>
      <c r="U16" s="2838"/>
      <c r="V16" s="2846"/>
    </row>
    <row r="17" spans="1:22" s="2850" customFormat="1" ht="13.15" customHeight="1" thickBot="1">
      <c r="A17" s="2905">
        <v>4</v>
      </c>
      <c r="B17" s="3716" t="s">
        <v>2378</v>
      </c>
      <c r="C17" s="3717"/>
      <c r="D17" s="2906">
        <f>ROUND(D6*E17,0)</f>
        <v>229</v>
      </c>
      <c r="E17" s="2907">
        <v>0.05</v>
      </c>
      <c r="F17" s="2908" t="s">
        <v>2379</v>
      </c>
      <c r="G17" s="2868"/>
      <c r="H17" s="2845"/>
      <c r="I17" s="2846"/>
      <c r="J17" s="3704"/>
      <c r="K17" s="3706"/>
      <c r="L17" s="2878" t="s">
        <v>2380</v>
      </c>
      <c r="M17" s="2879"/>
      <c r="N17" s="2879"/>
      <c r="O17" s="2880"/>
      <c r="P17" s="2881">
        <v>365</v>
      </c>
      <c r="Q17" s="2857"/>
      <c r="R17" s="2902">
        <f>ROUND(M17*N17*O17*P17/10000,0)</f>
        <v>0</v>
      </c>
      <c r="S17" s="2838"/>
      <c r="T17" s="2838"/>
      <c r="U17" s="2838"/>
      <c r="V17" s="2846"/>
    </row>
    <row r="18" spans="1:22" s="2850" customFormat="1" ht="13.15" customHeight="1" thickBot="1">
      <c r="A18" s="2871" t="s">
        <v>2381</v>
      </c>
      <c r="B18" s="2872"/>
      <c r="C18" s="2872"/>
      <c r="D18" s="2909">
        <f>ROUND(D6*E18,0)</f>
        <v>229</v>
      </c>
      <c r="E18" s="2910">
        <v>0.05</v>
      </c>
      <c r="F18" s="2911" t="s">
        <v>2382</v>
      </c>
      <c r="G18" s="2868"/>
      <c r="H18" s="2845"/>
      <c r="I18" s="2846"/>
      <c r="J18" s="3704"/>
      <c r="K18" s="3706"/>
      <c r="L18" s="2878" t="s">
        <v>2383</v>
      </c>
      <c r="M18" s="2879"/>
      <c r="N18" s="2879"/>
      <c r="O18" s="2880"/>
      <c r="P18" s="2881">
        <v>365</v>
      </c>
      <c r="Q18" s="2857"/>
      <c r="R18" s="2902">
        <f>ROUND(M18*N18*O18*P18/10000,0)</f>
        <v>0</v>
      </c>
      <c r="S18" s="2838"/>
      <c r="T18" s="2838"/>
      <c r="U18" s="2838"/>
      <c r="V18" s="2846"/>
    </row>
    <row r="19" spans="1:22" s="2850" customFormat="1" ht="13.15" customHeight="1" thickBot="1">
      <c r="A19" s="2912" t="s">
        <v>2384</v>
      </c>
      <c r="B19" s="2866"/>
      <c r="C19" s="2866"/>
      <c r="D19" s="2866"/>
      <c r="E19" s="2866"/>
      <c r="F19" s="2867"/>
      <c r="G19" s="2887"/>
      <c r="H19" s="2845"/>
      <c r="I19" s="2846"/>
      <c r="J19" s="3704"/>
      <c r="K19" s="3707"/>
      <c r="L19" s="2898" t="s">
        <v>2364</v>
      </c>
      <c r="M19" s="2899"/>
      <c r="N19" s="2899">
        <f>SUM(N16:N18)</f>
        <v>0</v>
      </c>
      <c r="O19" s="2900"/>
      <c r="P19" s="2913" t="s">
        <v>3496</v>
      </c>
      <c r="Q19" s="2880">
        <v>0.2</v>
      </c>
      <c r="R19" s="2914">
        <f>ROUND(IF(P19="按比例",R14*Q19,SUM(R16:R18)),0)</f>
        <v>763</v>
      </c>
      <c r="S19" s="2838"/>
      <c r="T19" s="2838"/>
      <c r="U19" s="2838"/>
      <c r="V19" s="2846"/>
    </row>
    <row r="20" spans="1:22" s="2850" customFormat="1" ht="13.15" customHeight="1">
      <c r="A20" s="2871"/>
      <c r="B20" s="2872"/>
      <c r="C20" s="2872"/>
      <c r="D20" s="2872"/>
      <c r="E20" s="2872"/>
      <c r="F20" s="2915"/>
      <c r="G20" s="2887"/>
      <c r="H20" s="2845"/>
      <c r="I20" s="2846"/>
      <c r="J20" s="3704">
        <v>3</v>
      </c>
      <c r="K20" s="3705" t="s">
        <v>2385</v>
      </c>
      <c r="L20" s="2878" t="s">
        <v>2386</v>
      </c>
      <c r="M20" s="2879" t="s">
        <v>2387</v>
      </c>
      <c r="N20" s="2916" t="s">
        <v>2388</v>
      </c>
      <c r="O20" s="2880" t="s">
        <v>2389</v>
      </c>
      <c r="P20" s="2881" t="s">
        <v>2390</v>
      </c>
      <c r="Q20" s="2857" t="s">
        <v>2391</v>
      </c>
      <c r="R20" s="2902" t="s">
        <v>2392</v>
      </c>
      <c r="S20" s="2917"/>
      <c r="T20" s="2917"/>
      <c r="U20" s="2917"/>
      <c r="V20" s="2846"/>
    </row>
    <row r="21" spans="1:22" s="2850" customFormat="1" ht="13.15" customHeight="1">
      <c r="A21" s="2871"/>
      <c r="B21" s="2872"/>
      <c r="C21" s="2918" t="s">
        <v>2393</v>
      </c>
      <c r="D21" s="2919" t="s">
        <v>2394</v>
      </c>
      <c r="E21" s="2920" t="s">
        <v>2395</v>
      </c>
      <c r="F21" s="2915"/>
      <c r="G21" s="2887"/>
      <c r="H21" s="2845"/>
      <c r="I21" s="2846"/>
      <c r="J21" s="3704"/>
      <c r="K21" s="3706"/>
      <c r="L21" s="2878" t="s">
        <v>2396</v>
      </c>
      <c r="M21" s="2879"/>
      <c r="N21" s="2879"/>
      <c r="O21" s="2880"/>
      <c r="P21" s="2881">
        <v>365</v>
      </c>
      <c r="Q21" s="2857"/>
      <c r="R21" s="2921">
        <f>ROUND(M21*N21*O21*P21/10000,0)</f>
        <v>0</v>
      </c>
      <c r="S21" s="2917"/>
      <c r="T21" s="2917"/>
      <c r="U21" s="2917"/>
      <c r="V21" s="2846"/>
    </row>
    <row r="22" spans="1:22" s="2850" customFormat="1" ht="13.15" customHeight="1">
      <c r="A22" s="2871"/>
      <c r="B22" s="2872"/>
      <c r="C22" s="2922" t="s">
        <v>2397</v>
      </c>
      <c r="D22" s="2923" t="s">
        <v>2398</v>
      </c>
      <c r="E22" s="2924" t="s">
        <v>2399</v>
      </c>
      <c r="F22" s="2915"/>
      <c r="G22" s="2925"/>
      <c r="H22" s="2845"/>
      <c r="I22" s="2846"/>
      <c r="J22" s="3704"/>
      <c r="K22" s="3706"/>
      <c r="L22" s="2878" t="s">
        <v>2400</v>
      </c>
      <c r="M22" s="2879"/>
      <c r="N22" s="2879"/>
      <c r="O22" s="2880"/>
      <c r="P22" s="2881">
        <v>365</v>
      </c>
      <c r="Q22" s="2857"/>
      <c r="R22" s="2921">
        <f>ROUND(M22*N22*O22*P22/10000,0)</f>
        <v>0</v>
      </c>
      <c r="S22" s="2917"/>
      <c r="T22" s="2917"/>
      <c r="U22" s="2917"/>
      <c r="V22" s="2846"/>
    </row>
    <row r="23" spans="1:22" s="2850" customFormat="1" ht="13.15" customHeight="1">
      <c r="A23" s="2926">
        <v>1</v>
      </c>
      <c r="B23" s="2927" t="s">
        <v>2401</v>
      </c>
      <c r="C23" s="2928">
        <f>D6</f>
        <v>4576</v>
      </c>
      <c r="D23" s="2929">
        <f>C23*(1+D24)</f>
        <v>5033.6000000000004</v>
      </c>
      <c r="E23" s="2930">
        <f>D23*(1+E24)</f>
        <v>5033.6000000000004</v>
      </c>
      <c r="F23" s="2931"/>
      <c r="G23" s="2932"/>
      <c r="H23" s="2845"/>
      <c r="I23" s="2846"/>
      <c r="J23" s="3704"/>
      <c r="K23" s="3706"/>
      <c r="L23" s="2878" t="s">
        <v>2402</v>
      </c>
      <c r="M23" s="2879"/>
      <c r="N23" s="2879"/>
      <c r="O23" s="2880"/>
      <c r="P23" s="2881">
        <v>365</v>
      </c>
      <c r="Q23" s="2857"/>
      <c r="R23" s="2921">
        <f>ROUND(M23*N23*O23*P23/10000,0)</f>
        <v>0</v>
      </c>
      <c r="S23" s="2838"/>
      <c r="T23" s="2838"/>
      <c r="U23" s="2838"/>
      <c r="V23" s="2846"/>
    </row>
    <row r="24" spans="1:22" s="2850" customFormat="1" ht="13.15" customHeight="1">
      <c r="A24" s="2933"/>
      <c r="B24" s="2934" t="s">
        <v>2403</v>
      </c>
      <c r="C24" s="2935"/>
      <c r="D24" s="2936">
        <v>0.1</v>
      </c>
      <c r="E24" s="2937"/>
      <c r="F24" s="2938"/>
      <c r="G24" s="2932"/>
      <c r="H24" s="2845"/>
      <c r="I24" s="2846"/>
      <c r="J24" s="3704"/>
      <c r="K24" s="3707"/>
      <c r="L24" s="2898" t="s">
        <v>2364</v>
      </c>
      <c r="M24" s="2899">
        <f>SUM(M21:M23)</f>
        <v>0</v>
      </c>
      <c r="N24" s="2899"/>
      <c r="O24" s="2900"/>
      <c r="P24" s="2913" t="s">
        <v>3496</v>
      </c>
      <c r="Q24" s="2880">
        <v>0</v>
      </c>
      <c r="R24" s="2914">
        <f>ROUND(IF(P24="按比例",R14*Q24,SUM(R21:R23)),0)</f>
        <v>0</v>
      </c>
      <c r="S24" s="2838"/>
      <c r="T24" s="2838"/>
      <c r="U24" s="2838"/>
      <c r="V24" s="2846"/>
    </row>
    <row r="25" spans="1:22" s="2945" customFormat="1" ht="13.15" customHeight="1">
      <c r="A25" s="2933"/>
      <c r="B25" s="2934"/>
      <c r="C25" s="2935"/>
      <c r="D25" s="2936"/>
      <c r="E25" s="2937"/>
      <c r="F25" s="2938"/>
      <c r="G25" s="2925"/>
      <c r="H25" s="2845"/>
      <c r="I25" s="2846"/>
      <c r="J25" s="2939">
        <v>4</v>
      </c>
      <c r="K25" s="2940" t="s">
        <v>2404</v>
      </c>
      <c r="L25" s="2941"/>
      <c r="M25" s="2941"/>
      <c r="N25" s="2941"/>
      <c r="O25" s="2941"/>
      <c r="P25" s="2942"/>
      <c r="Q25" s="2943">
        <v>0</v>
      </c>
      <c r="R25" s="2914">
        <f>ROUND(R14*Q25,0)</f>
        <v>0</v>
      </c>
      <c r="S25" s="2838"/>
      <c r="T25" s="2838"/>
      <c r="U25" s="2838"/>
      <c r="V25" s="2944"/>
    </row>
    <row r="26" spans="1:22" s="2945" customFormat="1" ht="13.15" customHeight="1">
      <c r="A26" s="2926">
        <v>2</v>
      </c>
      <c r="B26" s="2927" t="s">
        <v>2405</v>
      </c>
      <c r="C26" s="2928">
        <f ca="1">D7</f>
        <v>1971</v>
      </c>
      <c r="D26" s="2929">
        <f ca="1">D23*D27</f>
        <v>2167.88</v>
      </c>
      <c r="E26" s="2930">
        <f>E23*E27</f>
        <v>0</v>
      </c>
      <c r="F26" s="2931"/>
      <c r="G26" s="2932"/>
      <c r="H26" s="2845"/>
      <c r="I26" s="2846"/>
      <c r="J26" s="3708">
        <v>5</v>
      </c>
      <c r="K26" s="2946" t="s">
        <v>2406</v>
      </c>
      <c r="L26" s="2947"/>
      <c r="M26" s="2948"/>
      <c r="N26" s="2949" t="s">
        <v>2407</v>
      </c>
      <c r="O26" s="2949" t="s">
        <v>2408</v>
      </c>
      <c r="P26" s="2950" t="s">
        <v>2409</v>
      </c>
      <c r="Q26" s="2950" t="s">
        <v>2410</v>
      </c>
      <c r="R26" s="2855" t="s">
        <v>2342</v>
      </c>
      <c r="S26" s="2951"/>
      <c r="T26" s="2951"/>
      <c r="U26" s="2951"/>
      <c r="V26" s="2944"/>
    </row>
    <row r="27" spans="1:22" s="2850" customFormat="1" ht="13.15" customHeight="1">
      <c r="A27" s="2933"/>
      <c r="B27" s="2934" t="s">
        <v>2411</v>
      </c>
      <c r="C27" s="2952">
        <f ca="1">E7</f>
        <v>0.43068181818181817</v>
      </c>
      <c r="D27" s="2936">
        <f ca="1">C27</f>
        <v>0.43068181818181817</v>
      </c>
      <c r="E27" s="2937"/>
      <c r="F27" s="2938"/>
      <c r="G27" s="2932"/>
      <c r="H27" s="2953"/>
      <c r="I27" s="2944"/>
      <c r="J27" s="3709"/>
      <c r="K27" s="2954"/>
      <c r="L27" s="2955"/>
      <c r="M27" s="2956"/>
      <c r="N27" s="2957"/>
      <c r="O27" s="2957"/>
      <c r="P27" s="2957"/>
      <c r="Q27" s="2958"/>
      <c r="R27" s="2914">
        <f>ROUND(O27*N27*P27*(1-Q27)/10000,0)</f>
        <v>0</v>
      </c>
      <c r="S27" s="2838"/>
      <c r="T27" s="2838"/>
      <c r="U27" s="2838"/>
      <c r="V27" s="2846"/>
    </row>
    <row r="28" spans="1:22" s="2945" customFormat="1" ht="13.15" customHeight="1" thickBot="1">
      <c r="A28" s="2933"/>
      <c r="B28" s="2934"/>
      <c r="C28" s="2952"/>
      <c r="D28" s="2936"/>
      <c r="E28" s="2937" t="s">
        <v>2412</v>
      </c>
      <c r="F28" s="2938"/>
      <c r="G28" s="2925"/>
      <c r="H28" s="2953"/>
      <c r="I28" s="2944"/>
      <c r="J28" s="2959">
        <v>6</v>
      </c>
      <c r="K28" s="2960" t="s">
        <v>2413</v>
      </c>
      <c r="L28" s="2961" t="s">
        <v>2414</v>
      </c>
      <c r="M28" s="2962"/>
      <c r="N28" s="2961" t="s">
        <v>2415</v>
      </c>
      <c r="O28" s="2963"/>
      <c r="P28" s="2961" t="s">
        <v>2416</v>
      </c>
      <c r="Q28" s="2964">
        <v>1.4999999999999999E-2</v>
      </c>
      <c r="R28" s="2965"/>
      <c r="S28" s="2917"/>
      <c r="T28" s="2917"/>
      <c r="U28" s="2917"/>
      <c r="V28" s="2944"/>
    </row>
    <row r="29" spans="1:22" s="2945" customFormat="1" ht="13.15" customHeight="1">
      <c r="A29" s="2926">
        <v>3</v>
      </c>
      <c r="B29" s="2927" t="s">
        <v>2417</v>
      </c>
      <c r="C29" s="2928">
        <f>C23*C30</f>
        <v>228.8</v>
      </c>
      <c r="D29" s="2929">
        <f>D23*C30</f>
        <v>251.68000000000004</v>
      </c>
      <c r="E29" s="2930">
        <f>E23*C30</f>
        <v>251.68000000000004</v>
      </c>
      <c r="F29" s="2931"/>
      <c r="G29" s="2932"/>
      <c r="H29" s="2845"/>
      <c r="I29" s="2846"/>
      <c r="J29" s="2917"/>
      <c r="K29" s="2917"/>
      <c r="L29" s="2917"/>
      <c r="M29" s="2917"/>
      <c r="N29" s="2917"/>
      <c r="O29" s="2917"/>
      <c r="P29" s="2917"/>
      <c r="Q29" s="2917"/>
      <c r="R29" s="2917"/>
      <c r="S29" s="2917"/>
      <c r="T29" s="2917"/>
      <c r="U29" s="2917"/>
      <c r="V29" s="2944"/>
    </row>
    <row r="30" spans="1:22" s="2850" customFormat="1" ht="13.15" customHeight="1" thickBot="1">
      <c r="A30" s="2933"/>
      <c r="B30" s="2934" t="s">
        <v>2411</v>
      </c>
      <c r="C30" s="2952">
        <f>E18</f>
        <v>0.05</v>
      </c>
      <c r="D30" s="2966"/>
      <c r="E30" s="2897"/>
      <c r="F30" s="2938"/>
      <c r="G30" s="2932"/>
      <c r="H30" s="2953"/>
      <c r="I30" s="2944"/>
      <c r="J30" s="2917"/>
      <c r="K30" s="2917"/>
      <c r="L30" s="2917"/>
      <c r="M30" s="2917"/>
      <c r="N30" s="2917"/>
      <c r="O30" s="2917"/>
      <c r="P30" s="2917"/>
      <c r="Q30" s="2917"/>
      <c r="R30" s="2917"/>
      <c r="S30" s="2917"/>
      <c r="T30" s="2917"/>
      <c r="U30" s="2838"/>
      <c r="V30" s="2846"/>
    </row>
    <row r="31" spans="1:22" s="2945" customFormat="1" ht="13.15" customHeight="1">
      <c r="A31" s="2933"/>
      <c r="B31" s="2934"/>
      <c r="C31" s="2967"/>
      <c r="D31" s="2966"/>
      <c r="E31" s="2897"/>
      <c r="F31" s="2938"/>
      <c r="G31" s="2925"/>
      <c r="H31" s="2953"/>
      <c r="I31" s="2944"/>
      <c r="J31" s="2835" t="s">
        <v>2418</v>
      </c>
      <c r="K31" s="2836"/>
      <c r="L31" s="2836"/>
      <c r="M31" s="2836"/>
      <c r="N31" s="2836"/>
      <c r="O31" s="2836"/>
      <c r="P31" s="2836"/>
      <c r="Q31" s="2836"/>
      <c r="R31" s="2837"/>
      <c r="S31" s="2917"/>
      <c r="T31" s="2838"/>
      <c r="U31" s="2838"/>
      <c r="V31" s="2944"/>
    </row>
    <row r="32" spans="1:22" s="2945" customFormat="1" ht="13.15" customHeight="1">
      <c r="A32" s="2926">
        <v>4</v>
      </c>
      <c r="B32" s="2927" t="s">
        <v>2419</v>
      </c>
      <c r="C32" s="2928">
        <f ca="1">C23-C26-C29</f>
        <v>2376.1999999999998</v>
      </c>
      <c r="D32" s="2929">
        <f ca="1">D23-D26-D29</f>
        <v>2614.0400000000004</v>
      </c>
      <c r="E32" s="2930">
        <f>E23-E26-E29</f>
        <v>4781.92</v>
      </c>
      <c r="F32" s="2931"/>
      <c r="G32" s="2925">
        <f ca="1">(1+D24)*G6*C32/D6</f>
        <v>2.1301163091407189</v>
      </c>
      <c r="H32" s="2845"/>
      <c r="I32" s="2846"/>
      <c r="J32" s="3710" t="s">
        <v>2318</v>
      </c>
      <c r="K32" s="3711"/>
      <c r="L32" s="2847" t="s">
        <v>2319</v>
      </c>
      <c r="M32" s="2847" t="s">
        <v>2320</v>
      </c>
      <c r="N32" s="2847" t="s">
        <v>2321</v>
      </c>
      <c r="O32" s="2847" t="s">
        <v>2322</v>
      </c>
      <c r="P32" s="2847" t="s">
        <v>2323</v>
      </c>
      <c r="Q32" s="2848" t="s">
        <v>2324</v>
      </c>
      <c r="R32" s="2968" t="s">
        <v>2325</v>
      </c>
      <c r="S32" s="2917"/>
      <c r="T32" s="2838"/>
      <c r="U32" s="2838"/>
      <c r="V32" s="2944"/>
    </row>
    <row r="33" spans="1:23" s="2850" customFormat="1" ht="13.15" customHeight="1">
      <c r="A33" s="2926"/>
      <c r="B33" s="2927"/>
      <c r="C33" s="2928"/>
      <c r="D33" s="2969"/>
      <c r="E33" s="2970"/>
      <c r="F33" s="2931"/>
      <c r="G33" s="2925"/>
      <c r="H33" s="2953"/>
      <c r="I33" s="2944"/>
      <c r="J33" s="3712" t="s">
        <v>2328</v>
      </c>
      <c r="K33" s="3713"/>
      <c r="L33" s="2853"/>
      <c r="M33" s="2853"/>
      <c r="N33" s="2853"/>
      <c r="O33" s="2853"/>
      <c r="P33" s="2853"/>
      <c r="Q33" s="2854"/>
      <c r="R33" s="2971">
        <f>SUM(L33:Q33)</f>
        <v>0</v>
      </c>
      <c r="S33" s="2917"/>
      <c r="T33" s="2838"/>
      <c r="U33" s="2838"/>
      <c r="V33" s="2846"/>
    </row>
    <row r="34" spans="1:23" s="2850" customFormat="1" ht="13.15" customHeight="1">
      <c r="A34" s="2926">
        <v>5</v>
      </c>
      <c r="B34" s="2927" t="s">
        <v>2420</v>
      </c>
      <c r="C34" s="2972">
        <v>5.5E-2</v>
      </c>
      <c r="D34" s="2973">
        <v>5.5E-2</v>
      </c>
      <c r="E34" s="2974">
        <v>5.5E-2</v>
      </c>
      <c r="F34" s="2931"/>
      <c r="G34" s="2925"/>
      <c r="H34" s="2953"/>
      <c r="I34" s="2944"/>
      <c r="J34" s="3712" t="s">
        <v>2330</v>
      </c>
      <c r="K34" s="3713"/>
      <c r="L34" s="2858"/>
      <c r="M34" s="2858"/>
      <c r="N34" s="2858"/>
      <c r="O34" s="2858"/>
      <c r="P34" s="2858"/>
      <c r="Q34" s="2859"/>
      <c r="R34" s="2975">
        <f>SUM(L34:Q34)</f>
        <v>0</v>
      </c>
      <c r="S34" s="2917"/>
      <c r="T34" s="2838"/>
      <c r="U34" s="2838" t="e">
        <f>ROUND(R35*10000/365/R33,1)</f>
        <v>#DIV/0!</v>
      </c>
      <c r="V34" s="2846"/>
    </row>
    <row r="35" spans="1:23" s="2850" customFormat="1" ht="13.15" customHeight="1">
      <c r="A35" s="2926">
        <v>6</v>
      </c>
      <c r="B35" s="2927" t="s">
        <v>2421</v>
      </c>
      <c r="C35" s="2976">
        <v>0.02</v>
      </c>
      <c r="D35" s="2977">
        <v>0.02</v>
      </c>
      <c r="E35" s="2978"/>
      <c r="F35" s="2931"/>
      <c r="G35" s="2979"/>
      <c r="H35" s="2845"/>
      <c r="I35" s="2944"/>
      <c r="J35" s="2863" t="s">
        <v>2332</v>
      </c>
      <c r="K35" s="2864"/>
      <c r="L35" s="2864"/>
      <c r="M35" s="2865"/>
      <c r="N35" s="2865"/>
      <c r="O35" s="2865"/>
      <c r="P35" s="2865"/>
      <c r="Q35" s="2865"/>
      <c r="R35" s="2980">
        <f>R40+R41+R43</f>
        <v>0</v>
      </c>
      <c r="S35" s="2917"/>
      <c r="T35" s="2838" t="s">
        <v>2333</v>
      </c>
      <c r="U35" s="2838"/>
      <c r="V35" s="2846"/>
    </row>
    <row r="36" spans="1:23" s="2850" customFormat="1" ht="13.15" customHeight="1" thickBot="1">
      <c r="A36" s="2926">
        <v>7</v>
      </c>
      <c r="B36" s="2981" t="s">
        <v>2422</v>
      </c>
      <c r="C36" s="2982">
        <v>3</v>
      </c>
      <c r="D36" s="2983">
        <f>项目基本情况!D15-C36</f>
        <v>30.450000000000003</v>
      </c>
      <c r="E36" s="2984"/>
      <c r="F36" s="2985">
        <f>C36+D36+E36</f>
        <v>33.450000000000003</v>
      </c>
      <c r="G36" s="2925"/>
      <c r="H36" s="2845"/>
      <c r="I36" s="2846"/>
      <c r="J36" s="3704">
        <v>1</v>
      </c>
      <c r="K36" s="3705" t="s">
        <v>2423</v>
      </c>
      <c r="L36" s="2869"/>
      <c r="M36" s="2870"/>
      <c r="N36" s="2870"/>
      <c r="O36" s="2870"/>
      <c r="P36" s="2870"/>
      <c r="Q36" s="2870"/>
      <c r="R36" s="2855" t="s">
        <v>2342</v>
      </c>
      <c r="S36" s="2917"/>
      <c r="T36" s="2838" t="s">
        <v>2343</v>
      </c>
      <c r="U36" s="2838"/>
      <c r="V36" s="2846"/>
    </row>
    <row r="37" spans="1:23" s="2850" customFormat="1" ht="13.15" customHeight="1">
      <c r="A37" s="2926"/>
      <c r="B37" s="2927"/>
      <c r="C37" s="2927"/>
      <c r="D37" s="2927"/>
      <c r="E37" s="2927"/>
      <c r="F37" s="2931"/>
      <c r="G37" s="2925"/>
      <c r="H37" s="2845"/>
      <c r="I37" s="2846"/>
      <c r="J37" s="3704"/>
      <c r="K37" s="3706"/>
      <c r="L37" s="2878"/>
      <c r="M37" s="2879"/>
      <c r="N37" s="2857"/>
      <c r="O37" s="2880"/>
      <c r="P37" s="2880"/>
      <c r="Q37" s="2881"/>
      <c r="R37" s="2882"/>
      <c r="S37" s="2917"/>
      <c r="T37" s="2838" t="s">
        <v>2345</v>
      </c>
      <c r="U37" s="2838"/>
      <c r="V37" s="2846"/>
    </row>
    <row r="38" spans="1:23" s="2850" customFormat="1" ht="13.15" customHeight="1">
      <c r="A38" s="2926">
        <v>8</v>
      </c>
      <c r="B38" s="2927"/>
      <c r="C38" s="2884">
        <f ca="1">ROUND(C32*(1-((1+C35)/(1+C34))^C36)/(C34-C35),0)</f>
        <v>6535</v>
      </c>
      <c r="D38" s="2884">
        <f ca="1">IF(D23=0,0,ROUND(D32*(1-((1+D35)/(1+D34))^D36)/(D34-D35),0))</f>
        <v>47952</v>
      </c>
      <c r="E38" s="2884">
        <f>IF(E23=0,0,ROUND(E32*(1-((1+E35)/(1+E34))^E36)/(E34-E35),0))</f>
        <v>0</v>
      </c>
      <c r="F38" s="2931"/>
      <c r="G38" s="2925"/>
      <c r="H38" s="2845"/>
      <c r="I38" s="2846"/>
      <c r="J38" s="3704"/>
      <c r="K38" s="3706"/>
      <c r="L38" s="2878"/>
      <c r="M38" s="2879"/>
      <c r="N38" s="2857"/>
      <c r="O38" s="2880"/>
      <c r="P38" s="2880"/>
      <c r="Q38" s="2881"/>
      <c r="R38" s="2882"/>
      <c r="S38" s="2917"/>
      <c r="T38" s="2838" t="s">
        <v>2351</v>
      </c>
      <c r="U38" s="2838"/>
      <c r="V38" s="2846"/>
    </row>
    <row r="39" spans="1:23" s="2850" customFormat="1" ht="13.15" customHeight="1">
      <c r="A39" s="2926">
        <v>9</v>
      </c>
      <c r="B39" s="2927" t="s">
        <v>2424</v>
      </c>
      <c r="C39" s="2892">
        <f ca="1">C38</f>
        <v>6535</v>
      </c>
      <c r="D39" s="2927">
        <f ca="1">D38/(1+D34)^C36</f>
        <v>40836.578424942665</v>
      </c>
      <c r="E39" s="2927">
        <f>E38/(1+E34)^(C36+D36)</f>
        <v>0</v>
      </c>
      <c r="F39" s="2931"/>
      <c r="G39" s="2986"/>
      <c r="H39" s="2845"/>
      <c r="I39" s="2846"/>
      <c r="J39" s="3704"/>
      <c r="K39" s="3706"/>
      <c r="L39" s="2878"/>
      <c r="M39" s="2879"/>
      <c r="N39" s="2857"/>
      <c r="O39" s="2880"/>
      <c r="P39" s="2880"/>
      <c r="Q39" s="2881"/>
      <c r="R39" s="2882"/>
      <c r="S39" s="2917"/>
      <c r="T39" s="2838"/>
      <c r="U39" s="2838"/>
      <c r="V39" s="2846"/>
    </row>
    <row r="40" spans="1:23" s="2850" customFormat="1" ht="13.15" customHeight="1">
      <c r="A40" s="2987">
        <v>10</v>
      </c>
      <c r="B40" s="2927" t="s">
        <v>2425</v>
      </c>
      <c r="C40" s="2988">
        <f ca="1">C39+D39+E39</f>
        <v>47371.578424942665</v>
      </c>
      <c r="D40" s="2989"/>
      <c r="E40" s="2989"/>
      <c r="F40" s="2990"/>
      <c r="G40" s="2925"/>
      <c r="H40" s="2845"/>
      <c r="I40" s="2846"/>
      <c r="J40" s="3704"/>
      <c r="K40" s="3707"/>
      <c r="L40" s="2898" t="s">
        <v>2364</v>
      </c>
      <c r="M40" s="2899"/>
      <c r="N40" s="2899"/>
      <c r="O40" s="2900"/>
      <c r="P40" s="2900"/>
      <c r="Q40" s="2901"/>
      <c r="R40" s="2849">
        <f>SUM(R37:R39)</f>
        <v>0</v>
      </c>
      <c r="S40" s="2917"/>
      <c r="T40" s="2838"/>
      <c r="U40" s="2838"/>
      <c r="V40" s="2846"/>
    </row>
    <row r="41" spans="1:23" s="2850" customFormat="1" ht="13.15" customHeight="1" thickBot="1">
      <c r="A41" s="2991">
        <v>11</v>
      </c>
      <c r="B41" s="2992" t="s">
        <v>2426</v>
      </c>
      <c r="C41" s="2992">
        <f ca="1">ROUND(C40*10000/B4,0)</f>
        <v>14091</v>
      </c>
      <c r="D41" s="2993"/>
      <c r="E41" s="2993"/>
      <c r="F41" s="2994"/>
      <c r="G41" s="2995"/>
      <c r="H41" s="2845"/>
      <c r="I41" s="2846"/>
      <c r="J41" s="2939">
        <v>2</v>
      </c>
      <c r="K41" s="2940" t="s">
        <v>2404</v>
      </c>
      <c r="L41" s="2941"/>
      <c r="M41" s="2941"/>
      <c r="N41" s="2941"/>
      <c r="O41" s="2941"/>
      <c r="P41" s="2942"/>
      <c r="Q41" s="2943"/>
      <c r="R41" s="2914">
        <f>ROUND(R40*Q41,0)</f>
        <v>0</v>
      </c>
      <c r="S41" s="2917"/>
      <c r="T41" s="2838"/>
      <c r="U41" s="2951"/>
      <c r="V41" s="2846"/>
    </row>
    <row r="42" spans="1:23" s="2850" customFormat="1" ht="13.15" customHeight="1">
      <c r="G42" s="2995"/>
      <c r="H42" s="2845"/>
      <c r="I42" s="2846"/>
      <c r="J42" s="3708">
        <v>3</v>
      </c>
      <c r="K42" s="2946" t="s">
        <v>2406</v>
      </c>
      <c r="L42" s="2947"/>
      <c r="M42" s="2948"/>
      <c r="N42" s="2949" t="s">
        <v>2407</v>
      </c>
      <c r="O42" s="2949" t="s">
        <v>2408</v>
      </c>
      <c r="P42" s="2950" t="s">
        <v>2409</v>
      </c>
      <c r="Q42" s="2950" t="s">
        <v>2410</v>
      </c>
      <c r="R42" s="2855" t="s">
        <v>2342</v>
      </c>
      <c r="S42" s="2951"/>
      <c r="T42" s="2951"/>
      <c r="U42" s="2838"/>
      <c r="V42" s="2846"/>
    </row>
    <row r="43" spans="1:23" ht="13.15" customHeight="1">
      <c r="A43" s="2850"/>
      <c r="B43" s="2850"/>
      <c r="C43" s="2850"/>
      <c r="D43" s="2850"/>
      <c r="E43" s="2850"/>
      <c r="F43" s="2850"/>
      <c r="I43" s="2833"/>
      <c r="J43" s="3709"/>
      <c r="K43" s="2954"/>
      <c r="L43" s="2955"/>
      <c r="M43" s="2956"/>
      <c r="N43" s="2879"/>
      <c r="O43" s="2879"/>
      <c r="P43" s="2879"/>
      <c r="Q43" s="2943"/>
      <c r="R43" s="2914">
        <f>ROUND(O43*N43*P43*(1-Q43)/10000,0)</f>
        <v>0</v>
      </c>
      <c r="S43" s="2917"/>
      <c r="T43" s="2838"/>
      <c r="V43" s="2997"/>
      <c r="W43" s="2998"/>
    </row>
    <row r="44" spans="1:23" ht="13.15" customHeight="1" thickBot="1">
      <c r="J44" s="2959">
        <v>6</v>
      </c>
      <c r="K44" s="2960" t="s">
        <v>2413</v>
      </c>
      <c r="L44" s="2999" t="s">
        <v>2414</v>
      </c>
      <c r="M44" s="2962"/>
      <c r="N44" s="2999" t="s">
        <v>2415</v>
      </c>
      <c r="O44" s="2962"/>
      <c r="P44" s="2999" t="s">
        <v>2416</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L46" sqref="L4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3454</v>
      </c>
      <c r="D1" s="1360" t="s">
        <v>43</v>
      </c>
      <c r="E1" s="1361" t="s">
        <v>678</v>
      </c>
      <c r="F1" s="1061">
        <f ca="1">J53</f>
        <v>33.450000000000003</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46333</v>
      </c>
      <c r="C2" s="1385" t="s">
        <v>805</v>
      </c>
      <c r="D2" s="1385"/>
      <c r="E2" s="1386"/>
      <c r="F2" s="1387"/>
      <c r="G2" s="2703"/>
      <c r="H2" s="2692"/>
      <c r="I2" s="2692"/>
      <c r="J2" s="2692"/>
      <c r="K2" s="2693"/>
      <c r="L2" s="2692"/>
      <c r="M2" s="2692"/>
    </row>
    <row r="3" spans="1:37" ht="18" customHeight="1" thickBot="1">
      <c r="A3" s="1388" t="s">
        <v>806</v>
      </c>
      <c r="B3" s="1389">
        <f ca="1">IF(ISERROR(B2*10000/F43),0,ROUND(B2*10000/F43,0))</f>
        <v>13782</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4086</v>
      </c>
      <c r="D5" s="1362" t="s">
        <v>693</v>
      </c>
      <c r="E5" s="1070"/>
      <c r="F5" s="1071"/>
      <c r="G5" s="1382"/>
      <c r="H5" s="298">
        <v>1</v>
      </c>
      <c r="I5" s="299" t="s">
        <v>692</v>
      </c>
      <c r="J5" s="1069">
        <f ca="1">J6+J10+J12</f>
        <v>0</v>
      </c>
      <c r="K5" s="1362" t="s">
        <v>693</v>
      </c>
      <c r="L5" s="1070"/>
      <c r="M5" s="1071"/>
    </row>
    <row r="6" spans="1:37" ht="18" customHeight="1">
      <c r="A6" s="1068" t="s">
        <v>398</v>
      </c>
      <c r="B6" s="3725" t="s">
        <v>694</v>
      </c>
      <c r="C6" s="1073">
        <f ca="1">ROUND(F6*F8*F7*(1-F9)/10000,0)</f>
        <v>4086</v>
      </c>
      <c r="D6" s="154" t="s">
        <v>2108</v>
      </c>
      <c r="E6" s="301" t="s">
        <v>696</v>
      </c>
      <c r="F6" s="302">
        <f ca="1">INDIRECT("'数据-取费表'!u"&amp;$G$1)</f>
        <v>5.5</v>
      </c>
      <c r="G6" s="1382"/>
      <c r="H6" s="1068" t="s">
        <v>398</v>
      </c>
      <c r="I6" s="3725" t="s">
        <v>694</v>
      </c>
      <c r="J6" s="300">
        <f ca="1">ROUND(M6*M8*M7*(1-M9)/10000,0)</f>
        <v>0</v>
      </c>
      <c r="K6" s="154" t="s">
        <v>2107</v>
      </c>
      <c r="L6" s="301" t="s">
        <v>696</v>
      </c>
      <c r="M6" s="302">
        <f ca="1">INDIRECT("'数据-取费表'!z"&amp;$G$1)</f>
        <v>0</v>
      </c>
    </row>
    <row r="7" spans="1:37" ht="18" customHeight="1">
      <c r="A7" s="1072"/>
      <c r="B7" s="3726"/>
      <c r="C7" s="1074"/>
      <c r="D7" s="306"/>
      <c r="E7" s="1075" t="s">
        <v>697</v>
      </c>
      <c r="F7" s="302">
        <f ca="1">IF(INDIRECT("'数据-取费表'!ah"&amp;$G$1)="",INDIRECT("'数据-取费表'!k"&amp;$G$1),INDIRECT("'数据-取费表'!ah"&amp;$G$1))</f>
        <v>22613.18</v>
      </c>
      <c r="G7" s="1382"/>
      <c r="H7" s="303"/>
      <c r="I7" s="3726"/>
      <c r="J7" s="305"/>
      <c r="K7" s="306"/>
      <c r="L7" s="301" t="s">
        <v>697</v>
      </c>
      <c r="M7" s="302">
        <f ca="1">F7</f>
        <v>22613.18</v>
      </c>
    </row>
    <row r="8" spans="1:37" ht="18" customHeight="1">
      <c r="A8" s="303"/>
      <c r="B8" s="3726"/>
      <c r="C8" s="305"/>
      <c r="D8" s="306"/>
      <c r="E8" s="301" t="s">
        <v>698</v>
      </c>
      <c r="F8" s="302">
        <f ca="1">INDIRECT("'数据-取费表'!ai"&amp;$G$1)</f>
        <v>365</v>
      </c>
      <c r="G8" s="1382"/>
      <c r="H8" s="303"/>
      <c r="I8" s="3726"/>
      <c r="J8" s="305"/>
      <c r="K8" s="306"/>
      <c r="L8" s="301" t="s">
        <v>698</v>
      </c>
      <c r="M8" s="302">
        <f ca="1">INDIRECT("'数据-取费表'!ai"&amp;$G$1)</f>
        <v>365</v>
      </c>
    </row>
    <row r="9" spans="1:37" ht="18" customHeight="1">
      <c r="A9" s="303"/>
      <c r="B9" s="3727"/>
      <c r="C9" s="305"/>
      <c r="D9" s="306"/>
      <c r="E9" s="301" t="s">
        <v>699</v>
      </c>
      <c r="F9" s="311">
        <f ca="1">INDIRECT("'数据-取费表'!w"&amp;$G$1)</f>
        <v>0.1</v>
      </c>
      <c r="G9" s="1382"/>
      <c r="H9" s="303"/>
      <c r="I9" s="3727"/>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2116</v>
      </c>
      <c r="E10" s="312" t="s">
        <v>701</v>
      </c>
      <c r="F10" s="1115" t="s">
        <v>3468</v>
      </c>
      <c r="G10" s="1382"/>
      <c r="H10" s="1068" t="s">
        <v>402</v>
      </c>
      <c r="I10" s="1363" t="s">
        <v>700</v>
      </c>
      <c r="J10" s="300">
        <f ca="1">ROUND(IF(M10="押一",J6/12*M11,IF(M10="押二",J6/12*2*M11,IF(M10="押三",J6/12*3*M11,J11*M11))),0)</f>
        <v>0</v>
      </c>
      <c r="K10" s="1364" t="s">
        <v>2115</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39577</v>
      </c>
      <c r="D13" s="1080" t="s">
        <v>705</v>
      </c>
      <c r="E13" s="1080" t="s">
        <v>706</v>
      </c>
      <c r="F13" s="1081">
        <f ca="1">INDIRECT("'数据-取费表'!y"&amp;$G$1)</f>
        <v>0.97</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27903</v>
      </c>
      <c r="D14" s="1343" t="s">
        <v>708</v>
      </c>
      <c r="E14" s="1340"/>
      <c r="F14" s="318"/>
      <c r="G14" s="1382"/>
      <c r="H14" s="981" t="s">
        <v>398</v>
      </c>
      <c r="I14" s="301" t="s">
        <v>709</v>
      </c>
      <c r="J14" s="20">
        <f ca="1">C29</f>
        <v>40801</v>
      </c>
      <c r="K14" s="11"/>
      <c r="L14" s="806"/>
      <c r="M14" s="807"/>
    </row>
    <row r="15" spans="1:37" s="1395" customFormat="1" ht="18" customHeight="1" thickBot="1">
      <c r="A15" s="981" t="s">
        <v>399</v>
      </c>
      <c r="B15" s="301" t="s">
        <v>710</v>
      </c>
      <c r="C15" s="20">
        <f ca="1">ROUND(C14*F15,0)</f>
        <v>1395</v>
      </c>
      <c r="D15" s="319" t="s">
        <v>711</v>
      </c>
      <c r="E15" s="319" t="s">
        <v>712</v>
      </c>
      <c r="F15" s="320">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2"/>
      <c r="H16" s="1078" t="s">
        <v>393</v>
      </c>
      <c r="I16" s="1079" t="s">
        <v>714</v>
      </c>
      <c r="J16" s="309">
        <f ca="1">ROUND(J17+J22+J23+J24,0)</f>
        <v>819</v>
      </c>
      <c r="K16" s="1086" t="s">
        <v>715</v>
      </c>
      <c r="L16" s="1087"/>
      <c r="M16" s="1071"/>
    </row>
    <row r="17" spans="1:37" s="1395" customFormat="1" ht="18" customHeight="1">
      <c r="A17" s="981" t="s">
        <v>681</v>
      </c>
      <c r="B17" s="301" t="s">
        <v>716</v>
      </c>
      <c r="C17" s="20">
        <f ca="1">ROUND(F17*(F43+INDIRECT("'数据-取费表'!S"&amp;$G$1))/10000,0)</f>
        <v>672</v>
      </c>
      <c r="D17" s="301" t="s">
        <v>717</v>
      </c>
      <c r="E17" s="301" t="s">
        <v>718</v>
      </c>
      <c r="F17" s="22">
        <f>'数据-取费表'!B35</f>
        <v>200</v>
      </c>
      <c r="G17" s="1394"/>
      <c r="H17" s="981" t="s">
        <v>398</v>
      </c>
      <c r="I17" s="301" t="s">
        <v>719</v>
      </c>
      <c r="J17" s="2314">
        <f ca="1">ROUND(IF(AND(项目基本情况!B11="自然人",项目基本情况!B10="北京市"),J6*M17/(1+'数据-取费表'!C42),J18+J19+J20),2)</f>
        <v>3.45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0">
        <f ca="1">ROUND(C14*F18,0)</f>
        <v>558</v>
      </c>
      <c r="D18" s="301" t="s">
        <v>711</v>
      </c>
      <c r="E18" s="301" t="s">
        <v>712</v>
      </c>
      <c r="F18" s="321">
        <f>'数据-取费表'!B36</f>
        <v>0.02</v>
      </c>
      <c r="G18" s="1394"/>
      <c r="H18" s="981" t="s">
        <v>397</v>
      </c>
      <c r="I18" s="301" t="s">
        <v>723</v>
      </c>
      <c r="J18" s="20">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0">
        <f ca="1">SUM(C14:C18)</f>
        <v>30528</v>
      </c>
      <c r="D19" s="130" t="s">
        <v>726</v>
      </c>
      <c r="E19" s="1358"/>
      <c r="F19" s="22"/>
      <c r="G19" s="1382"/>
      <c r="H19" s="981" t="s">
        <v>399</v>
      </c>
      <c r="I19" s="301" t="s">
        <v>727</v>
      </c>
      <c r="J19" s="20">
        <f ca="1">IF(K19="按租金收入计税",ROUND(J6*M19/(1+'数据-取费表'!C42),2),ROUND(C29*M19*0.7,2))</f>
        <v>0</v>
      </c>
      <c r="K19" s="1368" t="s">
        <v>3328</v>
      </c>
      <c r="L19" s="301" t="s">
        <v>712</v>
      </c>
      <c r="M19" s="321">
        <f>IF(K19="按租金收入计税",'数据-取费表'!B51,'数据-取费表'!B50)</f>
        <v>0.12</v>
      </c>
    </row>
    <row r="20" spans="1:37" s="1395" customFormat="1" ht="18" customHeight="1">
      <c r="A20" s="981" t="s">
        <v>402</v>
      </c>
      <c r="B20" s="301" t="s">
        <v>728</v>
      </c>
      <c r="C20" s="20">
        <f ca="1">ROUND(C19*F20,0)</f>
        <v>916</v>
      </c>
      <c r="D20" s="322" t="s">
        <v>729</v>
      </c>
      <c r="E20" s="301" t="s">
        <v>712</v>
      </c>
      <c r="F20" s="321">
        <f>'数据-取费表'!B37</f>
        <v>0.03</v>
      </c>
      <c r="G20" s="1394"/>
      <c r="H20" s="981" t="s">
        <v>680</v>
      </c>
      <c r="I20" s="154" t="s">
        <v>730</v>
      </c>
      <c r="J20" s="21">
        <f ca="1">ROUND(M20*M21/10000,2)</f>
        <v>3.45</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0" t="s">
        <v>15</v>
      </c>
      <c r="D21" s="322" t="s">
        <v>734</v>
      </c>
      <c r="E21" s="301" t="s">
        <v>735</v>
      </c>
      <c r="F21" s="321">
        <f>'数据-取费表'!B38</f>
        <v>0.03</v>
      </c>
      <c r="G21" s="1394"/>
      <c r="H21" s="325"/>
      <c r="I21" s="310"/>
      <c r="J21" s="25"/>
      <c r="K21" s="326"/>
      <c r="L21" s="301" t="s">
        <v>736</v>
      </c>
      <c r="M21" s="302">
        <f ca="1">INDIRECT("'数据-取费表'!r"&amp;$G$1)</f>
        <v>22981.55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8"/>
      <c r="F22" s="22"/>
      <c r="G22" s="1382"/>
      <c r="H22" s="981" t="s">
        <v>402</v>
      </c>
      <c r="I22" s="301" t="s">
        <v>738</v>
      </c>
      <c r="J22" s="20">
        <f ca="1">ROUND(J14*M22,2)</f>
        <v>816.02</v>
      </c>
      <c r="K22" s="1342" t="s">
        <v>739</v>
      </c>
      <c r="L22" s="301" t="s">
        <v>712</v>
      </c>
      <c r="M22" s="327">
        <f ca="1">INDIRECT("'数据-取费表'!Ak"&amp;$G$1)</f>
        <v>0.02</v>
      </c>
    </row>
    <row r="23" spans="1:37" s="1395" customFormat="1" ht="18" customHeight="1">
      <c r="A23" s="981" t="s">
        <v>397</v>
      </c>
      <c r="B23" s="301" t="s">
        <v>740</v>
      </c>
      <c r="C23" s="20">
        <f ca="1">IF('数据-取费表'!B22&lt;=1,ROUND(C19*F24*F23/2,0)+ROUND(C20*F24*F23/2,0),ROUND(C19*(POWER((1+F24),F23/2)-1),0)+ROUND(C20*(POWER((1+F24),F23/2)-1),0))</f>
        <v>1054</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0">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3.3500000000000002E-2</v>
      </c>
      <c r="G24" s="1394"/>
      <c r="H24" s="1088" t="s">
        <v>684</v>
      </c>
      <c r="I24" s="1089" t="s">
        <v>728</v>
      </c>
      <c r="J24" s="1090">
        <f ca="1">ROUND(J5*M24,2)</f>
        <v>0</v>
      </c>
      <c r="K24" s="1091" t="s">
        <v>748</v>
      </c>
      <c r="L24" s="1089" t="s">
        <v>744</v>
      </c>
      <c r="M24" s="1085">
        <f ca="1">INDIRECT("'数据-取费表'!Am"&amp;$G$1)</f>
        <v>0.05</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0"/>
      <c r="D25" s="130" t="s">
        <v>751</v>
      </c>
      <c r="E25" s="1358"/>
      <c r="F25" s="22"/>
      <c r="G25" s="1382"/>
      <c r="H25" s="1078" t="s">
        <v>394</v>
      </c>
      <c r="I25" s="1093" t="s">
        <v>752</v>
      </c>
      <c r="J25" s="309">
        <f ca="1">J5-J16</f>
        <v>-819</v>
      </c>
      <c r="K25" s="1094" t="s">
        <v>753</v>
      </c>
      <c r="L25" s="1095"/>
      <c r="M25" s="1096"/>
    </row>
    <row r="26" spans="1:37">
      <c r="A26" s="981" t="s">
        <v>397</v>
      </c>
      <c r="B26" s="301" t="s">
        <v>754</v>
      </c>
      <c r="C26" s="20">
        <f ca="1">ROUND((C19+C20)*F26,0)</f>
        <v>4717</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4.4999999999999997E-3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40801</v>
      </c>
      <c r="D29" s="1091"/>
      <c r="E29" s="1089"/>
      <c r="F29" s="1092"/>
      <c r="G29" s="1394"/>
      <c r="H29" s="333" t="s">
        <v>396</v>
      </c>
      <c r="I29" s="334" t="s">
        <v>768</v>
      </c>
      <c r="J29" s="335">
        <f ca="1">ROUND(J26/(1+F40)^F41,0)</f>
        <v>0</v>
      </c>
      <c r="K29" s="336" t="s">
        <v>769</v>
      </c>
      <c r="L29" s="337"/>
      <c r="M29" s="338">
        <f ca="1">INDIRECT("'数据-取费表'!k"&amp;$G$1)</f>
        <v>33618.589999999997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1764</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ROUND(IF(AND(项目基本情况!B11="自然人",项目基本情况!B10="北京市"),C6*F31/(1+'数据-取费表'!C42),C32+C33+C34),2)</f>
        <v>684.45</v>
      </c>
      <c r="D31" s="1343" t="s">
        <v>720</v>
      </c>
      <c r="E31" s="1342" t="s">
        <v>770</v>
      </c>
      <c r="F31" s="2313" t="str">
        <f>IF(项目基本情况!B11="企业","——",IF(M47="住宅",IF(F6*F7*F8/12/(1+'数据-取费表'!F30)&gt;100000,4%,2.5%),IF(F6*F7*F8/12/(1+'数据-取费表'!F30)&gt;100000,12%,7%)))</f>
        <v>——</v>
      </c>
      <c r="G31" s="1382"/>
      <c r="H31" s="2805" t="s">
        <v>2307</v>
      </c>
      <c r="I31" s="1396"/>
      <c r="J31" s="1397"/>
      <c r="K31" s="2472"/>
      <c r="L31" s="2695"/>
      <c r="M31" s="2696"/>
    </row>
    <row r="32" spans="1:37" ht="18" customHeight="1">
      <c r="A32" s="981" t="s">
        <v>397</v>
      </c>
      <c r="B32" s="301" t="s">
        <v>723</v>
      </c>
      <c r="C32" s="20">
        <f ca="1">IF(项目基本情况!B11="自然人","——",ROUND(C6*F32/(1+'数据-取费表'!C42),2))</f>
        <v>214.03</v>
      </c>
      <c r="D32" s="1342" t="s">
        <v>724</v>
      </c>
      <c r="E32" s="301" t="s">
        <v>712</v>
      </c>
      <c r="F32" s="330">
        <f>'数据-取费表'!B41</f>
        <v>5.5000000000000007E-2</v>
      </c>
      <c r="G32" s="1382"/>
      <c r="H32" s="2694"/>
      <c r="I32" s="1396"/>
      <c r="J32" s="1397"/>
      <c r="K32" s="2472"/>
      <c r="L32" s="2695"/>
      <c r="M32" s="2696"/>
    </row>
    <row r="33" spans="1:18" ht="18" customHeight="1">
      <c r="A33" s="981" t="s">
        <v>399</v>
      </c>
      <c r="B33" s="301" t="s">
        <v>727</v>
      </c>
      <c r="C33" s="20">
        <f ca="1">IF(项目基本情况!B11="自然人","——",IF(D33="按租金收入计税",ROUND(C6*F33/(1+'数据-取费表'!C42),2),IF(D33="按房产原值计税",ROUND(C29*F33*0.7,2),INDIRECT("'数据-取费表'!Aj"&amp;$G$1))))</f>
        <v>466.97</v>
      </c>
      <c r="D33" s="1368" t="s">
        <v>3328</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1">
        <f ca="1">IF(项目基本情况!B11="自然人","——",ROUND(F34*F35/10000,2))</f>
        <v>3.45</v>
      </c>
      <c r="D34" s="323" t="s">
        <v>731</v>
      </c>
      <c r="E34" s="301" t="s">
        <v>732</v>
      </c>
      <c r="F34" s="324">
        <f>'数据-取费表'!B52</f>
        <v>1.5</v>
      </c>
      <c r="G34" s="1382"/>
      <c r="H34" s="2694"/>
      <c r="I34" s="1396"/>
      <c r="J34" s="1397"/>
      <c r="K34" s="2699"/>
      <c r="L34" s="2700"/>
      <c r="M34" s="2700"/>
    </row>
    <row r="35" spans="1:18" ht="18" customHeight="1">
      <c r="A35" s="1102"/>
      <c r="B35" s="1100"/>
      <c r="C35" s="25"/>
      <c r="D35" s="326"/>
      <c r="E35" s="301" t="s">
        <v>736</v>
      </c>
      <c r="F35" s="302">
        <f ca="1">INDIRECT("'数据-取费表'!r"&amp;$G$1)</f>
        <v>22981.55</v>
      </c>
      <c r="G35" s="1382"/>
      <c r="H35" s="2694"/>
      <c r="I35" s="1396"/>
      <c r="J35" s="1397"/>
      <c r="K35" s="2698"/>
      <c r="L35" s="2697"/>
      <c r="M35" s="2697"/>
    </row>
    <row r="36" spans="1:18" ht="18" customHeight="1">
      <c r="A36" s="1101" t="s">
        <v>402</v>
      </c>
      <c r="B36" s="301" t="s">
        <v>738</v>
      </c>
      <c r="C36" s="20">
        <f ca="1">ROUND(C29*F36,2)</f>
        <v>816.02</v>
      </c>
      <c r="D36" s="1342" t="s">
        <v>771</v>
      </c>
      <c r="E36" s="301" t="s">
        <v>712</v>
      </c>
      <c r="F36" s="327">
        <f ca="1">INDIRECT("'数据-取费表'!Ak"&amp;$G$1)</f>
        <v>0.02</v>
      </c>
      <c r="G36" s="1382"/>
      <c r="H36" s="2697"/>
      <c r="I36" s="1396"/>
      <c r="J36" s="1397"/>
      <c r="K36" s="2541"/>
      <c r="L36" s="2697"/>
      <c r="M36" s="2697"/>
    </row>
    <row r="37" spans="1:18" ht="18" customHeight="1">
      <c r="A37" s="981" t="s">
        <v>437</v>
      </c>
      <c r="B37" s="301" t="s">
        <v>742</v>
      </c>
      <c r="C37" s="20">
        <f ca="1">ROUND(C13*F37,2)</f>
        <v>59.37</v>
      </c>
      <c r="D37" s="1342" t="s">
        <v>743</v>
      </c>
      <c r="E37" s="301" t="s">
        <v>744</v>
      </c>
      <c r="F37" s="329">
        <f ca="1">INDIRECT("'数据-取费表'!Al"&amp;$G$1)</f>
        <v>1.5E-3</v>
      </c>
      <c r="G37" s="1382"/>
      <c r="H37" s="2697"/>
      <c r="I37" s="1396"/>
      <c r="J37" s="1397"/>
      <c r="K37" s="2541"/>
      <c r="L37" s="2697"/>
      <c r="M37" s="2697"/>
    </row>
    <row r="38" spans="1:18" ht="18" customHeight="1" thickBot="1">
      <c r="A38" s="1088" t="s">
        <v>684</v>
      </c>
      <c r="B38" s="1089" t="s">
        <v>728</v>
      </c>
      <c r="C38" s="1090">
        <f ca="1">ROUND(C5*F38,2)</f>
        <v>204.3</v>
      </c>
      <c r="D38" s="1091" t="s">
        <v>748</v>
      </c>
      <c r="E38" s="1089" t="s">
        <v>744</v>
      </c>
      <c r="F38" s="1085">
        <f ca="1">INDIRECT("'数据-取费表'!Am"&amp;$G$1)</f>
        <v>0.05</v>
      </c>
      <c r="G38" s="1382"/>
      <c r="H38" s="2697"/>
      <c r="I38" s="1396"/>
      <c r="J38" s="1397"/>
      <c r="K38" s="2701"/>
      <c r="L38" s="2697"/>
      <c r="M38" s="2697"/>
    </row>
    <row r="39" spans="1:18" ht="24.6" customHeight="1" thickTop="1">
      <c r="A39" s="1078" t="s">
        <v>394</v>
      </c>
      <c r="B39" s="1093" t="s">
        <v>772</v>
      </c>
      <c r="C39" s="309">
        <f ca="1">C5-C30</f>
        <v>2322</v>
      </c>
      <c r="D39" s="1094" t="s">
        <v>773</v>
      </c>
      <c r="E39" s="1095"/>
      <c r="F39" s="1096"/>
      <c r="G39" s="1382"/>
      <c r="H39" s="2697"/>
      <c r="I39" s="1396"/>
      <c r="J39" s="1397"/>
      <c r="K39" s="2701"/>
      <c r="L39" s="2697"/>
      <c r="M39" s="2697"/>
    </row>
    <row r="40" spans="1:18" ht="18" customHeight="1">
      <c r="A40" s="298" t="s">
        <v>395</v>
      </c>
      <c r="B40" s="299" t="s">
        <v>774</v>
      </c>
      <c r="C40" s="300">
        <f ca="1">ROUND(C39*(1-((1+F42)/(1+F40))^F41)/(F40-F42),0)</f>
        <v>44881</v>
      </c>
      <c r="D40" s="323" t="s">
        <v>758</v>
      </c>
      <c r="E40" s="301" t="s">
        <v>759</v>
      </c>
      <c r="F40" s="311">
        <f ca="1">INDIRECT("'数据-取费表'!I"&amp;$G$1)</f>
        <v>5.5E-2</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33.450000000000003</v>
      </c>
      <c r="G41" s="1382"/>
      <c r="H41" s="1189"/>
      <c r="I41" s="1396"/>
      <c r="J41" s="1397"/>
      <c r="K41" s="2541"/>
      <c r="L41" s="1189"/>
      <c r="M41" s="1189"/>
    </row>
    <row r="42" spans="1:18" ht="18" customHeight="1">
      <c r="A42" s="307"/>
      <c r="B42" s="308"/>
      <c r="C42" s="309"/>
      <c r="D42" s="326"/>
      <c r="E42" s="301" t="s">
        <v>766</v>
      </c>
      <c r="F42" s="311">
        <f ca="1">INDIRECT("'数据-取费表'!v"&amp;$G$1)</f>
        <v>0.02</v>
      </c>
      <c r="G42" s="1382"/>
      <c r="H42" s="1189"/>
      <c r="I42" s="1396"/>
      <c r="J42" s="1397"/>
      <c r="K42" s="2541"/>
      <c r="L42" s="1189"/>
      <c r="M42" s="1189"/>
    </row>
    <row r="43" spans="1:18" ht="18" customHeight="1" thickBot="1">
      <c r="A43" s="333" t="s">
        <v>396</v>
      </c>
      <c r="B43" s="334" t="s">
        <v>776</v>
      </c>
      <c r="C43" s="335">
        <f ca="1">ROUND(C40*10000/F43,0)</f>
        <v>13350</v>
      </c>
      <c r="D43" s="336" t="s">
        <v>777</v>
      </c>
      <c r="E43" s="337" t="s">
        <v>778</v>
      </c>
      <c r="F43" s="338">
        <f ca="1">INDIRECT("'数据-取费表'!k"&amp;$G$1)</f>
        <v>33618.589999999997</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-58182</v>
      </c>
      <c r="D46" s="1404" t="str">
        <f>C2</f>
        <v>万元</v>
      </c>
      <c r="E46" s="1398"/>
      <c r="F46" s="1398"/>
      <c r="I46" s="1405" t="s">
        <v>810</v>
      </c>
      <c r="J46" s="1406"/>
      <c r="K46" s="1407"/>
      <c r="L46" s="1408">
        <f ca="1">IF(M47="住宅",0,IF(L48&gt;J51,L60,J60))</f>
        <v>1452</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3469</v>
      </c>
      <c r="K47" s="1414" t="s">
        <v>816</v>
      </c>
      <c r="L47" s="1415">
        <f ca="1">INDIRECT("'数据-取费表'!d"&amp;$G$1)</f>
        <v>40</v>
      </c>
      <c r="M47" s="1378" t="str">
        <f>IF(ISNUMBER(FIND("住宅",C1)),"住宅","非住宅")</f>
        <v>非住宅</v>
      </c>
      <c r="O47" s="1416" t="s">
        <v>403</v>
      </c>
      <c r="P47" s="1417" t="s">
        <v>817</v>
      </c>
      <c r="Q47" s="1418">
        <f ca="1">C40+J29</f>
        <v>44881</v>
      </c>
      <c r="R47" s="1418" t="s">
        <v>818</v>
      </c>
    </row>
    <row r="48" spans="1:18" s="1382" customFormat="1" ht="28.5" thickBot="1">
      <c r="A48" s="1109" t="s">
        <v>438</v>
      </c>
      <c r="B48" s="299" t="s">
        <v>692</v>
      </c>
      <c r="C48" s="1357">
        <f ca="1">C49+C53+C55</f>
        <v>0</v>
      </c>
      <c r="D48" s="1111"/>
      <c r="E48" s="1112"/>
      <c r="F48" s="961"/>
      <c r="G48" s="721"/>
      <c r="H48" s="722"/>
      <c r="I48" s="1419" t="s">
        <v>819</v>
      </c>
      <c r="J48" s="1420" t="s">
        <v>3470</v>
      </c>
      <c r="K48" s="1421" t="s">
        <v>820</v>
      </c>
      <c r="L48" s="1422">
        <f ca="1">INDIRECT("'数据-取费表'!f"&amp;$G$1)</f>
        <v>33.450000000000003</v>
      </c>
      <c r="O48" s="1416" t="s">
        <v>404</v>
      </c>
      <c r="P48" s="1417" t="s">
        <v>821</v>
      </c>
      <c r="Q48" s="1418">
        <f ca="1">J60</f>
        <v>1452</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v>2021</v>
      </c>
      <c r="K49" s="1421" t="s">
        <v>824</v>
      </c>
      <c r="L49" s="1425"/>
      <c r="O49" s="1426" t="s">
        <v>405</v>
      </c>
      <c r="P49" s="1417" t="s">
        <v>825</v>
      </c>
      <c r="Q49" s="1418">
        <f ca="1">C29</f>
        <v>40801</v>
      </c>
      <c r="R49" s="1418" t="s">
        <v>818</v>
      </c>
    </row>
    <row r="50" spans="1:18" s="1382" customFormat="1" ht="13.5" thickBot="1">
      <c r="A50" s="975"/>
      <c r="B50" s="978"/>
      <c r="C50" s="1117"/>
      <c r="D50" s="952"/>
      <c r="E50" s="1055" t="s">
        <v>697</v>
      </c>
      <c r="F50" s="1056">
        <f ca="1">F7</f>
        <v>22613.18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57</v>
      </c>
      <c r="K51" s="1432" t="s">
        <v>830</v>
      </c>
      <c r="L51" s="1433">
        <f ca="1">ROUND(-PV(INDIRECT("'数据-取费表'!h"&amp;$G$1),J51,(C39-C13*C76),0),0)</f>
        <v>-8412</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f ca="1">J53</f>
        <v>33.450000000000003</v>
      </c>
      <c r="R52" s="1418" t="s">
        <v>835</v>
      </c>
    </row>
    <row r="53" spans="1:18" s="1382" customFormat="1" ht="24.75" thickBot="1">
      <c r="A53" s="1151" t="s">
        <v>440</v>
      </c>
      <c r="B53" s="1371" t="s">
        <v>700</v>
      </c>
      <c r="C53" s="315">
        <f ca="1">ROUND(IF(F53="押一",C49/12*F11,IF(F53="押二",C49/12*2*F11,IF(F53="押三",C49/12*3*F11,C54*F11))),0)</f>
        <v>0</v>
      </c>
      <c r="D53" s="1364" t="s">
        <v>2115</v>
      </c>
      <c r="E53" s="312" t="s">
        <v>701</v>
      </c>
      <c r="F53" s="1115"/>
      <c r="I53" s="1437" t="s">
        <v>836</v>
      </c>
      <c r="J53" s="2166">
        <f ca="1">IF(M47="住宅",IF(D1="——",MAX(J51,L48),MAX(J51,L48-'数据-取费表'!B24)),IF(D1="——",MIN(J51,L48),MIN(J51,L48-'数据-取费表'!B24)))</f>
        <v>33.450000000000003</v>
      </c>
      <c r="K53" s="3723" t="s">
        <v>837</v>
      </c>
      <c r="L53" s="3724"/>
      <c r="O53" s="1416" t="s">
        <v>409</v>
      </c>
      <c r="P53" s="1417" t="s">
        <v>838</v>
      </c>
      <c r="Q53" s="1418">
        <f ca="1">Q47+Q48</f>
        <v>46333</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0.39300000000000002</v>
      </c>
      <c r="K55" s="1443" t="s">
        <v>841</v>
      </c>
      <c r="L55" s="1444"/>
      <c r="O55" s="1409" t="s">
        <v>811</v>
      </c>
      <c r="P55" s="1410" t="s">
        <v>812</v>
      </c>
      <c r="Q55" s="1411" t="s">
        <v>813</v>
      </c>
      <c r="R55" s="1411" t="s">
        <v>814</v>
      </c>
    </row>
    <row r="56" spans="1:18" s="1382" customFormat="1" ht="25.5" thickTop="1" thickBot="1">
      <c r="A56" s="956">
        <v>2</v>
      </c>
      <c r="B56" s="957" t="s">
        <v>704</v>
      </c>
      <c r="C56" s="231">
        <f ca="1">C13</f>
        <v>39577</v>
      </c>
      <c r="D56" s="1445"/>
      <c r="E56" s="1446"/>
      <c r="F56" s="1438"/>
      <c r="I56" s="1447" t="s">
        <v>842</v>
      </c>
      <c r="J56" s="1448" t="s">
        <v>3414</v>
      </c>
      <c r="K56" s="1419" t="s">
        <v>843</v>
      </c>
      <c r="L56" s="1422" t="str">
        <f ca="1">IF(L48&lt;J51,"——",L48-J53)</f>
        <v>——</v>
      </c>
      <c r="O56" s="1416" t="s">
        <v>403</v>
      </c>
      <c r="P56" s="1417" t="s">
        <v>817</v>
      </c>
      <c r="Q56" s="1418">
        <f ca="1">C40+J29</f>
        <v>44881</v>
      </c>
      <c r="R56" s="1418" t="s">
        <v>818</v>
      </c>
    </row>
    <row r="57" spans="1:18" s="1382" customFormat="1" ht="24.75" thickBot="1">
      <c r="A57" s="1449"/>
      <c r="B57" s="949" t="s">
        <v>767</v>
      </c>
      <c r="C57" s="237">
        <f ca="1">C29</f>
        <v>40801</v>
      </c>
      <c r="D57" s="1450"/>
      <c r="E57" s="1451"/>
      <c r="F57" s="1452"/>
      <c r="I57" s="1453" t="s">
        <v>844</v>
      </c>
      <c r="J57" s="1454">
        <f ca="1">IF(OR(M47="住宅",J51&lt;L48,J56="是"),"——",J51-L48)</f>
        <v>23.549999999999997</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878</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3</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16320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0">
        <f ca="1">IF(项目基本情况!B11="自然人","——",ROUND(C48*F60/(1+'数据-取费表'!C42),2))</f>
        <v>0</v>
      </c>
      <c r="D60" s="963" t="s">
        <v>724</v>
      </c>
      <c r="E60" s="949" t="s">
        <v>712</v>
      </c>
      <c r="F60" s="330">
        <f t="shared" ref="F60:F66" si="0">F32</f>
        <v>5.5000000000000007E-2</v>
      </c>
      <c r="I60" s="1456" t="s">
        <v>853</v>
      </c>
      <c r="J60" s="1457">
        <f ca="1">IF(OR(M47="住宅",J51&lt;L48,J56="是"),"0",ROUND(J59/(1+J52)^J53,0))</f>
        <v>1452</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0">
        <f ca="1">IF(项目基本情况!B11="自然人","——",IF(D61="按租金收入计税",ROUND(C49*F61/(1+'数据-取费表'!C42),2),IF(D61="按房产原值计税",ROUND(C57*F61*0.7,2),INDIRECT("'数据-取费表'!Aj"&amp;$G$1))))</f>
        <v>0</v>
      </c>
      <c r="D61" s="1368" t="s">
        <v>3328</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1">
        <f ca="1">IF(项目基本情况!B11="自然人","——",ROUND(F62*F63/10000,2))</f>
        <v>3.45</v>
      </c>
      <c r="D62" s="964" t="s">
        <v>786</v>
      </c>
      <c r="E62" s="949" t="s">
        <v>787</v>
      </c>
      <c r="F62" s="324">
        <f t="shared" si="0"/>
        <v>1.5</v>
      </c>
      <c r="I62" s="1460" t="s">
        <v>858</v>
      </c>
      <c r="J62" s="1461" t="s">
        <v>859</v>
      </c>
      <c r="K62" s="1461" t="s">
        <v>860</v>
      </c>
      <c r="L62" s="1461" t="s">
        <v>861</v>
      </c>
      <c r="M62" s="1462" t="s">
        <v>862</v>
      </c>
      <c r="O62" s="1416" t="s">
        <v>409</v>
      </c>
      <c r="P62" s="1417" t="s">
        <v>863</v>
      </c>
      <c r="Q62" s="1418">
        <f ca="1">Q56+Q57</f>
        <v>44881</v>
      </c>
      <c r="R62" s="1418" t="s">
        <v>410</v>
      </c>
    </row>
    <row r="63" spans="1:18" s="1382" customFormat="1" ht="13.5" thickBot="1">
      <c r="A63" s="325"/>
      <c r="B63" s="955"/>
      <c r="C63" s="25"/>
      <c r="D63" s="965"/>
      <c r="E63" s="949" t="s">
        <v>788</v>
      </c>
      <c r="F63" s="302">
        <f t="shared" ca="1" si="0"/>
        <v>22981.55</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0">
        <f ca="1">ROUND(C57*F64,2)</f>
        <v>816.02</v>
      </c>
      <c r="D64" s="963" t="s">
        <v>791</v>
      </c>
      <c r="E64" s="949" t="s">
        <v>783</v>
      </c>
      <c r="F64" s="327">
        <f t="shared" ca="1" si="0"/>
        <v>0.02</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0">
        <f ca="1">ROUND(C56*F65,2)</f>
        <v>59.37</v>
      </c>
      <c r="D65" s="963" t="s">
        <v>743</v>
      </c>
      <c r="E65" s="949" t="s">
        <v>744</v>
      </c>
      <c r="F65" s="329">
        <f t="shared" ca="1" si="0"/>
        <v>1.5E-3</v>
      </c>
      <c r="I65" s="1460" t="s">
        <v>867</v>
      </c>
      <c r="J65" s="1461">
        <v>40</v>
      </c>
      <c r="K65" s="1461">
        <v>30</v>
      </c>
      <c r="L65" s="1461">
        <v>50</v>
      </c>
      <c r="M65" s="1463">
        <v>0.02</v>
      </c>
      <c r="O65" s="1416" t="s">
        <v>403</v>
      </c>
      <c r="P65" s="1417" t="s">
        <v>868</v>
      </c>
      <c r="Q65" s="1418">
        <f ca="1">C40+J29</f>
        <v>44881</v>
      </c>
      <c r="R65" s="1418" t="s">
        <v>818</v>
      </c>
    </row>
    <row r="66" spans="1:18" s="1382" customFormat="1" ht="16.5" thickBot="1">
      <c r="A66" s="981" t="s">
        <v>793</v>
      </c>
      <c r="B66" s="949" t="s">
        <v>728</v>
      </c>
      <c r="C66" s="20">
        <f ca="1">ROUND(C48*F66,2)</f>
        <v>0</v>
      </c>
      <c r="D66" s="963" t="s">
        <v>794</v>
      </c>
      <c r="E66" s="949" t="s">
        <v>712</v>
      </c>
      <c r="F66" s="311">
        <f t="shared" ca="1" si="0"/>
        <v>0.05</v>
      </c>
      <c r="O66" s="1416" t="s">
        <v>404</v>
      </c>
      <c r="P66" s="1417" t="s">
        <v>846</v>
      </c>
      <c r="Q66" s="1418">
        <f ca="1">L60</f>
        <v>0</v>
      </c>
      <c r="R66" s="1418" t="s">
        <v>869</v>
      </c>
    </row>
    <row r="67" spans="1:18" s="1382" customFormat="1" ht="16.5" thickBot="1">
      <c r="A67" s="956" t="s">
        <v>394</v>
      </c>
      <c r="B67" s="966" t="s">
        <v>752</v>
      </c>
      <c r="C67" s="315">
        <f ca="1">C48-C58</f>
        <v>-878</v>
      </c>
      <c r="D67" s="962" t="s">
        <v>753</v>
      </c>
      <c r="E67" s="967"/>
      <c r="F67" s="968"/>
      <c r="O67" s="1426" t="s">
        <v>405</v>
      </c>
      <c r="P67" s="1417" t="s">
        <v>850</v>
      </c>
      <c r="Q67" s="1464">
        <f ca="1">L51</f>
        <v>-8412</v>
      </c>
      <c r="R67" s="1418" t="s">
        <v>870</v>
      </c>
    </row>
    <row r="68" spans="1:18" s="1382" customFormat="1" ht="16.5" thickBot="1">
      <c r="A68" s="946" t="s">
        <v>395</v>
      </c>
      <c r="B68" s="947" t="s">
        <v>774</v>
      </c>
      <c r="C68" s="300">
        <f ca="1">ROUND(C67*(1-((1+F70)/(1+F68))^F69)/(F68-F70),0)</f>
        <v>-13301</v>
      </c>
      <c r="D68" s="964" t="s">
        <v>758</v>
      </c>
      <c r="E68" s="949" t="s">
        <v>759</v>
      </c>
      <c r="F68" s="311">
        <f ca="1">F40</f>
        <v>5.5E-2</v>
      </c>
      <c r="O68" s="1426" t="s">
        <v>406</v>
      </c>
      <c r="P68" s="1465" t="s">
        <v>871</v>
      </c>
      <c r="Q68" s="1418">
        <f ca="1">ROUND(Q69-Q70*Q71,0)</f>
        <v>-448</v>
      </c>
      <c r="R68" s="1418" t="s">
        <v>414</v>
      </c>
    </row>
    <row r="69" spans="1:18" s="1382" customFormat="1" ht="13.5" thickBot="1">
      <c r="A69" s="950"/>
      <c r="B69" s="951"/>
      <c r="C69" s="305"/>
      <c r="D69" s="969" t="s">
        <v>762</v>
      </c>
      <c r="E69" s="949" t="s">
        <v>763</v>
      </c>
      <c r="F69" s="332">
        <f ca="1">F41</f>
        <v>33.450000000000003</v>
      </c>
      <c r="O69" s="1426" t="s">
        <v>411</v>
      </c>
      <c r="P69" s="1465" t="s">
        <v>872</v>
      </c>
      <c r="Q69" s="1418">
        <f ca="1">C39</f>
        <v>2322</v>
      </c>
      <c r="R69" s="1418" t="s">
        <v>818</v>
      </c>
    </row>
    <row r="70" spans="1:18" s="1382" customFormat="1" ht="13.5" thickBot="1">
      <c r="A70" s="953"/>
      <c r="B70" s="954"/>
      <c r="C70" s="309"/>
      <c r="D70" s="965"/>
      <c r="E70" s="949" t="s">
        <v>766</v>
      </c>
      <c r="F70" s="1053"/>
      <c r="O70" s="1426" t="s">
        <v>412</v>
      </c>
      <c r="P70" s="1465" t="s">
        <v>873</v>
      </c>
      <c r="Q70" s="1418">
        <f ca="1">C13</f>
        <v>39577</v>
      </c>
      <c r="R70" s="1418" t="s">
        <v>818</v>
      </c>
    </row>
    <row r="71" spans="1:18" s="1382" customFormat="1" ht="13.5" thickBot="1">
      <c r="A71" s="970" t="s">
        <v>396</v>
      </c>
      <c r="B71" s="971" t="s">
        <v>776</v>
      </c>
      <c r="C71" s="335">
        <f ca="1">ROUND(C68*10000/F71,0)</f>
        <v>-3956</v>
      </c>
      <c r="D71" s="972" t="s">
        <v>777</v>
      </c>
      <c r="E71" s="973" t="s">
        <v>778</v>
      </c>
      <c r="F71" s="338">
        <f ca="1">F43</f>
        <v>33618.589999999997</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2770</v>
      </c>
      <c r="D75" s="1382"/>
      <c r="E75" s="1382"/>
      <c r="F75" s="1382"/>
      <c r="K75" s="1400"/>
      <c r="L75" s="1382"/>
      <c r="O75" s="1416" t="s">
        <v>409</v>
      </c>
      <c r="P75" s="1417" t="s">
        <v>838</v>
      </c>
      <c r="Q75" s="1418">
        <f ca="1">Q65+Q66</f>
        <v>44881</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-0.19300000000000006</v>
      </c>
    </row>
    <row r="80" spans="1:18">
      <c r="B80" s="339" t="s">
        <v>800</v>
      </c>
      <c r="C80" s="273">
        <f ca="1">ROUND(C75/C39,3)</f>
        <v>1.1930000000000001</v>
      </c>
    </row>
    <row r="81" spans="2:3">
      <c r="B81" s="269" t="s">
        <v>801</v>
      </c>
      <c r="C81" s="237"/>
    </row>
    <row r="82" spans="2:3">
      <c r="B82" s="272" t="s">
        <v>802</v>
      </c>
      <c r="C82" s="274">
        <f ca="1">1-C83</f>
        <v>0.11799999999999999</v>
      </c>
    </row>
    <row r="83" spans="2:3">
      <c r="B83" s="272" t="s">
        <v>803</v>
      </c>
      <c r="C83" s="273">
        <f ca="1">ROUND(C13/C40,3)</f>
        <v>0.88200000000000001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0"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25" t="s">
        <v>694</v>
      </c>
      <c r="C6" s="1073">
        <f ca="1">ROUND(F6*F8*F7*(1-F9),0)</f>
        <v>0</v>
      </c>
      <c r="D6" s="154" t="s">
        <v>2105</v>
      </c>
      <c r="E6" s="301" t="s">
        <v>696</v>
      </c>
      <c r="F6" s="302">
        <f ca="1">INDIRECT("'数据-取费表'!u"&amp;$G$1)</f>
        <v>0</v>
      </c>
      <c r="G6" s="1382"/>
      <c r="H6" s="1068" t="s">
        <v>398</v>
      </c>
      <c r="I6" s="3725" t="s">
        <v>694</v>
      </c>
      <c r="J6" s="300">
        <f ca="1">ROUND(M6*M8*M7*(1-M9),0)</f>
        <v>0</v>
      </c>
      <c r="K6" s="1374" t="s">
        <v>2106</v>
      </c>
      <c r="L6" s="301" t="s">
        <v>696</v>
      </c>
      <c r="M6" s="302">
        <f ca="1">INDIRECT("'数据-取费表'!z"&amp;$G$1)</f>
        <v>0</v>
      </c>
    </row>
    <row r="7" spans="1:37" ht="18" customHeight="1">
      <c r="A7" s="1072"/>
      <c r="B7" s="3726"/>
      <c r="C7" s="1074"/>
      <c r="D7" s="306"/>
      <c r="E7" s="1075" t="s">
        <v>697</v>
      </c>
      <c r="F7" s="302">
        <f ca="1">IF(INDIRECT("'数据-取费表'!ah"&amp;$G$1)="",INDIRECT("'数据-取费表'!k"&amp;$G$1),INDIRECT("'数据-取费表'!ah"&amp;$G$1))</f>
        <v>0</v>
      </c>
      <c r="G7" s="1382"/>
      <c r="H7" s="303"/>
      <c r="I7" s="3726"/>
      <c r="J7" s="305"/>
      <c r="K7" s="306"/>
      <c r="L7" s="301" t="s">
        <v>697</v>
      </c>
      <c r="M7" s="302">
        <f ca="1">F7</f>
        <v>0</v>
      </c>
    </row>
    <row r="8" spans="1:37" ht="18" customHeight="1">
      <c r="A8" s="303"/>
      <c r="B8" s="3726"/>
      <c r="C8" s="305"/>
      <c r="D8" s="306"/>
      <c r="E8" s="301" t="s">
        <v>698</v>
      </c>
      <c r="F8" s="302">
        <f ca="1">INDIRECT("'数据-取费表'!ai"&amp;$G$1)</f>
        <v>0</v>
      </c>
      <c r="G8" s="1382"/>
      <c r="H8" s="303"/>
      <c r="I8" s="3726"/>
      <c r="J8" s="305"/>
      <c r="K8" s="306"/>
      <c r="L8" s="301" t="s">
        <v>698</v>
      </c>
      <c r="M8" s="302">
        <f ca="1">INDIRECT("'数据-取费表'!ai"&amp;$G$1)</f>
        <v>0</v>
      </c>
    </row>
    <row r="9" spans="1:37" ht="18" customHeight="1">
      <c r="A9" s="303"/>
      <c r="B9" s="3727"/>
      <c r="C9" s="305"/>
      <c r="D9" s="306"/>
      <c r="E9" s="301" t="s">
        <v>699</v>
      </c>
      <c r="F9" s="311">
        <f ca="1">INDIRECT("'数据-取费表'!w"&amp;$G$1)</f>
        <v>0</v>
      </c>
      <c r="G9" s="1382"/>
      <c r="H9" s="303"/>
      <c r="I9" s="3727"/>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2115</v>
      </c>
      <c r="E10" s="312" t="s">
        <v>701</v>
      </c>
      <c r="F10" s="1115"/>
      <c r="G10" s="1382"/>
      <c r="H10" s="1068" t="s">
        <v>402</v>
      </c>
      <c r="I10" s="1363" t="s">
        <v>700</v>
      </c>
      <c r="J10" s="300">
        <f ca="1">ROUND(IF(M10="押一",J6/12*M11,IF(M10="押二",J6/12*2*M11,IF(M10="押三",J6/12*3*M11,J11*M11))),0)</f>
        <v>0</v>
      </c>
      <c r="K10" s="1375" t="s">
        <v>2117</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0">
        <f ca="1">C29</f>
        <v>0</v>
      </c>
      <c r="K14" s="11"/>
      <c r="L14" s="806"/>
      <c r="M14" s="807"/>
    </row>
    <row r="15" spans="1:37" s="1395" customFormat="1" ht="18" customHeight="1" thickBot="1">
      <c r="A15" s="981" t="s">
        <v>399</v>
      </c>
      <c r="B15" s="301" t="s">
        <v>710</v>
      </c>
      <c r="C15" s="20">
        <f ca="1">ROUND(C14*F15,0)</f>
        <v>0</v>
      </c>
      <c r="D15" s="319" t="s">
        <v>711</v>
      </c>
      <c r="E15" s="319" t="s">
        <v>712</v>
      </c>
      <c r="F15" s="320">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0">
        <f ca="1">ROUND(F17*(F43+INDIRECT("'数据-取费表'!S"&amp;$G$1)),0)</f>
        <v>0</v>
      </c>
      <c r="D17" s="301" t="s">
        <v>717</v>
      </c>
      <c r="E17" s="301" t="s">
        <v>718</v>
      </c>
      <c r="F17" s="22">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0">
        <f ca="1">ROUND(C14*F18,0)</f>
        <v>0</v>
      </c>
      <c r="D18" s="301" t="s">
        <v>711</v>
      </c>
      <c r="E18" s="301" t="s">
        <v>712</v>
      </c>
      <c r="F18" s="321">
        <f>'数据-取费表'!B36</f>
        <v>0.02</v>
      </c>
      <c r="G18" s="1394"/>
      <c r="H18" s="981" t="s">
        <v>397</v>
      </c>
      <c r="I18" s="301" t="s">
        <v>723</v>
      </c>
      <c r="J18" s="20">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0">
        <f ca="1">SUM(C14:C18)</f>
        <v>0</v>
      </c>
      <c r="D19" s="130" t="s">
        <v>726</v>
      </c>
      <c r="E19" s="1358"/>
      <c r="F19" s="22"/>
      <c r="G19" s="1382"/>
      <c r="H19" s="981" t="s">
        <v>399</v>
      </c>
      <c r="I19" s="301" t="s">
        <v>727</v>
      </c>
      <c r="J19" s="20">
        <f ca="1">IF(K19="按租金收入计税",ROUND(J6*M19/(1+'数据-取费表'!C42),0),ROUND(C29*M19*0.7,0))</f>
        <v>0</v>
      </c>
      <c r="K19" s="1368" t="s">
        <v>3328</v>
      </c>
      <c r="L19" s="301" t="s">
        <v>712</v>
      </c>
      <c r="M19" s="321">
        <f>IF(K19="按租金收入计税",'数据-取费表'!B51,'数据-取费表'!B50)</f>
        <v>0.12</v>
      </c>
    </row>
    <row r="20" spans="1:37" s="1395" customFormat="1" ht="18" customHeight="1">
      <c r="A20" s="981" t="s">
        <v>402</v>
      </c>
      <c r="B20" s="301" t="s">
        <v>728</v>
      </c>
      <c r="C20" s="20">
        <f ca="1">ROUND(C19*F20,0)</f>
        <v>0</v>
      </c>
      <c r="D20" s="322" t="s">
        <v>729</v>
      </c>
      <c r="E20" s="301" t="s">
        <v>712</v>
      </c>
      <c r="F20" s="321">
        <f>'数据-取费表'!B37</f>
        <v>0.03</v>
      </c>
      <c r="G20" s="1394"/>
      <c r="H20" s="981" t="s">
        <v>680</v>
      </c>
      <c r="I20" s="154" t="s">
        <v>730</v>
      </c>
      <c r="J20" s="21">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0" t="s">
        <v>0</v>
      </c>
      <c r="D21" s="322" t="s">
        <v>734</v>
      </c>
      <c r="E21" s="301" t="s">
        <v>735</v>
      </c>
      <c r="F21" s="321">
        <f>'数据-取费表'!B38</f>
        <v>0.03</v>
      </c>
      <c r="G21" s="1394"/>
      <c r="H21" s="325"/>
      <c r="I21" s="310"/>
      <c r="J21" s="25"/>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8"/>
      <c r="F22" s="22"/>
      <c r="G22" s="1382"/>
      <c r="H22" s="981" t="s">
        <v>402</v>
      </c>
      <c r="I22" s="301" t="s">
        <v>738</v>
      </c>
      <c r="J22" s="20">
        <f ca="1">ROUND(J14*M22,0)</f>
        <v>0</v>
      </c>
      <c r="K22" s="1342" t="s">
        <v>739</v>
      </c>
      <c r="L22" s="301" t="s">
        <v>712</v>
      </c>
      <c r="M22" s="327">
        <f ca="1">INDIRECT("'数据-取费表'!Ak"&amp;$G$1)</f>
        <v>0</v>
      </c>
    </row>
    <row r="23" spans="1:37" s="1395"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0">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0"/>
      <c r="D25" s="130" t="s">
        <v>751</v>
      </c>
      <c r="E25" s="1358"/>
      <c r="F25" s="22"/>
      <c r="G25" s="1382"/>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0">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5" t="s">
        <v>2307</v>
      </c>
      <c r="I31" s="1396"/>
      <c r="J31" s="1397"/>
      <c r="K31" s="2472"/>
      <c r="L31" s="2695"/>
      <c r="M31" s="2696"/>
    </row>
    <row r="32" spans="1:37" ht="18" customHeight="1">
      <c r="A32" s="981" t="s">
        <v>397</v>
      </c>
      <c r="B32" s="301" t="s">
        <v>723</v>
      </c>
      <c r="C32" s="20">
        <f ca="1">IF(项目基本情况!B11="自然人","——",ROUND(C6*F32/(1+'数据-取费表'!C42),0))</f>
        <v>0</v>
      </c>
      <c r="D32" s="1342" t="s">
        <v>724</v>
      </c>
      <c r="E32" s="301" t="s">
        <v>712</v>
      </c>
      <c r="F32" s="330">
        <f>'数据-取费表'!B41</f>
        <v>5.5000000000000007E-2</v>
      </c>
      <c r="G32" s="1382"/>
      <c r="H32" s="2694"/>
      <c r="I32" s="1396"/>
      <c r="J32" s="1397"/>
      <c r="K32" s="2472"/>
      <c r="L32" s="2695"/>
      <c r="M32" s="2696"/>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8" t="s">
        <v>3328</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1">
        <f ca="1">IF(项目基本情况!B11="自然人","——",ROUND(F34*F35,0))</f>
        <v>0</v>
      </c>
      <c r="D34" s="323" t="s">
        <v>731</v>
      </c>
      <c r="E34" s="301" t="s">
        <v>732</v>
      </c>
      <c r="F34" s="324">
        <f>'数据-取费表'!B52</f>
        <v>1.5</v>
      </c>
      <c r="G34" s="1382"/>
      <c r="H34" s="2694"/>
      <c r="I34" s="1396"/>
      <c r="J34" s="1397"/>
      <c r="K34" s="2699"/>
      <c r="L34" s="2700"/>
      <c r="M34" s="2700"/>
    </row>
    <row r="35" spans="1:18" ht="18" customHeight="1">
      <c r="A35" s="1102"/>
      <c r="B35" s="1100"/>
      <c r="C35" s="25"/>
      <c r="D35" s="326"/>
      <c r="E35" s="301" t="s">
        <v>736</v>
      </c>
      <c r="F35" s="302">
        <f ca="1">INDIRECT("'数据-取费表'!r"&amp;$G$1)</f>
        <v>0</v>
      </c>
      <c r="G35" s="1382"/>
      <c r="H35" s="2694"/>
      <c r="I35" s="1396"/>
      <c r="J35" s="1397"/>
      <c r="K35" s="2698"/>
      <c r="L35" s="2697"/>
      <c r="M35" s="2697"/>
    </row>
    <row r="36" spans="1:18" ht="18" customHeight="1">
      <c r="A36" s="1101" t="s">
        <v>402</v>
      </c>
      <c r="B36" s="301" t="s">
        <v>738</v>
      </c>
      <c r="C36" s="20">
        <f ca="1">ROUND(C29*F36,0)</f>
        <v>0</v>
      </c>
      <c r="D36" s="1342" t="s">
        <v>771</v>
      </c>
      <c r="E36" s="301" t="s">
        <v>712</v>
      </c>
      <c r="F36" s="327">
        <f ca="1">INDIRECT("'数据-取费表'!Ak"&amp;$G$1)</f>
        <v>0</v>
      </c>
      <c r="G36" s="1382"/>
      <c r="H36" s="2697"/>
      <c r="I36" s="1396"/>
      <c r="J36" s="1397"/>
      <c r="K36" s="2541"/>
      <c r="L36" s="2697"/>
      <c r="M36" s="2697"/>
    </row>
    <row r="37" spans="1:18" ht="18" customHeight="1">
      <c r="A37" s="981" t="s">
        <v>437</v>
      </c>
      <c r="B37" s="301" t="s">
        <v>742</v>
      </c>
      <c r="C37" s="20">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09">
        <f ca="1">C5-C30</f>
        <v>0</v>
      </c>
      <c r="D39" s="1094" t="s">
        <v>773</v>
      </c>
      <c r="E39" s="1095"/>
      <c r="F39" s="1096"/>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6" t="s">
        <v>3344</v>
      </c>
      <c r="B45" s="1398"/>
      <c r="C45" s="1470" t="e">
        <f ca="1">ROUND((C68-C40)/10000,4)</f>
        <v>#DIV/0!</v>
      </c>
      <c r="D45" s="3427" t="s">
        <v>3345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2118</v>
      </c>
      <c r="E53" s="312" t="s">
        <v>701</v>
      </c>
      <c r="F53" s="1115"/>
      <c r="I53" s="1437" t="s">
        <v>836</v>
      </c>
      <c r="J53" s="2166">
        <f ca="1">IF(M47="住宅",IF(D1="——",MAX(J51,L48),MAX(J51,L48-'数据-取费表'!B24)),IF(D1="——",MIN(J51,L48),MIN(J51,L48-'数据-取费表'!B24)))</f>
        <v>0</v>
      </c>
      <c r="K53" s="3723" t="s">
        <v>837</v>
      </c>
      <c r="L53" s="3724"/>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0">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0">
        <f ca="1">IF(项目基本情况!B11="自然人","——",IF(D61="按租金收入计税",ROUND(C49*F61/(1+'数据-取费表'!C42),0),IF(D61="按房产原值计税",ROUND(C57*F61*0.7,0),INDIRECT("'数据-取费表'!Aj"&amp;$G$1))))</f>
        <v>0</v>
      </c>
      <c r="D61" s="1368" t="s">
        <v>3328</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1">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5"/>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0">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0">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0">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46333</v>
      </c>
      <c r="C2" s="1870" t="s">
        <v>1651</v>
      </c>
      <c r="D2" s="1871" t="s">
        <v>1652</v>
      </c>
      <c r="E2" s="2604">
        <f>SUM(E6:E13)</f>
        <v>33618.589999999997</v>
      </c>
      <c r="F2" s="2704"/>
      <c r="G2" s="1487"/>
      <c r="H2" s="1487"/>
      <c r="I2" s="1487"/>
      <c r="J2" s="1487"/>
      <c r="K2" s="1487"/>
      <c r="L2" s="1487"/>
      <c r="M2" s="1487"/>
      <c r="N2" s="1487"/>
      <c r="O2" s="1487"/>
      <c r="P2" s="1487"/>
      <c r="Q2" s="1487"/>
      <c r="R2" s="1487"/>
      <c r="S2" s="1487"/>
    </row>
    <row r="3" spans="1:22" ht="15.75">
      <c r="A3" s="1868" t="s">
        <v>686</v>
      </c>
      <c r="B3" s="2598">
        <f ca="1">ROUND(B2*10000/E2,0)</f>
        <v>13782</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28" t="s">
        <v>1654</v>
      </c>
      <c r="C5" s="3729"/>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46333</v>
      </c>
      <c r="C6" s="1870" t="s">
        <v>1651</v>
      </c>
      <c r="D6" s="2706"/>
      <c r="E6" s="2603">
        <f>IF(OR(A6=0,F6="否"),0,'数据-取费表'!K6+'数据-取费表'!S6)</f>
        <v>33618.589999999997</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1"/>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33618.589999999997</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4" t="s">
        <v>1666</v>
      </c>
      <c r="B4" s="355"/>
      <c r="C4" s="3748" t="s">
        <v>1667</v>
      </c>
      <c r="D4" s="3749"/>
      <c r="E4" s="3750" t="s">
        <v>1668</v>
      </c>
      <c r="F4" s="3751"/>
      <c r="G4" s="3748" t="s">
        <v>1669</v>
      </c>
      <c r="H4" s="3749"/>
      <c r="I4" s="3748" t="s">
        <v>1670</v>
      </c>
      <c r="J4" s="3749"/>
      <c r="K4" s="1887" t="s">
        <v>1671</v>
      </c>
      <c r="L4" s="2712"/>
      <c r="M4" s="2713"/>
      <c r="N4" s="2713"/>
      <c r="O4" s="2713"/>
      <c r="P4" s="3752" t="s">
        <v>1672</v>
      </c>
      <c r="Q4" s="3753"/>
      <c r="R4" s="3758" t="s">
        <v>1668</v>
      </c>
      <c r="S4" s="3759"/>
      <c r="T4" s="3758" t="s">
        <v>1669</v>
      </c>
      <c r="U4" s="3759"/>
      <c r="V4" s="3764" t="s">
        <v>1670</v>
      </c>
      <c r="W4" s="3764"/>
      <c r="X4" s="1353"/>
      <c r="Y4" s="3758" t="s">
        <v>1672</v>
      </c>
      <c r="Z4" s="3759"/>
      <c r="AA4" s="3745" t="s">
        <v>1668</v>
      </c>
      <c r="AB4" s="3745" t="s">
        <v>1669</v>
      </c>
      <c r="AC4" s="3745" t="s">
        <v>1670</v>
      </c>
    </row>
    <row r="5" spans="1:29" ht="15">
      <c r="A5" s="357"/>
      <c r="B5" s="358"/>
      <c r="C5" s="3767" t="s">
        <v>1673</v>
      </c>
      <c r="D5" s="3768"/>
      <c r="E5" s="3774" t="s">
        <v>1674</v>
      </c>
      <c r="F5" s="3775"/>
      <c r="G5" s="3767" t="s">
        <v>1675</v>
      </c>
      <c r="H5" s="3768"/>
      <c r="I5" s="3767" t="s">
        <v>1676</v>
      </c>
      <c r="J5" s="3768"/>
      <c r="K5" s="1888"/>
      <c r="L5" s="2712"/>
      <c r="M5" s="2713"/>
      <c r="N5" s="2713"/>
      <c r="O5" s="2713"/>
      <c r="P5" s="3754"/>
      <c r="Q5" s="3755"/>
      <c r="R5" s="3760"/>
      <c r="S5" s="3761"/>
      <c r="T5" s="3760"/>
      <c r="U5" s="3761"/>
      <c r="V5" s="3764"/>
      <c r="W5" s="3764"/>
      <c r="X5" s="1353"/>
      <c r="Y5" s="3760"/>
      <c r="Z5" s="3761"/>
      <c r="AA5" s="3746"/>
      <c r="AB5" s="3746"/>
      <c r="AC5" s="3746"/>
    </row>
    <row r="6" spans="1:29" ht="15.75" thickBot="1">
      <c r="A6" s="359"/>
      <c r="B6" s="360"/>
      <c r="C6" s="3765" t="s">
        <v>1677</v>
      </c>
      <c r="D6" s="3766"/>
      <c r="E6" s="3772" t="s">
        <v>1677</v>
      </c>
      <c r="F6" s="3773"/>
      <c r="G6" s="3765" t="s">
        <v>1677</v>
      </c>
      <c r="H6" s="3766"/>
      <c r="I6" s="3765" t="s">
        <v>1677</v>
      </c>
      <c r="J6" s="3766"/>
      <c r="K6" s="1888" t="s">
        <v>1678</v>
      </c>
      <c r="L6" s="2712"/>
      <c r="M6" s="2713"/>
      <c r="N6" s="2713"/>
      <c r="O6" s="2713"/>
      <c r="P6" s="3756"/>
      <c r="Q6" s="3757"/>
      <c r="R6" s="3760"/>
      <c r="S6" s="3761"/>
      <c r="T6" s="3762"/>
      <c r="U6" s="3763"/>
      <c r="V6" s="3764"/>
      <c r="W6" s="3764"/>
      <c r="X6" s="1353"/>
      <c r="Y6" s="3762"/>
      <c r="Z6" s="3763"/>
      <c r="AA6" s="3747"/>
      <c r="AB6" s="3747"/>
      <c r="AC6" s="3747"/>
    </row>
    <row r="7" spans="1:29" s="107" customFormat="1" ht="15.75" thickBot="1">
      <c r="A7" s="361" t="s">
        <v>1679</v>
      </c>
      <c r="B7" s="362"/>
      <c r="C7" s="363">
        <f>'数据-取费表'!B2</f>
        <v>45565</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769" t="s">
        <v>1680</v>
      </c>
      <c r="Q7" s="3771"/>
      <c r="R7" s="700" t="s">
        <v>20</v>
      </c>
      <c r="S7" s="701">
        <f t="shared" ref="S7:S15" si="0">F7</f>
        <v>0</v>
      </c>
      <c r="T7" s="700" t="s">
        <v>20</v>
      </c>
      <c r="U7" s="701">
        <f t="shared" ref="U7:U15" si="1">H7</f>
        <v>0</v>
      </c>
      <c r="V7" s="700" t="s">
        <v>20</v>
      </c>
      <c r="W7" s="701">
        <f t="shared" ref="W7:W15" si="2">J7</f>
        <v>0</v>
      </c>
      <c r="X7" s="702"/>
      <c r="Y7" s="3769" t="s">
        <v>1680</v>
      </c>
      <c r="Z7" s="3770"/>
      <c r="AA7" s="703" t="e">
        <f>D7/F7</f>
        <v>#DIV/0!</v>
      </c>
      <c r="AB7" s="703" t="e">
        <f>D7/H7</f>
        <v>#DIV/0!</v>
      </c>
      <c r="AC7" s="703"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769" t="s">
        <v>1683</v>
      </c>
      <c r="Q8" s="3770"/>
      <c r="R8" s="700" t="s">
        <v>20</v>
      </c>
      <c r="S8" s="701">
        <f t="shared" si="0"/>
        <v>100</v>
      </c>
      <c r="T8" s="700" t="s">
        <v>20</v>
      </c>
      <c r="U8" s="701">
        <f t="shared" si="1"/>
        <v>100</v>
      </c>
      <c r="V8" s="700" t="s">
        <v>20</v>
      </c>
      <c r="W8" s="701">
        <f t="shared" si="2"/>
        <v>100</v>
      </c>
      <c r="X8" s="702"/>
      <c r="Y8" s="3769" t="s">
        <v>1683</v>
      </c>
      <c r="Z8" s="3770"/>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9"/>
      <c r="L9" s="2714"/>
      <c r="M9" s="2715"/>
      <c r="N9" s="2715"/>
      <c r="O9" s="2715"/>
      <c r="P9" s="3744" t="s">
        <v>1686</v>
      </c>
      <c r="Q9" s="1341" t="str">
        <f t="shared" ref="Q9:Q15" si="6">B9</f>
        <v>用途</v>
      </c>
      <c r="R9" s="700" t="s">
        <v>14</v>
      </c>
      <c r="S9" s="701">
        <f t="shared" si="0"/>
        <v>100</v>
      </c>
      <c r="T9" s="700" t="s">
        <v>14</v>
      </c>
      <c r="U9" s="701">
        <f t="shared" si="1"/>
        <v>100</v>
      </c>
      <c r="V9" s="700" t="s">
        <v>14</v>
      </c>
      <c r="W9" s="701">
        <f t="shared" si="2"/>
        <v>100</v>
      </c>
      <c r="X9" s="702"/>
      <c r="Y9" s="3589" t="s">
        <v>1687</v>
      </c>
      <c r="Z9" s="51" t="str">
        <f t="shared" ref="Z9:Z15" si="7">Q9</f>
        <v>用途</v>
      </c>
      <c r="AA9" s="703">
        <f t="shared" si="3"/>
        <v>1</v>
      </c>
      <c r="AB9" s="703">
        <f t="shared" si="4"/>
        <v>1</v>
      </c>
      <c r="AC9" s="703">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9"/>
      <c r="L10" s="2716"/>
      <c r="M10" s="2717"/>
      <c r="N10" s="2717"/>
      <c r="O10" s="2717"/>
      <c r="P10" s="3744"/>
      <c r="Q10" s="1341" t="str">
        <f t="shared" si="6"/>
        <v>土地使用年限（年）</v>
      </c>
      <c r="R10" s="700" t="s">
        <v>14</v>
      </c>
      <c r="S10" s="701">
        <f t="shared" si="0"/>
        <v>100</v>
      </c>
      <c r="T10" s="700" t="s">
        <v>14</v>
      </c>
      <c r="U10" s="701">
        <f t="shared" si="1"/>
        <v>100</v>
      </c>
      <c r="V10" s="700" t="s">
        <v>14</v>
      </c>
      <c r="W10" s="701">
        <f t="shared" si="2"/>
        <v>100</v>
      </c>
      <c r="X10" s="702"/>
      <c r="Y10" s="3589"/>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44"/>
      <c r="Q11" s="1341" t="str">
        <f t="shared" si="6"/>
        <v>容积率</v>
      </c>
      <c r="R11" s="700" t="s">
        <v>18</v>
      </c>
      <c r="S11" s="701" t="e">
        <f t="shared" si="0"/>
        <v>#N/A</v>
      </c>
      <c r="T11" s="700" t="s">
        <v>18</v>
      </c>
      <c r="U11" s="701" t="e">
        <f t="shared" si="1"/>
        <v>#N/A</v>
      </c>
      <c r="V11" s="700" t="s">
        <v>18</v>
      </c>
      <c r="W11" s="701" t="e">
        <f t="shared" si="2"/>
        <v>#N/A</v>
      </c>
      <c r="X11" s="702"/>
      <c r="Y11" s="3589"/>
      <c r="Z11" s="51" t="str">
        <f t="shared" si="7"/>
        <v>容积率</v>
      </c>
      <c r="AA11" s="703" t="e">
        <f t="shared" si="3"/>
        <v>#N/A</v>
      </c>
      <c r="AB11" s="703" t="e">
        <f t="shared" si="4"/>
        <v>#N/A</v>
      </c>
      <c r="AC11" s="703"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4"/>
      <c r="M12" s="2715"/>
      <c r="N12" s="2715"/>
      <c r="O12" s="2715"/>
      <c r="P12" s="3744"/>
      <c r="Q12" s="1341">
        <f t="shared" si="6"/>
        <v>111</v>
      </c>
      <c r="R12" s="700" t="s">
        <v>18</v>
      </c>
      <c r="S12" s="701">
        <f t="shared" si="0"/>
        <v>100</v>
      </c>
      <c r="T12" s="700" t="s">
        <v>18</v>
      </c>
      <c r="U12" s="701">
        <f t="shared" si="1"/>
        <v>100</v>
      </c>
      <c r="V12" s="700" t="s">
        <v>18</v>
      </c>
      <c r="W12" s="701">
        <f t="shared" si="2"/>
        <v>100</v>
      </c>
      <c r="X12" s="702"/>
      <c r="Y12" s="3589"/>
      <c r="Z12" s="51">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44"/>
      <c r="Q13" s="1341">
        <f t="shared" si="6"/>
        <v>111</v>
      </c>
      <c r="R13" s="700" t="s">
        <v>18</v>
      </c>
      <c r="S13" s="701">
        <f t="shared" si="0"/>
        <v>100</v>
      </c>
      <c r="T13" s="700" t="s">
        <v>18</v>
      </c>
      <c r="U13" s="701">
        <f t="shared" si="1"/>
        <v>100</v>
      </c>
      <c r="V13" s="700" t="s">
        <v>18</v>
      </c>
      <c r="W13" s="701">
        <f t="shared" si="2"/>
        <v>100</v>
      </c>
      <c r="X13" s="702"/>
      <c r="Y13" s="3589"/>
      <c r="Z13" s="51">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44"/>
      <c r="Q14" s="1341">
        <f t="shared" si="6"/>
        <v>111</v>
      </c>
      <c r="R14" s="700" t="s">
        <v>18</v>
      </c>
      <c r="S14" s="701">
        <f t="shared" si="0"/>
        <v>100</v>
      </c>
      <c r="T14" s="700" t="s">
        <v>18</v>
      </c>
      <c r="U14" s="701">
        <f t="shared" si="1"/>
        <v>100</v>
      </c>
      <c r="V14" s="700" t="s">
        <v>18</v>
      </c>
      <c r="W14" s="701">
        <f t="shared" si="2"/>
        <v>100</v>
      </c>
      <c r="X14" s="702"/>
      <c r="Y14" s="3589"/>
      <c r="Z14" s="51">
        <f t="shared" si="7"/>
        <v>111</v>
      </c>
      <c r="AA14" s="703">
        <f t="shared" si="3"/>
        <v>1</v>
      </c>
      <c r="AB14" s="703">
        <f t="shared" si="4"/>
        <v>1</v>
      </c>
      <c r="AC14" s="703">
        <f t="shared" si="5"/>
        <v>1</v>
      </c>
    </row>
    <row r="15" spans="1:29" ht="85.5">
      <c r="A15" s="390" t="s">
        <v>1690</v>
      </c>
      <c r="B15" s="60"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42" t="s">
        <v>1691</v>
      </c>
      <c r="Q15" s="1350" t="str">
        <f t="shared" si="6"/>
        <v>居住社区成熟度</v>
      </c>
      <c r="R15" s="704" t="s">
        <v>18</v>
      </c>
      <c r="S15" s="705">
        <f t="shared" si="0"/>
        <v>100</v>
      </c>
      <c r="T15" s="704" t="s">
        <v>18</v>
      </c>
      <c r="U15" s="705">
        <f t="shared" si="1"/>
        <v>100</v>
      </c>
      <c r="V15" s="704" t="s">
        <v>18</v>
      </c>
      <c r="W15" s="705">
        <f t="shared" si="2"/>
        <v>100</v>
      </c>
      <c r="X15" s="1353"/>
      <c r="Y15" s="373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43"/>
      <c r="Q16" s="1350"/>
      <c r="R16" s="704"/>
      <c r="S16" s="705"/>
      <c r="T16" s="704"/>
      <c r="U16" s="705"/>
      <c r="V16" s="704"/>
      <c r="W16" s="705"/>
      <c r="X16" s="1353"/>
      <c r="Y16" s="373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43"/>
      <c r="Q17" s="1350" t="str">
        <f>B17</f>
        <v>交通便捷度</v>
      </c>
      <c r="R17" s="704" t="s">
        <v>18</v>
      </c>
      <c r="S17" s="705">
        <f>F17</f>
        <v>100</v>
      </c>
      <c r="T17" s="704" t="s">
        <v>18</v>
      </c>
      <c r="U17" s="705">
        <f>H17</f>
        <v>100</v>
      </c>
      <c r="V17" s="704" t="s">
        <v>18</v>
      </c>
      <c r="W17" s="705">
        <f>J17</f>
        <v>100</v>
      </c>
      <c r="X17" s="1353"/>
      <c r="Y17" s="373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43"/>
      <c r="Q18" s="1350"/>
      <c r="R18" s="704"/>
      <c r="S18" s="705"/>
      <c r="T18" s="704"/>
      <c r="U18" s="705"/>
      <c r="V18" s="704"/>
      <c r="W18" s="705"/>
      <c r="X18" s="1353"/>
      <c r="Y18" s="373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43"/>
      <c r="Q19" s="1350" t="str">
        <f>B19</f>
        <v>公共配套设施</v>
      </c>
      <c r="R19" s="704" t="s">
        <v>18</v>
      </c>
      <c r="S19" s="705">
        <f>F19</f>
        <v>100</v>
      </c>
      <c r="T19" s="704" t="s">
        <v>18</v>
      </c>
      <c r="U19" s="705">
        <f>H19</f>
        <v>100</v>
      </c>
      <c r="V19" s="704" t="s">
        <v>18</v>
      </c>
      <c r="W19" s="705">
        <f>J19</f>
        <v>100</v>
      </c>
      <c r="X19" s="1353"/>
      <c r="Y19" s="373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43"/>
      <c r="Q20" s="1350"/>
      <c r="R20" s="704"/>
      <c r="S20" s="705"/>
      <c r="T20" s="704"/>
      <c r="U20" s="705"/>
      <c r="V20" s="704"/>
      <c r="W20" s="705"/>
      <c r="X20" s="1353"/>
      <c r="Y20" s="3736"/>
      <c r="Z20" s="1354"/>
      <c r="AA20" s="1351">
        <v>1</v>
      </c>
      <c r="AB20" s="1351">
        <v>1</v>
      </c>
      <c r="AC20" s="1351">
        <v>1</v>
      </c>
    </row>
    <row r="21" spans="1:29" ht="28.5">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43"/>
      <c r="Q21" s="1350" t="str">
        <f>B21</f>
        <v>基础设施水平</v>
      </c>
      <c r="R21" s="704" t="s">
        <v>14</v>
      </c>
      <c r="S21" s="705">
        <f>F21</f>
        <v>100</v>
      </c>
      <c r="T21" s="704" t="s">
        <v>14</v>
      </c>
      <c r="U21" s="705">
        <f>H21</f>
        <v>100</v>
      </c>
      <c r="V21" s="704" t="s">
        <v>14</v>
      </c>
      <c r="W21" s="705">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9"/>
      <c r="M22" s="2713"/>
      <c r="N22" s="2713"/>
      <c r="O22" s="2713"/>
      <c r="P22" s="3743"/>
      <c r="Q22" s="1350"/>
      <c r="R22" s="704"/>
      <c r="S22" s="705"/>
      <c r="T22" s="704"/>
      <c r="U22" s="705"/>
      <c r="V22" s="704"/>
      <c r="W22" s="705"/>
      <c r="X22" s="1353"/>
      <c r="Y22" s="373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43"/>
      <c r="Q23" s="1350" t="str">
        <f>B23</f>
        <v>自然及人文环境</v>
      </c>
      <c r="R23" s="704" t="s">
        <v>18</v>
      </c>
      <c r="S23" s="705">
        <f>F23</f>
        <v>100</v>
      </c>
      <c r="T23" s="704" t="s">
        <v>18</v>
      </c>
      <c r="U23" s="705">
        <f>H23</f>
        <v>100</v>
      </c>
      <c r="V23" s="704" t="s">
        <v>18</v>
      </c>
      <c r="W23" s="705">
        <f>J23</f>
        <v>100</v>
      </c>
      <c r="X23" s="1353"/>
      <c r="Y23" s="373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43"/>
      <c r="Q24" s="1350"/>
      <c r="R24" s="704"/>
      <c r="S24" s="705"/>
      <c r="T24" s="704"/>
      <c r="U24" s="705"/>
      <c r="V24" s="704"/>
      <c r="W24" s="705"/>
      <c r="X24" s="1353"/>
      <c r="Y24" s="373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43"/>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3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43"/>
      <c r="Q26" s="1350" t="str">
        <f t="shared" si="11"/>
        <v>朝向</v>
      </c>
      <c r="R26" s="704" t="s">
        <v>18</v>
      </c>
      <c r="S26" s="705">
        <f t="shared" si="12"/>
        <v>100</v>
      </c>
      <c r="T26" s="704" t="s">
        <v>18</v>
      </c>
      <c r="U26" s="705">
        <f t="shared" si="13"/>
        <v>100</v>
      </c>
      <c r="V26" s="704" t="s">
        <v>18</v>
      </c>
      <c r="W26" s="705">
        <f t="shared" si="14"/>
        <v>100</v>
      </c>
      <c r="X26" s="1353"/>
      <c r="Y26" s="3736"/>
      <c r="Z26" s="1354" t="str">
        <f>Q26</f>
        <v>朝向</v>
      </c>
      <c r="AA26" s="1351">
        <f t="shared" si="15"/>
        <v>1</v>
      </c>
      <c r="AB26" s="1351">
        <f t="shared" si="16"/>
        <v>1</v>
      </c>
      <c r="AC26" s="1351">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43"/>
      <c r="Q27" s="1341">
        <f t="shared" si="11"/>
        <v>111</v>
      </c>
      <c r="R27" s="700" t="s">
        <v>18</v>
      </c>
      <c r="S27" s="701">
        <f t="shared" si="12"/>
        <v>100</v>
      </c>
      <c r="T27" s="700" t="s">
        <v>18</v>
      </c>
      <c r="U27" s="701">
        <f t="shared" si="13"/>
        <v>100</v>
      </c>
      <c r="V27" s="700" t="s">
        <v>18</v>
      </c>
      <c r="W27" s="701">
        <f t="shared" si="14"/>
        <v>100</v>
      </c>
      <c r="X27" s="702"/>
      <c r="Y27" s="3736"/>
      <c r="Z27" s="51">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43"/>
      <c r="Q28" s="1350">
        <f t="shared" si="11"/>
        <v>111</v>
      </c>
      <c r="R28" s="704" t="s">
        <v>18</v>
      </c>
      <c r="S28" s="705">
        <f t="shared" si="12"/>
        <v>100</v>
      </c>
      <c r="T28" s="704" t="s">
        <v>18</v>
      </c>
      <c r="U28" s="705">
        <f t="shared" si="13"/>
        <v>100</v>
      </c>
      <c r="V28" s="704" t="s">
        <v>18</v>
      </c>
      <c r="W28" s="705">
        <f t="shared" si="14"/>
        <v>100</v>
      </c>
      <c r="X28" s="1353"/>
      <c r="Y28" s="3736"/>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43"/>
      <c r="Q29" s="1350">
        <f t="shared" si="11"/>
        <v>111</v>
      </c>
      <c r="R29" s="704" t="s">
        <v>18</v>
      </c>
      <c r="S29" s="705">
        <f t="shared" si="12"/>
        <v>100</v>
      </c>
      <c r="T29" s="704" t="s">
        <v>18</v>
      </c>
      <c r="U29" s="705">
        <f t="shared" si="13"/>
        <v>100</v>
      </c>
      <c r="V29" s="704" t="s">
        <v>18</v>
      </c>
      <c r="W29" s="705">
        <f t="shared" si="14"/>
        <v>100</v>
      </c>
      <c r="X29" s="1353"/>
      <c r="Y29" s="3736"/>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43"/>
      <c r="Q30" s="1350">
        <f t="shared" si="11"/>
        <v>111</v>
      </c>
      <c r="R30" s="704" t="s">
        <v>18</v>
      </c>
      <c r="S30" s="705">
        <f t="shared" si="12"/>
        <v>100</v>
      </c>
      <c r="T30" s="704" t="s">
        <v>18</v>
      </c>
      <c r="U30" s="705">
        <f t="shared" si="13"/>
        <v>100</v>
      </c>
      <c r="V30" s="704" t="s">
        <v>18</v>
      </c>
      <c r="W30" s="705">
        <f t="shared" si="14"/>
        <v>100</v>
      </c>
      <c r="X30" s="1353"/>
      <c r="Y30" s="3736"/>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43"/>
      <c r="Q31" s="1350">
        <f t="shared" si="11"/>
        <v>111</v>
      </c>
      <c r="R31" s="704" t="s">
        <v>18</v>
      </c>
      <c r="S31" s="705">
        <f t="shared" si="12"/>
        <v>100</v>
      </c>
      <c r="T31" s="704" t="s">
        <v>18</v>
      </c>
      <c r="U31" s="705">
        <f t="shared" si="13"/>
        <v>100</v>
      </c>
      <c r="V31" s="704" t="s">
        <v>18</v>
      </c>
      <c r="W31" s="705">
        <f t="shared" si="14"/>
        <v>100</v>
      </c>
      <c r="X31" s="1353"/>
      <c r="Y31" s="3736"/>
      <c r="Z31" s="1354">
        <f t="shared" si="18"/>
        <v>111</v>
      </c>
      <c r="AA31" s="1351">
        <f t="shared" si="15"/>
        <v>1</v>
      </c>
      <c r="AB31" s="1351">
        <f t="shared" si="16"/>
        <v>1</v>
      </c>
      <c r="AC31" s="1351">
        <f t="shared" si="17"/>
        <v>1</v>
      </c>
    </row>
    <row r="32" spans="1:29" ht="15">
      <c r="A32" s="390" t="s">
        <v>1694</v>
      </c>
      <c r="B32" s="62"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37" t="s">
        <v>1696</v>
      </c>
      <c r="Q32" s="1350" t="str">
        <f t="shared" si="11"/>
        <v>建筑类型</v>
      </c>
      <c r="R32" s="704" t="s">
        <v>18</v>
      </c>
      <c r="S32" s="705">
        <f t="shared" si="12"/>
        <v>100</v>
      </c>
      <c r="T32" s="704" t="s">
        <v>18</v>
      </c>
      <c r="U32" s="705">
        <f t="shared" si="13"/>
        <v>100</v>
      </c>
      <c r="V32" s="704" t="s">
        <v>18</v>
      </c>
      <c r="W32" s="705">
        <f t="shared" si="14"/>
        <v>100</v>
      </c>
      <c r="X32" s="1353"/>
      <c r="Y32" s="374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8"/>
      <c r="M33" s="2720"/>
      <c r="N33" s="2720"/>
      <c r="O33" s="2720"/>
      <c r="P33" s="3738"/>
      <c r="Q33" s="706" t="str">
        <f t="shared" si="11"/>
        <v>项目建筑规模</v>
      </c>
      <c r="R33" s="707" t="s">
        <v>18</v>
      </c>
      <c r="S33" s="708" t="e">
        <f t="shared" si="12"/>
        <v>#N/A</v>
      </c>
      <c r="T33" s="707" t="s">
        <v>18</v>
      </c>
      <c r="U33" s="708" t="e">
        <f t="shared" si="13"/>
        <v>#N/A</v>
      </c>
      <c r="V33" s="707" t="s">
        <v>18</v>
      </c>
      <c r="W33" s="708" t="e">
        <f t="shared" si="14"/>
        <v>#N/A</v>
      </c>
      <c r="X33" s="709"/>
      <c r="Y33" s="3740"/>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38"/>
      <c r="Q34" s="1350" t="str">
        <f t="shared" si="11"/>
        <v>建筑结构</v>
      </c>
      <c r="R34" s="704" t="s">
        <v>18</v>
      </c>
      <c r="S34" s="705">
        <f t="shared" si="12"/>
        <v>100</v>
      </c>
      <c r="T34" s="704" t="s">
        <v>18</v>
      </c>
      <c r="U34" s="705">
        <f t="shared" si="13"/>
        <v>100</v>
      </c>
      <c r="V34" s="704" t="s">
        <v>18</v>
      </c>
      <c r="W34" s="705">
        <f t="shared" si="14"/>
        <v>100</v>
      </c>
      <c r="X34" s="1353"/>
      <c r="Y34" s="374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38"/>
      <c r="Q35" s="1350" t="str">
        <f t="shared" si="11"/>
        <v>建筑品质</v>
      </c>
      <c r="R35" s="704" t="s">
        <v>18</v>
      </c>
      <c r="S35" s="705">
        <f t="shared" si="12"/>
        <v>100</v>
      </c>
      <c r="T35" s="704" t="s">
        <v>18</v>
      </c>
      <c r="U35" s="705">
        <f t="shared" si="13"/>
        <v>100</v>
      </c>
      <c r="V35" s="704" t="s">
        <v>18</v>
      </c>
      <c r="W35" s="705">
        <f t="shared" si="14"/>
        <v>100</v>
      </c>
      <c r="X35" s="1353"/>
      <c r="Y35" s="374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38"/>
      <c r="Q36" s="1350" t="str">
        <f t="shared" si="11"/>
        <v>公共部分装修</v>
      </c>
      <c r="R36" s="704" t="s">
        <v>18</v>
      </c>
      <c r="S36" s="705">
        <f t="shared" si="12"/>
        <v>100</v>
      </c>
      <c r="T36" s="704" t="s">
        <v>18</v>
      </c>
      <c r="U36" s="705">
        <f t="shared" si="13"/>
        <v>100</v>
      </c>
      <c r="V36" s="704" t="s">
        <v>18</v>
      </c>
      <c r="W36" s="705">
        <f t="shared" si="14"/>
        <v>100</v>
      </c>
      <c r="X36" s="1353"/>
      <c r="Y36" s="374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38"/>
      <c r="Q37" s="1341" t="str">
        <f t="shared" si="11"/>
        <v>成新度</v>
      </c>
      <c r="R37" s="700" t="s">
        <v>18</v>
      </c>
      <c r="S37" s="701" t="e">
        <f t="shared" si="12"/>
        <v>#N/A</v>
      </c>
      <c r="T37" s="700" t="s">
        <v>18</v>
      </c>
      <c r="U37" s="701" t="e">
        <f t="shared" si="13"/>
        <v>#N/A</v>
      </c>
      <c r="V37" s="700" t="s">
        <v>18</v>
      </c>
      <c r="W37" s="701" t="e">
        <f t="shared" si="14"/>
        <v>#N/A</v>
      </c>
      <c r="X37" s="702"/>
      <c r="Y37" s="3740"/>
      <c r="Z37" s="51"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38" t="s">
        <v>1696</v>
      </c>
      <c r="Q38" s="1350" t="str">
        <f t="shared" si="11"/>
        <v>物业管理</v>
      </c>
      <c r="R38" s="704" t="s">
        <v>18</v>
      </c>
      <c r="S38" s="705">
        <f t="shared" si="12"/>
        <v>100</v>
      </c>
      <c r="T38" s="704" t="s">
        <v>18</v>
      </c>
      <c r="U38" s="705">
        <f t="shared" si="13"/>
        <v>100</v>
      </c>
      <c r="V38" s="704" t="s">
        <v>18</v>
      </c>
      <c r="W38" s="705">
        <f t="shared" si="14"/>
        <v>100</v>
      </c>
      <c r="X38" s="1353"/>
      <c r="Y38" s="374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38"/>
      <c r="Q39" s="1350" t="str">
        <f t="shared" si="11"/>
        <v>市政基础设施</v>
      </c>
      <c r="R39" s="704" t="s">
        <v>18</v>
      </c>
      <c r="S39" s="705">
        <f t="shared" si="12"/>
        <v>100</v>
      </c>
      <c r="T39" s="704" t="s">
        <v>18</v>
      </c>
      <c r="U39" s="705">
        <f t="shared" si="13"/>
        <v>100</v>
      </c>
      <c r="V39" s="704" t="s">
        <v>18</v>
      </c>
      <c r="W39" s="705">
        <f t="shared" si="14"/>
        <v>100</v>
      </c>
      <c r="X39" s="1353"/>
      <c r="Y39" s="374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38"/>
      <c r="Q40" s="1350" t="str">
        <f t="shared" si="11"/>
        <v>房型</v>
      </c>
      <c r="R40" s="704" t="s">
        <v>18</v>
      </c>
      <c r="S40" s="705">
        <f t="shared" si="12"/>
        <v>100</v>
      </c>
      <c r="T40" s="704" t="s">
        <v>18</v>
      </c>
      <c r="U40" s="705">
        <f t="shared" si="13"/>
        <v>100</v>
      </c>
      <c r="V40" s="704" t="s">
        <v>18</v>
      </c>
      <c r="W40" s="705">
        <f t="shared" si="14"/>
        <v>100</v>
      </c>
      <c r="X40" s="1353"/>
      <c r="Y40" s="374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8"/>
      <c r="M41" s="2720"/>
      <c r="N41" s="2720"/>
      <c r="O41" s="2720"/>
      <c r="P41" s="3738"/>
      <c r="Q41" s="706" t="str">
        <f t="shared" si="11"/>
        <v>单套/主力户型建筑面积</v>
      </c>
      <c r="R41" s="707" t="s">
        <v>18</v>
      </c>
      <c r="S41" s="708">
        <f t="shared" si="12"/>
        <v>100</v>
      </c>
      <c r="T41" s="707" t="s">
        <v>18</v>
      </c>
      <c r="U41" s="708">
        <f t="shared" si="13"/>
        <v>100</v>
      </c>
      <c r="V41" s="707" t="s">
        <v>18</v>
      </c>
      <c r="W41" s="708">
        <f t="shared" si="14"/>
        <v>100</v>
      </c>
      <c r="X41" s="709"/>
      <c r="Y41" s="3740"/>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38"/>
      <c r="Q42" s="1350" t="str">
        <f t="shared" si="11"/>
        <v>内部装修</v>
      </c>
      <c r="R42" s="704" t="s">
        <v>18</v>
      </c>
      <c r="S42" s="705">
        <f t="shared" si="12"/>
        <v>100</v>
      </c>
      <c r="T42" s="704" t="s">
        <v>18</v>
      </c>
      <c r="U42" s="705">
        <f t="shared" si="13"/>
        <v>100</v>
      </c>
      <c r="V42" s="704" t="s">
        <v>18</v>
      </c>
      <c r="W42" s="705">
        <f t="shared" si="14"/>
        <v>100</v>
      </c>
      <c r="X42" s="1353"/>
      <c r="Y42" s="374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38"/>
      <c r="Q43" s="1350" t="str">
        <f t="shared" si="11"/>
        <v>内部装修维护情况</v>
      </c>
      <c r="R43" s="704" t="s">
        <v>18</v>
      </c>
      <c r="S43" s="705">
        <f t="shared" si="12"/>
        <v>100</v>
      </c>
      <c r="T43" s="704" t="s">
        <v>18</v>
      </c>
      <c r="U43" s="705">
        <f t="shared" si="13"/>
        <v>100</v>
      </c>
      <c r="V43" s="704" t="s">
        <v>18</v>
      </c>
      <c r="W43" s="705">
        <f t="shared" si="14"/>
        <v>100</v>
      </c>
      <c r="X43" s="1353"/>
      <c r="Y43" s="3740"/>
      <c r="Z43" s="1354" t="str">
        <f t="shared" si="18"/>
        <v>内部装修维护情况</v>
      </c>
      <c r="AA43" s="1351">
        <f t="shared" si="15"/>
        <v>1</v>
      </c>
      <c r="AB43" s="1351">
        <f t="shared" si="16"/>
        <v>1</v>
      </c>
      <c r="AC43" s="1351">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4"/>
      <c r="M44" s="2715"/>
      <c r="N44" s="2715"/>
      <c r="O44" s="2715"/>
      <c r="P44" s="3738"/>
      <c r="Q44" s="1341">
        <f t="shared" si="11"/>
        <v>111</v>
      </c>
      <c r="R44" s="700" t="s">
        <v>18</v>
      </c>
      <c r="S44" s="701">
        <f t="shared" si="12"/>
        <v>100</v>
      </c>
      <c r="T44" s="700" t="s">
        <v>18</v>
      </c>
      <c r="U44" s="701">
        <f t="shared" si="13"/>
        <v>100</v>
      </c>
      <c r="V44" s="700" t="s">
        <v>18</v>
      </c>
      <c r="W44" s="701">
        <f t="shared" si="14"/>
        <v>100</v>
      </c>
      <c r="X44" s="702"/>
      <c r="Y44" s="3740"/>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38"/>
      <c r="Q45" s="1350">
        <f t="shared" si="11"/>
        <v>111</v>
      </c>
      <c r="R45" s="704" t="s">
        <v>18</v>
      </c>
      <c r="S45" s="705">
        <f t="shared" si="12"/>
        <v>100</v>
      </c>
      <c r="T45" s="704" t="s">
        <v>18</v>
      </c>
      <c r="U45" s="705">
        <f t="shared" si="13"/>
        <v>100</v>
      </c>
      <c r="V45" s="704" t="s">
        <v>18</v>
      </c>
      <c r="W45" s="705">
        <f t="shared" si="14"/>
        <v>100</v>
      </c>
      <c r="X45" s="1353"/>
      <c r="Y45" s="374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39"/>
      <c r="Q46" s="1350">
        <f t="shared" si="11"/>
        <v>111</v>
      </c>
      <c r="R46" s="704" t="s">
        <v>17</v>
      </c>
      <c r="S46" s="705">
        <f t="shared" si="12"/>
        <v>100</v>
      </c>
      <c r="T46" s="704" t="s">
        <v>17</v>
      </c>
      <c r="U46" s="705">
        <f t="shared" si="13"/>
        <v>100</v>
      </c>
      <c r="V46" s="704" t="s">
        <v>17</v>
      </c>
      <c r="W46" s="705">
        <f t="shared" si="14"/>
        <v>100</v>
      </c>
      <c r="X46" s="1353"/>
      <c r="Y46" s="3741"/>
      <c r="Z46" s="1354">
        <f t="shared" si="18"/>
        <v>111</v>
      </c>
      <c r="AA46" s="1351">
        <f t="shared" si="15"/>
        <v>1</v>
      </c>
      <c r="AB46" s="1351">
        <f t="shared" si="16"/>
        <v>1</v>
      </c>
      <c r="AC46" s="1351">
        <f t="shared" si="17"/>
        <v>1</v>
      </c>
    </row>
    <row r="47" spans="1:29" ht="15">
      <c r="A47" s="429" t="s">
        <v>1708</v>
      </c>
      <c r="B47" s="430"/>
      <c r="C47" s="1153" t="s">
        <v>16</v>
      </c>
      <c r="D47" s="1154"/>
      <c r="E47" s="1155"/>
      <c r="F47" s="1156"/>
      <c r="G47" s="1157"/>
      <c r="H47" s="1158"/>
      <c r="I47" s="1155"/>
      <c r="J47" s="1158"/>
      <c r="K47" s="1912"/>
      <c r="L47" s="2721"/>
      <c r="M47" s="2722"/>
      <c r="N47" s="2713"/>
      <c r="O47" s="2722"/>
      <c r="P47" s="3733" t="str">
        <f>A47</f>
        <v>成交单价（元/平方米）</v>
      </c>
      <c r="Q47" s="3733"/>
      <c r="R47" s="3734">
        <f>E47</f>
        <v>0</v>
      </c>
      <c r="S47" s="3734"/>
      <c r="T47" s="3734">
        <f>G47</f>
        <v>0</v>
      </c>
      <c r="U47" s="3734"/>
      <c r="V47" s="3734">
        <f>I47</f>
        <v>0</v>
      </c>
      <c r="W47" s="3734"/>
      <c r="X47" s="689"/>
      <c r="Y47" s="711"/>
      <c r="Z47" s="689"/>
      <c r="AA47" s="689"/>
      <c r="AB47" s="689"/>
      <c r="AC47" s="689"/>
    </row>
    <row r="48" spans="1:29" ht="15.75" thickBot="1">
      <c r="A48" s="436" t="s">
        <v>1709</v>
      </c>
      <c r="B48" s="437"/>
      <c r="C48" s="1159" t="e">
        <f>R49</f>
        <v>#DIV/0!</v>
      </c>
      <c r="D48" s="2315" t="s">
        <v>2137</v>
      </c>
      <c r="E48" s="1160" t="e">
        <f>R48</f>
        <v>#DIV/0!</v>
      </c>
      <c r="F48" s="2316"/>
      <c r="G48" s="1159" t="e">
        <f>T48</f>
        <v>#DIV/0!</v>
      </c>
      <c r="H48" s="2316"/>
      <c r="I48" s="1160" t="e">
        <f>V48</f>
        <v>#DIV/0!</v>
      </c>
      <c r="J48" s="2316"/>
      <c r="K48" s="2317">
        <f>F48+H48+J48</f>
        <v>0</v>
      </c>
      <c r="L48" s="2721"/>
      <c r="M48" s="2722"/>
      <c r="N48" s="2722"/>
      <c r="O48" s="2722"/>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3"/>
      <c r="L49" s="2721"/>
      <c r="M49" s="2722"/>
      <c r="N49" s="2722"/>
      <c r="O49" s="2722"/>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2"/>
    </row>
    <row r="58" spans="1:29" s="456" customFormat="1" ht="15">
      <c r="A58" s="453" t="s">
        <v>1715</v>
      </c>
      <c r="B58" s="454"/>
      <c r="C58" s="1184" t="str">
        <f>YEAR(C7)&amp;"-"&amp;MONTH(C7)</f>
        <v>2024-9</v>
      </c>
      <c r="D58" s="1183">
        <f>EDATE(C58,-1)</f>
        <v>45505</v>
      </c>
      <c r="E58" s="1183">
        <f>EDATE(D58,-1)</f>
        <v>45474</v>
      </c>
      <c r="F58" s="1183">
        <f t="shared" ref="F58:O58" si="19">EDATE(E58,-1)</f>
        <v>45444</v>
      </c>
      <c r="G58" s="1183">
        <f t="shared" si="19"/>
        <v>45413</v>
      </c>
      <c r="H58" s="1183">
        <f t="shared" si="19"/>
        <v>45383</v>
      </c>
      <c r="I58" s="1183">
        <f t="shared" si="19"/>
        <v>45352</v>
      </c>
      <c r="J58" s="1183">
        <f t="shared" si="19"/>
        <v>45323</v>
      </c>
      <c r="K58" s="1183">
        <f t="shared" si="19"/>
        <v>45292</v>
      </c>
      <c r="L58" s="1183">
        <f t="shared" si="19"/>
        <v>45261</v>
      </c>
      <c r="M58" s="1183">
        <f t="shared" si="19"/>
        <v>45231</v>
      </c>
      <c r="N58" s="1183">
        <f t="shared" si="19"/>
        <v>45200</v>
      </c>
      <c r="O58" s="1183">
        <f t="shared" si="19"/>
        <v>45170</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1"/>
      <c r="O61" s="931"/>
      <c r="P61" s="1919"/>
      <c r="Q61" s="452"/>
    </row>
    <row r="62" spans="1:29" s="107"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1719</v>
      </c>
      <c r="B63" s="476" t="s">
        <v>1685</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1688</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7" customFormat="1" ht="15.75" thickTop="1">
      <c r="A86" s="527"/>
      <c r="B86" s="486" t="s">
        <v>1734</v>
      </c>
      <c r="C86" s="502"/>
      <c r="D86" s="502"/>
      <c r="E86" s="502"/>
      <c r="F86" s="502"/>
      <c r="G86" s="502"/>
      <c r="H86" s="502"/>
      <c r="I86" s="502"/>
      <c r="J86" s="502"/>
      <c r="K86" s="502"/>
      <c r="L86" s="528"/>
      <c r="M86" s="529"/>
      <c r="N86" s="931"/>
      <c r="O86" s="931"/>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7" customFormat="1" ht="15.75" thickTop="1">
      <c r="A88" s="527"/>
      <c r="B88" s="486" t="s">
        <v>1735</v>
      </c>
      <c r="C88" s="502"/>
      <c r="D88" s="502"/>
      <c r="E88" s="502"/>
      <c r="F88" s="1925"/>
      <c r="G88" s="502"/>
      <c r="H88" s="502"/>
      <c r="I88" s="502"/>
      <c r="J88" s="502"/>
      <c r="K88" s="502"/>
      <c r="L88" s="502"/>
      <c r="M88" s="529"/>
      <c r="N88" s="931"/>
      <c r="O88" s="931"/>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1694</v>
      </c>
      <c r="B100" s="476" t="s">
        <v>1736</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1"/>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0</v>
      </c>
      <c r="C3" s="353" t="s">
        <v>1768</v>
      </c>
      <c r="D3" s="352">
        <f>IF(D1="",'数据-汇总表'!E3,SUMIF('数据-汇总表'!$C19:$C33,D1,'数据-汇总表'!$E19:$E33))</f>
        <v>33618.589999999997</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4" t="s">
        <v>1769</v>
      </c>
      <c r="B4" s="355"/>
      <c r="C4" s="3748" t="s">
        <v>1770</v>
      </c>
      <c r="D4" s="3749"/>
      <c r="E4" s="3750" t="s">
        <v>1771</v>
      </c>
      <c r="F4" s="3751"/>
      <c r="G4" s="3748" t="s">
        <v>1772</v>
      </c>
      <c r="H4" s="3749"/>
      <c r="I4" s="3748" t="s">
        <v>1773</v>
      </c>
      <c r="J4" s="3749"/>
      <c r="K4" s="558" t="s">
        <v>1774</v>
      </c>
      <c r="L4" s="2712"/>
      <c r="M4" s="2713"/>
      <c r="N4" s="2713"/>
      <c r="O4" s="2713"/>
      <c r="P4" s="3752" t="s">
        <v>1775</v>
      </c>
      <c r="Q4" s="3753"/>
      <c r="R4" s="3758" t="s">
        <v>1771</v>
      </c>
      <c r="S4" s="3759"/>
      <c r="T4" s="3758" t="s">
        <v>1772</v>
      </c>
      <c r="U4" s="3759"/>
      <c r="V4" s="3764" t="s">
        <v>1773</v>
      </c>
      <c r="W4" s="3764"/>
      <c r="X4" s="1353"/>
      <c r="Y4" s="3758" t="s">
        <v>1775</v>
      </c>
      <c r="Z4" s="3759"/>
      <c r="AA4" s="3745" t="s">
        <v>1771</v>
      </c>
      <c r="AB4" s="3764" t="s">
        <v>1772</v>
      </c>
      <c r="AC4" s="3745" t="s">
        <v>1773</v>
      </c>
    </row>
    <row r="5" spans="1:29" ht="15">
      <c r="A5" s="357"/>
      <c r="B5" s="358"/>
      <c r="C5" s="3767" t="s">
        <v>1673</v>
      </c>
      <c r="D5" s="3768"/>
      <c r="E5" s="3774" t="s">
        <v>1674</v>
      </c>
      <c r="F5" s="3775"/>
      <c r="G5" s="3767" t="s">
        <v>1675</v>
      </c>
      <c r="H5" s="3768"/>
      <c r="I5" s="3767" t="s">
        <v>1676</v>
      </c>
      <c r="J5" s="3768"/>
      <c r="K5" s="558"/>
      <c r="L5" s="2712"/>
      <c r="M5" s="2713"/>
      <c r="N5" s="2713"/>
      <c r="O5" s="2713"/>
      <c r="P5" s="3754"/>
      <c r="Q5" s="3755"/>
      <c r="R5" s="3760"/>
      <c r="S5" s="3761"/>
      <c r="T5" s="3760"/>
      <c r="U5" s="3761"/>
      <c r="V5" s="3764"/>
      <c r="W5" s="3764"/>
      <c r="X5" s="1353"/>
      <c r="Y5" s="3760"/>
      <c r="Z5" s="3761"/>
      <c r="AA5" s="3746"/>
      <c r="AB5" s="3764"/>
      <c r="AC5" s="3746"/>
    </row>
    <row r="6" spans="1:29" ht="15.75" thickBot="1">
      <c r="A6" s="359"/>
      <c r="B6" s="360"/>
      <c r="C6" s="3765" t="s">
        <v>1677</v>
      </c>
      <c r="D6" s="3766"/>
      <c r="E6" s="3772" t="s">
        <v>1677</v>
      </c>
      <c r="F6" s="3773"/>
      <c r="G6" s="3765" t="s">
        <v>1677</v>
      </c>
      <c r="H6" s="3766"/>
      <c r="I6" s="3765" t="s">
        <v>1677</v>
      </c>
      <c r="J6" s="3766"/>
      <c r="K6" s="558" t="s">
        <v>1678</v>
      </c>
      <c r="L6" s="2712"/>
      <c r="M6" s="2713"/>
      <c r="N6" s="2713"/>
      <c r="O6" s="2713"/>
      <c r="P6" s="3756"/>
      <c r="Q6" s="3757"/>
      <c r="R6" s="3760"/>
      <c r="S6" s="3761"/>
      <c r="T6" s="3762"/>
      <c r="U6" s="3763"/>
      <c r="V6" s="3764"/>
      <c r="W6" s="3764"/>
      <c r="X6" s="1353"/>
      <c r="Y6" s="3762"/>
      <c r="Z6" s="3763"/>
      <c r="AA6" s="3747"/>
      <c r="AB6" s="3764"/>
      <c r="AC6" s="3747"/>
    </row>
    <row r="7" spans="1:29" s="107" customFormat="1" ht="15.75" thickBot="1">
      <c r="A7" s="361" t="s">
        <v>1679</v>
      </c>
      <c r="B7" s="362"/>
      <c r="C7" s="363">
        <f>'数据-取费表'!B2</f>
        <v>45565</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69" t="s">
        <v>1680</v>
      </c>
      <c r="Q7" s="3771"/>
      <c r="R7" s="700" t="s">
        <v>14</v>
      </c>
      <c r="S7" s="701">
        <f t="shared" ref="S7:S15" si="0">F7</f>
        <v>0</v>
      </c>
      <c r="T7" s="700" t="s">
        <v>14</v>
      </c>
      <c r="U7" s="701">
        <f t="shared" ref="U7:U15" si="1">H7</f>
        <v>0</v>
      </c>
      <c r="V7" s="700" t="s">
        <v>14</v>
      </c>
      <c r="W7" s="701">
        <f t="shared" ref="W7:W15" si="2">J7</f>
        <v>0</v>
      </c>
      <c r="X7" s="702"/>
      <c r="Y7" s="3769" t="s">
        <v>1680</v>
      </c>
      <c r="Z7" s="3770"/>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69" t="s">
        <v>1683</v>
      </c>
      <c r="Q8" s="3770"/>
      <c r="R8" s="700" t="s">
        <v>14</v>
      </c>
      <c r="S8" s="701">
        <f t="shared" si="0"/>
        <v>100</v>
      </c>
      <c r="T8" s="700" t="s">
        <v>14</v>
      </c>
      <c r="U8" s="701">
        <f t="shared" si="1"/>
        <v>100</v>
      </c>
      <c r="V8" s="700" t="s">
        <v>14</v>
      </c>
      <c r="W8" s="701">
        <f t="shared" si="2"/>
        <v>100</v>
      </c>
      <c r="X8" s="702"/>
      <c r="Y8" s="3769" t="s">
        <v>1683</v>
      </c>
      <c r="Z8" s="3770"/>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44" t="s">
        <v>1686</v>
      </c>
      <c r="Q9" s="1341" t="str">
        <f t="shared" ref="Q9:Q15" si="6">B9</f>
        <v>用途</v>
      </c>
      <c r="R9" s="700" t="s">
        <v>14</v>
      </c>
      <c r="S9" s="701">
        <f t="shared" si="0"/>
        <v>100</v>
      </c>
      <c r="T9" s="700" t="s">
        <v>14</v>
      </c>
      <c r="U9" s="701">
        <f t="shared" si="1"/>
        <v>100</v>
      </c>
      <c r="V9" s="700" t="s">
        <v>14</v>
      </c>
      <c r="W9" s="701">
        <f t="shared" si="2"/>
        <v>100</v>
      </c>
      <c r="X9" s="702"/>
      <c r="Y9" s="3589" t="s">
        <v>1687</v>
      </c>
      <c r="Z9" s="51" t="str">
        <f t="shared" ref="Z9:Z15" si="7">Q9</f>
        <v>用途</v>
      </c>
      <c r="AA9" s="703">
        <f t="shared" si="3"/>
        <v>1</v>
      </c>
      <c r="AB9" s="703">
        <f t="shared" si="4"/>
        <v>1</v>
      </c>
      <c r="AC9" s="703">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6"/>
      <c r="M10" s="2717"/>
      <c r="N10" s="2717"/>
      <c r="O10" s="2717"/>
      <c r="P10" s="3744"/>
      <c r="Q10" s="1341" t="str">
        <f t="shared" si="6"/>
        <v>土地使用年限（年）</v>
      </c>
      <c r="R10" s="700" t="s">
        <v>14</v>
      </c>
      <c r="S10" s="701">
        <f t="shared" si="0"/>
        <v>100</v>
      </c>
      <c r="T10" s="700" t="s">
        <v>14</v>
      </c>
      <c r="U10" s="701">
        <f t="shared" si="1"/>
        <v>100</v>
      </c>
      <c r="V10" s="700" t="s">
        <v>14</v>
      </c>
      <c r="W10" s="701">
        <f t="shared" si="2"/>
        <v>100</v>
      </c>
      <c r="X10" s="702"/>
      <c r="Y10" s="3589"/>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44"/>
      <c r="Q11" s="1341" t="str">
        <f t="shared" si="6"/>
        <v>容积率</v>
      </c>
      <c r="R11" s="700" t="s">
        <v>14</v>
      </c>
      <c r="S11" s="701" t="e">
        <f t="shared" si="0"/>
        <v>#N/A</v>
      </c>
      <c r="T11" s="700" t="s">
        <v>14</v>
      </c>
      <c r="U11" s="701" t="e">
        <f t="shared" si="1"/>
        <v>#N/A</v>
      </c>
      <c r="V11" s="700" t="s">
        <v>14</v>
      </c>
      <c r="W11" s="701" t="e">
        <f t="shared" si="2"/>
        <v>#N/A</v>
      </c>
      <c r="X11" s="702"/>
      <c r="Y11" s="3589"/>
      <c r="Z11" s="51" t="str">
        <f t="shared" si="7"/>
        <v>容积率</v>
      </c>
      <c r="AA11" s="703" t="e">
        <f t="shared" si="3"/>
        <v>#N/A</v>
      </c>
      <c r="AB11" s="703" t="e">
        <f t="shared" si="4"/>
        <v>#N/A</v>
      </c>
      <c r="AC11" s="703" t="e">
        <f t="shared" si="5"/>
        <v>#N/A</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44"/>
      <c r="Q12" s="1341">
        <f t="shared" si="6"/>
        <v>111</v>
      </c>
      <c r="R12" s="700" t="s">
        <v>14</v>
      </c>
      <c r="S12" s="701">
        <f t="shared" si="0"/>
        <v>100</v>
      </c>
      <c r="T12" s="700" t="s">
        <v>14</v>
      </c>
      <c r="U12" s="701">
        <f t="shared" si="1"/>
        <v>100</v>
      </c>
      <c r="V12" s="700" t="s">
        <v>14</v>
      </c>
      <c r="W12" s="701">
        <f t="shared" si="2"/>
        <v>100</v>
      </c>
      <c r="X12" s="702"/>
      <c r="Y12" s="3589"/>
      <c r="Z12" s="51">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44"/>
      <c r="Q13" s="1341">
        <f t="shared" si="6"/>
        <v>111</v>
      </c>
      <c r="R13" s="700" t="s">
        <v>14</v>
      </c>
      <c r="S13" s="701">
        <f t="shared" si="0"/>
        <v>100</v>
      </c>
      <c r="T13" s="700" t="s">
        <v>14</v>
      </c>
      <c r="U13" s="701">
        <f t="shared" si="1"/>
        <v>100</v>
      </c>
      <c r="V13" s="700" t="s">
        <v>14</v>
      </c>
      <c r="W13" s="701">
        <f t="shared" si="2"/>
        <v>100</v>
      </c>
      <c r="X13" s="702"/>
      <c r="Y13" s="3589"/>
      <c r="Z13" s="51">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44"/>
      <c r="Q14" s="1341">
        <f t="shared" si="6"/>
        <v>111</v>
      </c>
      <c r="R14" s="700" t="s">
        <v>14</v>
      </c>
      <c r="S14" s="701">
        <f t="shared" si="0"/>
        <v>100</v>
      </c>
      <c r="T14" s="700" t="s">
        <v>14</v>
      </c>
      <c r="U14" s="701">
        <f t="shared" si="1"/>
        <v>100</v>
      </c>
      <c r="V14" s="700" t="s">
        <v>14</v>
      </c>
      <c r="W14" s="701">
        <f t="shared" si="2"/>
        <v>100</v>
      </c>
      <c r="X14" s="702"/>
      <c r="Y14" s="3589"/>
      <c r="Z14" s="51">
        <f t="shared" si="7"/>
        <v>111</v>
      </c>
      <c r="AA14" s="703">
        <f t="shared" si="3"/>
        <v>1</v>
      </c>
      <c r="AB14" s="703">
        <f t="shared" si="4"/>
        <v>1</v>
      </c>
      <c r="AC14" s="703">
        <f t="shared" si="5"/>
        <v>1</v>
      </c>
    </row>
    <row r="15" spans="1:29" ht="71.25">
      <c r="A15" s="390" t="s">
        <v>1690</v>
      </c>
      <c r="B15" s="60"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42" t="s">
        <v>1691</v>
      </c>
      <c r="Q15" s="1350" t="str">
        <f t="shared" si="6"/>
        <v>商业繁华度</v>
      </c>
      <c r="R15" s="704" t="s">
        <v>14</v>
      </c>
      <c r="S15" s="705">
        <f t="shared" si="0"/>
        <v>100</v>
      </c>
      <c r="T15" s="704" t="s">
        <v>14</v>
      </c>
      <c r="U15" s="705">
        <f t="shared" si="1"/>
        <v>100</v>
      </c>
      <c r="V15" s="704" t="s">
        <v>14</v>
      </c>
      <c r="W15" s="705">
        <f t="shared" si="2"/>
        <v>100</v>
      </c>
      <c r="X15" s="1353"/>
      <c r="Y15" s="3735"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9"/>
      <c r="M16" s="2713"/>
      <c r="N16" s="2713"/>
      <c r="O16" s="2713"/>
      <c r="P16" s="3743"/>
      <c r="Q16" s="1350"/>
      <c r="R16" s="704"/>
      <c r="S16" s="705"/>
      <c r="T16" s="704"/>
      <c r="U16" s="705"/>
      <c r="V16" s="704"/>
      <c r="W16" s="705"/>
      <c r="X16" s="1353"/>
      <c r="Y16" s="373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43"/>
      <c r="Q17" s="1350" t="str">
        <f>B17</f>
        <v>交通便捷度</v>
      </c>
      <c r="R17" s="704" t="s">
        <v>14</v>
      </c>
      <c r="S17" s="705">
        <f>F17</f>
        <v>100</v>
      </c>
      <c r="T17" s="704" t="s">
        <v>14</v>
      </c>
      <c r="U17" s="705">
        <f>H17</f>
        <v>100</v>
      </c>
      <c r="V17" s="704" t="s">
        <v>14</v>
      </c>
      <c r="W17" s="705">
        <f>J17</f>
        <v>100</v>
      </c>
      <c r="X17" s="1353"/>
      <c r="Y17" s="373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9"/>
      <c r="M18" s="2713"/>
      <c r="N18" s="2713"/>
      <c r="O18" s="2713"/>
      <c r="P18" s="3743"/>
      <c r="Q18" s="1350"/>
      <c r="R18" s="704"/>
      <c r="S18" s="705"/>
      <c r="T18" s="704"/>
      <c r="U18" s="705"/>
      <c r="V18" s="704"/>
      <c r="W18" s="705"/>
      <c r="X18" s="1353"/>
      <c r="Y18" s="373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43"/>
      <c r="Q19" s="1350" t="str">
        <f>B19</f>
        <v>公共配套设施</v>
      </c>
      <c r="R19" s="704" t="s">
        <v>14</v>
      </c>
      <c r="S19" s="705">
        <f>F19</f>
        <v>100</v>
      </c>
      <c r="T19" s="704" t="s">
        <v>14</v>
      </c>
      <c r="U19" s="705">
        <f>H19</f>
        <v>100</v>
      </c>
      <c r="V19" s="704" t="s">
        <v>14</v>
      </c>
      <c r="W19" s="705">
        <f>J19</f>
        <v>100</v>
      </c>
      <c r="X19" s="1353"/>
      <c r="Y19" s="373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9"/>
      <c r="M20" s="2713"/>
      <c r="N20" s="2713"/>
      <c r="O20" s="2713"/>
      <c r="P20" s="3743"/>
      <c r="Q20" s="1350"/>
      <c r="R20" s="704"/>
      <c r="S20" s="705"/>
      <c r="T20" s="704"/>
      <c r="U20" s="705"/>
      <c r="V20" s="704"/>
      <c r="W20" s="705"/>
      <c r="X20" s="1353"/>
      <c r="Y20" s="3736"/>
      <c r="Z20" s="1354"/>
      <c r="AA20" s="1351">
        <v>1</v>
      </c>
      <c r="AB20" s="1351">
        <v>1</v>
      </c>
      <c r="AC20" s="1351">
        <v>1</v>
      </c>
    </row>
    <row r="21" spans="1:29" ht="28.5">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43"/>
      <c r="Q21" s="1350" t="str">
        <f>B21</f>
        <v>基础设施水平</v>
      </c>
      <c r="R21" s="704" t="s">
        <v>14</v>
      </c>
      <c r="S21" s="705">
        <f>F21</f>
        <v>100</v>
      </c>
      <c r="T21" s="704" t="s">
        <v>14</v>
      </c>
      <c r="U21" s="705">
        <f>H21</f>
        <v>100</v>
      </c>
      <c r="V21" s="704" t="s">
        <v>14</v>
      </c>
      <c r="W21" s="705">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9"/>
      <c r="M22" s="2713"/>
      <c r="N22" s="2713"/>
      <c r="O22" s="2713"/>
      <c r="P22" s="3743"/>
      <c r="Q22" s="1350"/>
      <c r="R22" s="704"/>
      <c r="S22" s="705"/>
      <c r="T22" s="704"/>
      <c r="U22" s="705"/>
      <c r="V22" s="704"/>
      <c r="W22" s="705"/>
      <c r="X22" s="1353"/>
      <c r="Y22" s="373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43"/>
      <c r="Q23" s="1350" t="str">
        <f>B23</f>
        <v>自然及人文环境</v>
      </c>
      <c r="R23" s="704" t="s">
        <v>14</v>
      </c>
      <c r="S23" s="705">
        <f>F23</f>
        <v>100</v>
      </c>
      <c r="T23" s="704" t="s">
        <v>14</v>
      </c>
      <c r="U23" s="705">
        <f>H23</f>
        <v>100</v>
      </c>
      <c r="V23" s="704" t="s">
        <v>14</v>
      </c>
      <c r="W23" s="705">
        <f>J23</f>
        <v>100</v>
      </c>
      <c r="X23" s="1353"/>
      <c r="Y23" s="3736"/>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9"/>
      <c r="M24" s="2713"/>
      <c r="N24" s="2713"/>
      <c r="O24" s="2713"/>
      <c r="P24" s="3743"/>
      <c r="Q24" s="1350"/>
      <c r="R24" s="704"/>
      <c r="S24" s="705"/>
      <c r="T24" s="704"/>
      <c r="U24" s="705"/>
      <c r="V24" s="704"/>
      <c r="W24" s="705"/>
      <c r="X24" s="1353"/>
      <c r="Y24" s="3736"/>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43"/>
      <c r="Q25" s="1350" t="str">
        <f t="shared" ref="Q25:Q46" si="11">B25</f>
        <v>临街状况</v>
      </c>
      <c r="R25" s="704" t="s">
        <v>14</v>
      </c>
      <c r="S25" s="705">
        <f>F25</f>
        <v>100</v>
      </c>
      <c r="T25" s="704" t="s">
        <v>14</v>
      </c>
      <c r="U25" s="705">
        <f>H25</f>
        <v>100</v>
      </c>
      <c r="V25" s="704" t="s">
        <v>14</v>
      </c>
      <c r="W25" s="705">
        <f>J25</f>
        <v>100</v>
      </c>
      <c r="X25" s="1353"/>
      <c r="Y25" s="3736"/>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43"/>
      <c r="Q26" s="1350" t="str">
        <f t="shared" si="11"/>
        <v>平面位置/可视性</v>
      </c>
      <c r="R26" s="704" t="s">
        <v>14</v>
      </c>
      <c r="S26" s="705">
        <f>F26</f>
        <v>100</v>
      </c>
      <c r="T26" s="704" t="s">
        <v>14</v>
      </c>
      <c r="U26" s="705">
        <f>H26</f>
        <v>100</v>
      </c>
      <c r="V26" s="704" t="s">
        <v>14</v>
      </c>
      <c r="W26" s="705">
        <f>J26</f>
        <v>100</v>
      </c>
      <c r="X26" s="1353"/>
      <c r="Y26" s="3736"/>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43"/>
      <c r="Q27" s="1341" t="str">
        <f t="shared" si="11"/>
        <v>人流量</v>
      </c>
      <c r="R27" s="700" t="s">
        <v>14</v>
      </c>
      <c r="S27" s="701">
        <f>F27</f>
        <v>100</v>
      </c>
      <c r="T27" s="700" t="s">
        <v>14</v>
      </c>
      <c r="U27" s="701">
        <f>H27</f>
        <v>100</v>
      </c>
      <c r="V27" s="700" t="s">
        <v>14</v>
      </c>
      <c r="W27" s="701">
        <f>J27</f>
        <v>100</v>
      </c>
      <c r="X27" s="702"/>
      <c r="Y27" s="3736"/>
      <c r="Z27" s="51"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43"/>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36"/>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43"/>
      <c r="Q29" s="1350">
        <f t="shared" si="11"/>
        <v>111</v>
      </c>
      <c r="R29" s="704" t="s">
        <v>14</v>
      </c>
      <c r="S29" s="705">
        <f t="shared" si="12"/>
        <v>100</v>
      </c>
      <c r="T29" s="704" t="s">
        <v>14</v>
      </c>
      <c r="U29" s="705">
        <f t="shared" si="13"/>
        <v>100</v>
      </c>
      <c r="V29" s="704" t="s">
        <v>14</v>
      </c>
      <c r="W29" s="705">
        <f t="shared" si="14"/>
        <v>100</v>
      </c>
      <c r="X29" s="1353"/>
      <c r="Y29" s="3736"/>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43"/>
      <c r="Q30" s="1350">
        <f t="shared" si="11"/>
        <v>111</v>
      </c>
      <c r="R30" s="704" t="s">
        <v>14</v>
      </c>
      <c r="S30" s="705">
        <f t="shared" si="12"/>
        <v>100</v>
      </c>
      <c r="T30" s="704" t="s">
        <v>14</v>
      </c>
      <c r="U30" s="705">
        <f t="shared" si="13"/>
        <v>100</v>
      </c>
      <c r="V30" s="704" t="s">
        <v>14</v>
      </c>
      <c r="W30" s="705">
        <f t="shared" si="14"/>
        <v>100</v>
      </c>
      <c r="X30" s="1353"/>
      <c r="Y30" s="3736"/>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43"/>
      <c r="Q31" s="1350">
        <f t="shared" si="11"/>
        <v>111</v>
      </c>
      <c r="R31" s="704" t="s">
        <v>14</v>
      </c>
      <c r="S31" s="705">
        <f t="shared" si="12"/>
        <v>100</v>
      </c>
      <c r="T31" s="704" t="s">
        <v>14</v>
      </c>
      <c r="U31" s="705">
        <f t="shared" si="13"/>
        <v>100</v>
      </c>
      <c r="V31" s="704" t="s">
        <v>14</v>
      </c>
      <c r="W31" s="705">
        <f t="shared" si="14"/>
        <v>100</v>
      </c>
      <c r="X31" s="1353"/>
      <c r="Y31" s="3736"/>
      <c r="Z31" s="1354">
        <f t="shared" si="15"/>
        <v>111</v>
      </c>
      <c r="AA31" s="1351">
        <f t="shared" si="3"/>
        <v>1</v>
      </c>
      <c r="AB31" s="1351">
        <f t="shared" si="4"/>
        <v>1</v>
      </c>
      <c r="AC31" s="1351">
        <f t="shared" si="5"/>
        <v>1</v>
      </c>
    </row>
    <row r="32" spans="1:29" ht="15">
      <c r="A32" s="390" t="s">
        <v>1694</v>
      </c>
      <c r="B32" s="62"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9"/>
      <c r="M32" s="2713"/>
      <c r="N32" s="2713"/>
      <c r="O32" s="2713"/>
      <c r="P32" s="3737" t="s">
        <v>1696</v>
      </c>
      <c r="Q32" s="1350" t="str">
        <f t="shared" si="11"/>
        <v>商业类型</v>
      </c>
      <c r="R32" s="704" t="s">
        <v>14</v>
      </c>
      <c r="S32" s="705">
        <f t="shared" si="12"/>
        <v>100</v>
      </c>
      <c r="T32" s="704" t="s">
        <v>14</v>
      </c>
      <c r="U32" s="705">
        <f t="shared" si="13"/>
        <v>100</v>
      </c>
      <c r="V32" s="704" t="s">
        <v>14</v>
      </c>
      <c r="W32" s="705">
        <f t="shared" si="14"/>
        <v>100</v>
      </c>
      <c r="X32" s="1353"/>
      <c r="Y32" s="3740"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38"/>
      <c r="Q33" s="706" t="str">
        <f t="shared" si="11"/>
        <v>项目建筑规模</v>
      </c>
      <c r="R33" s="707" t="s">
        <v>14</v>
      </c>
      <c r="S33" s="708" t="e">
        <f t="shared" si="12"/>
        <v>#N/A</v>
      </c>
      <c r="T33" s="707" t="s">
        <v>14</v>
      </c>
      <c r="U33" s="708" t="e">
        <f t="shared" si="13"/>
        <v>#N/A</v>
      </c>
      <c r="V33" s="707" t="s">
        <v>14</v>
      </c>
      <c r="W33" s="708" t="e">
        <f t="shared" si="14"/>
        <v>#N/A</v>
      </c>
      <c r="X33" s="709"/>
      <c r="Y33" s="3740"/>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9"/>
      <c r="M34" s="2713"/>
      <c r="N34" s="2713"/>
      <c r="O34" s="2713"/>
      <c r="P34" s="3738"/>
      <c r="Q34" s="1350" t="str">
        <f t="shared" si="11"/>
        <v>建筑结构</v>
      </c>
      <c r="R34" s="704" t="s">
        <v>14</v>
      </c>
      <c r="S34" s="705">
        <f t="shared" si="12"/>
        <v>100</v>
      </c>
      <c r="T34" s="704" t="s">
        <v>14</v>
      </c>
      <c r="U34" s="705">
        <f t="shared" si="13"/>
        <v>100</v>
      </c>
      <c r="V34" s="704" t="s">
        <v>14</v>
      </c>
      <c r="W34" s="705">
        <f t="shared" si="14"/>
        <v>100</v>
      </c>
      <c r="X34" s="1353"/>
      <c r="Y34" s="3740"/>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9"/>
      <c r="M35" s="2713"/>
      <c r="N35" s="2713"/>
      <c r="O35" s="2713"/>
      <c r="P35" s="3738"/>
      <c r="Q35" s="1350" t="str">
        <f t="shared" si="11"/>
        <v>公共部分装修</v>
      </c>
      <c r="R35" s="704" t="s">
        <v>14</v>
      </c>
      <c r="S35" s="705">
        <f t="shared" si="12"/>
        <v>100</v>
      </c>
      <c r="T35" s="704" t="s">
        <v>14</v>
      </c>
      <c r="U35" s="705">
        <f t="shared" si="13"/>
        <v>100</v>
      </c>
      <c r="V35" s="704" t="s">
        <v>14</v>
      </c>
      <c r="W35" s="705">
        <f t="shared" si="14"/>
        <v>100</v>
      </c>
      <c r="X35" s="1353"/>
      <c r="Y35" s="3740"/>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38"/>
      <c r="Q36" s="1350" t="str">
        <f t="shared" si="11"/>
        <v>成新度</v>
      </c>
      <c r="R36" s="704" t="s">
        <v>14</v>
      </c>
      <c r="S36" s="705" t="e">
        <f t="shared" si="12"/>
        <v>#N/A</v>
      </c>
      <c r="T36" s="704" t="s">
        <v>14</v>
      </c>
      <c r="U36" s="705" t="e">
        <f t="shared" si="13"/>
        <v>#N/A</v>
      </c>
      <c r="V36" s="704" t="s">
        <v>14</v>
      </c>
      <c r="W36" s="705" t="e">
        <f t="shared" si="14"/>
        <v>#N/A</v>
      </c>
      <c r="X36" s="1353"/>
      <c r="Y36" s="3740"/>
      <c r="Z36" s="1354" t="str">
        <f t="shared" si="15"/>
        <v>成新度</v>
      </c>
      <c r="AA36" s="1351" t="e">
        <f t="shared" si="3"/>
        <v>#N/A</v>
      </c>
      <c r="AB36" s="1351" t="e">
        <f t="shared" si="4"/>
        <v>#N/A</v>
      </c>
      <c r="AC36" s="1351" t="e">
        <f t="shared" si="5"/>
        <v>#N/A</v>
      </c>
    </row>
    <row r="37" spans="1:29" s="107"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4"/>
      <c r="M37" s="2715"/>
      <c r="N37" s="2715"/>
      <c r="O37" s="2715"/>
      <c r="P37" s="3738"/>
      <c r="Q37" s="1341" t="str">
        <f t="shared" si="11"/>
        <v>市政基础设施</v>
      </c>
      <c r="R37" s="700" t="s">
        <v>14</v>
      </c>
      <c r="S37" s="701">
        <f t="shared" si="12"/>
        <v>100</v>
      </c>
      <c r="T37" s="700" t="s">
        <v>14</v>
      </c>
      <c r="U37" s="701">
        <f t="shared" si="13"/>
        <v>100</v>
      </c>
      <c r="V37" s="700" t="s">
        <v>14</v>
      </c>
      <c r="W37" s="701">
        <f t="shared" si="14"/>
        <v>100</v>
      </c>
      <c r="X37" s="702"/>
      <c r="Y37" s="3740"/>
      <c r="Z37" s="51"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9"/>
      <c r="M38" s="2713"/>
      <c r="N38" s="2713"/>
      <c r="O38" s="2713"/>
      <c r="P38" s="3738" t="s">
        <v>1696</v>
      </c>
      <c r="Q38" s="1350" t="str">
        <f t="shared" si="11"/>
        <v>业态</v>
      </c>
      <c r="R38" s="704" t="s">
        <v>14</v>
      </c>
      <c r="S38" s="705">
        <f t="shared" si="12"/>
        <v>100</v>
      </c>
      <c r="T38" s="704" t="s">
        <v>14</v>
      </c>
      <c r="U38" s="705">
        <f t="shared" si="13"/>
        <v>100</v>
      </c>
      <c r="V38" s="704" t="s">
        <v>14</v>
      </c>
      <c r="W38" s="705">
        <f t="shared" si="14"/>
        <v>100</v>
      </c>
      <c r="X38" s="1353"/>
      <c r="Y38" s="3740"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38"/>
      <c r="Q39" s="1350" t="str">
        <f t="shared" si="11"/>
        <v>层高</v>
      </c>
      <c r="R39" s="704" t="s">
        <v>14</v>
      </c>
      <c r="S39" s="705">
        <f t="shared" si="12"/>
        <v>100</v>
      </c>
      <c r="T39" s="704" t="s">
        <v>14</v>
      </c>
      <c r="U39" s="705">
        <f t="shared" si="13"/>
        <v>100</v>
      </c>
      <c r="V39" s="704" t="s">
        <v>14</v>
      </c>
      <c r="W39" s="705">
        <f t="shared" si="14"/>
        <v>100</v>
      </c>
      <c r="X39" s="1353"/>
      <c r="Y39" s="3740"/>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38"/>
      <c r="Q40" s="1350" t="str">
        <f t="shared" si="11"/>
        <v>单套建筑面积</v>
      </c>
      <c r="R40" s="704" t="s">
        <v>14</v>
      </c>
      <c r="S40" s="705">
        <f t="shared" si="12"/>
        <v>100</v>
      </c>
      <c r="T40" s="704" t="s">
        <v>14</v>
      </c>
      <c r="U40" s="705">
        <f t="shared" si="13"/>
        <v>100</v>
      </c>
      <c r="V40" s="704" t="s">
        <v>14</v>
      </c>
      <c r="W40" s="705">
        <f t="shared" si="14"/>
        <v>100</v>
      </c>
      <c r="X40" s="1353"/>
      <c r="Y40" s="3740"/>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38"/>
      <c r="Q41" s="706" t="str">
        <f t="shared" si="11"/>
        <v>进深比</v>
      </c>
      <c r="R41" s="707" t="s">
        <v>14</v>
      </c>
      <c r="S41" s="708">
        <f t="shared" si="12"/>
        <v>100</v>
      </c>
      <c r="T41" s="707" t="s">
        <v>14</v>
      </c>
      <c r="U41" s="708">
        <f t="shared" si="13"/>
        <v>100</v>
      </c>
      <c r="V41" s="707" t="s">
        <v>14</v>
      </c>
      <c r="W41" s="708">
        <f t="shared" si="14"/>
        <v>100</v>
      </c>
      <c r="X41" s="709"/>
      <c r="Y41" s="3740"/>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9"/>
      <c r="M42" s="2713"/>
      <c r="N42" s="2713"/>
      <c r="O42" s="2713"/>
      <c r="P42" s="3738"/>
      <c r="Q42" s="1350" t="str">
        <f t="shared" si="11"/>
        <v>内部装修</v>
      </c>
      <c r="R42" s="704" t="s">
        <v>14</v>
      </c>
      <c r="S42" s="705">
        <f t="shared" si="12"/>
        <v>100</v>
      </c>
      <c r="T42" s="704" t="s">
        <v>14</v>
      </c>
      <c r="U42" s="705">
        <f t="shared" si="13"/>
        <v>100</v>
      </c>
      <c r="V42" s="704" t="s">
        <v>14</v>
      </c>
      <c r="W42" s="705">
        <f t="shared" si="14"/>
        <v>100</v>
      </c>
      <c r="X42" s="1353"/>
      <c r="Y42" s="3740"/>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9"/>
      <c r="M43" s="2713"/>
      <c r="N43" s="2713"/>
      <c r="O43" s="2713"/>
      <c r="P43" s="3738"/>
      <c r="Q43" s="1350" t="str">
        <f t="shared" si="11"/>
        <v>内部装修维护情况</v>
      </c>
      <c r="R43" s="704" t="s">
        <v>14</v>
      </c>
      <c r="S43" s="705">
        <f t="shared" si="12"/>
        <v>100</v>
      </c>
      <c r="T43" s="704" t="s">
        <v>14</v>
      </c>
      <c r="U43" s="705">
        <f t="shared" si="13"/>
        <v>100</v>
      </c>
      <c r="V43" s="704" t="s">
        <v>14</v>
      </c>
      <c r="W43" s="705">
        <f t="shared" si="14"/>
        <v>100</v>
      </c>
      <c r="X43" s="1353"/>
      <c r="Y43" s="3740"/>
      <c r="Z43" s="1354" t="str">
        <f t="shared" si="15"/>
        <v>内部装修维护情况</v>
      </c>
      <c r="AA43" s="1351">
        <f t="shared" si="3"/>
        <v>1</v>
      </c>
      <c r="AB43" s="1351">
        <f t="shared" si="4"/>
        <v>1</v>
      </c>
      <c r="AC43" s="1351">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38"/>
      <c r="Q44" s="1341">
        <f t="shared" si="11"/>
        <v>111</v>
      </c>
      <c r="R44" s="700" t="s">
        <v>14</v>
      </c>
      <c r="S44" s="701">
        <f t="shared" si="12"/>
        <v>100</v>
      </c>
      <c r="T44" s="700" t="s">
        <v>14</v>
      </c>
      <c r="U44" s="701">
        <f t="shared" si="13"/>
        <v>100</v>
      </c>
      <c r="V44" s="700" t="s">
        <v>14</v>
      </c>
      <c r="W44" s="701">
        <f t="shared" si="14"/>
        <v>100</v>
      </c>
      <c r="X44" s="702"/>
      <c r="Y44" s="3740"/>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38"/>
      <c r="Q45" s="1350">
        <f t="shared" si="11"/>
        <v>111</v>
      </c>
      <c r="R45" s="704" t="s">
        <v>14</v>
      </c>
      <c r="S45" s="705">
        <f t="shared" si="12"/>
        <v>100</v>
      </c>
      <c r="T45" s="704" t="s">
        <v>14</v>
      </c>
      <c r="U45" s="705">
        <f t="shared" si="13"/>
        <v>100</v>
      </c>
      <c r="V45" s="704" t="s">
        <v>14</v>
      </c>
      <c r="W45" s="705">
        <f t="shared" si="14"/>
        <v>100</v>
      </c>
      <c r="X45" s="1353"/>
      <c r="Y45" s="3740"/>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39"/>
      <c r="Q46" s="1350">
        <f t="shared" si="11"/>
        <v>111</v>
      </c>
      <c r="R46" s="704" t="s">
        <v>14</v>
      </c>
      <c r="S46" s="705">
        <f t="shared" si="12"/>
        <v>100</v>
      </c>
      <c r="T46" s="704" t="s">
        <v>14</v>
      </c>
      <c r="U46" s="705">
        <f t="shared" si="13"/>
        <v>100</v>
      </c>
      <c r="V46" s="704" t="s">
        <v>14</v>
      </c>
      <c r="W46" s="705">
        <f t="shared" si="14"/>
        <v>100</v>
      </c>
      <c r="X46" s="1353"/>
      <c r="Y46" s="3741"/>
      <c r="Z46" s="1354">
        <f t="shared" si="15"/>
        <v>111</v>
      </c>
      <c r="AA46" s="1351">
        <f t="shared" si="3"/>
        <v>1</v>
      </c>
      <c r="AB46" s="1351">
        <f t="shared" si="4"/>
        <v>1</v>
      </c>
      <c r="AC46" s="1351">
        <f t="shared" si="5"/>
        <v>1</v>
      </c>
    </row>
    <row r="47" spans="1:29" ht="15">
      <c r="A47" s="429" t="s">
        <v>1708</v>
      </c>
      <c r="B47" s="430"/>
      <c r="C47" s="1153" t="s">
        <v>0</v>
      </c>
      <c r="D47" s="1154"/>
      <c r="E47" s="1155"/>
      <c r="F47" s="1156"/>
      <c r="G47" s="1157"/>
      <c r="H47" s="1158"/>
      <c r="I47" s="1155"/>
      <c r="J47" s="1158"/>
      <c r="K47" s="713"/>
      <c r="L47" s="2721"/>
      <c r="M47" s="2722"/>
      <c r="N47" s="2713"/>
      <c r="O47" s="2722"/>
      <c r="P47" s="3733" t="str">
        <f>A47</f>
        <v>成交单价（元/平方米）</v>
      </c>
      <c r="Q47" s="3733"/>
      <c r="R47" s="3764">
        <f>E47</f>
        <v>0</v>
      </c>
      <c r="S47" s="3764"/>
      <c r="T47" s="3764">
        <f>G47</f>
        <v>0</v>
      </c>
      <c r="U47" s="3764"/>
      <c r="V47" s="3764">
        <f>I47</f>
        <v>0</v>
      </c>
      <c r="W47" s="3764"/>
      <c r="X47" s="689"/>
      <c r="Y47" s="711"/>
      <c r="Z47" s="689"/>
      <c r="AA47" s="689"/>
      <c r="AB47" s="689"/>
      <c r="AC47" s="689"/>
    </row>
    <row r="48" spans="1:29" ht="15.75" thickBot="1">
      <c r="A48" s="436" t="s">
        <v>1793</v>
      </c>
      <c r="B48" s="437"/>
      <c r="C48" s="1159" t="e">
        <f>R49</f>
        <v>#DIV/0!</v>
      </c>
      <c r="D48" s="2315" t="s">
        <v>2137</v>
      </c>
      <c r="E48" s="1160" t="e">
        <f>R48</f>
        <v>#DIV/0!</v>
      </c>
      <c r="F48" s="2316"/>
      <c r="G48" s="1159" t="e">
        <f>T48</f>
        <v>#DIV/0!</v>
      </c>
      <c r="H48" s="2316"/>
      <c r="I48" s="1160" t="e">
        <f>V48</f>
        <v>#DIV/0!</v>
      </c>
      <c r="J48" s="2316"/>
      <c r="K48" s="2318">
        <f>F48+H48+J48</f>
        <v>0</v>
      </c>
      <c r="L48" s="2721"/>
      <c r="M48" s="2722"/>
      <c r="N48" s="2713"/>
      <c r="O48" s="2722"/>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1"/>
      <c r="M49" s="2722"/>
      <c r="N49" s="2713"/>
      <c r="O49" s="2722"/>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2" t="str">
        <f>YEAR(C7)&amp;"-"&amp;MONTH(C7)</f>
        <v>2024-9</v>
      </c>
      <c r="D58" s="1183">
        <f>EDATE(C58,-1)</f>
        <v>45505</v>
      </c>
      <c r="E58" s="1183">
        <f t="shared" ref="E58:N58" si="16">EDATE(D58,-1)</f>
        <v>45474</v>
      </c>
      <c r="F58" s="1183">
        <f t="shared" si="16"/>
        <v>45444</v>
      </c>
      <c r="G58" s="1183">
        <f t="shared" si="16"/>
        <v>45413</v>
      </c>
      <c r="H58" s="1183">
        <f t="shared" si="16"/>
        <v>45383</v>
      </c>
      <c r="I58" s="1183">
        <f t="shared" si="16"/>
        <v>45352</v>
      </c>
      <c r="J58" s="1183">
        <f t="shared" si="16"/>
        <v>45323</v>
      </c>
      <c r="K58" s="1183">
        <f t="shared" si="16"/>
        <v>45292</v>
      </c>
      <c r="L58" s="1183">
        <f t="shared" si="16"/>
        <v>45261</v>
      </c>
      <c r="M58" s="1183">
        <f t="shared" si="16"/>
        <v>45231</v>
      </c>
      <c r="N58" s="1183">
        <f t="shared" si="16"/>
        <v>45200</v>
      </c>
      <c r="O58" s="1183">
        <f>EDATE(N58,-1)</f>
        <v>45170</v>
      </c>
      <c r="P58" s="2737"/>
      <c r="Q58" s="2738"/>
      <c r="R58" s="2738"/>
      <c r="S58" s="2738"/>
      <c r="T58" s="2738"/>
      <c r="U58" s="2738"/>
      <c r="V58" s="2738"/>
      <c r="W58" s="2738"/>
      <c r="X58" s="2738"/>
      <c r="Y58" s="2738"/>
      <c r="Z58" s="2738"/>
      <c r="AA58" s="2738"/>
      <c r="AB58" s="2738"/>
      <c r="AC58" s="2738"/>
    </row>
    <row r="59" spans="1:29" s="107" customFormat="1" ht="15">
      <c r="A59" s="457"/>
      <c r="B59" s="458"/>
      <c r="C59" s="1181">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5"/>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6"/>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天津银行：</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估价对象为北京市房地产，为所有。根据《国有土地使用证》[]，估价对象（分摊）出让国有建设用地使用权面积为22981.55平方米，建筑面积为33618.59平方米。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估价对象为北京市房地产,属开发建设的商业项目，该项目尚在开发建设中。根据《国有土地使用证》[]，估价对象（分摊）出让国有建设用地使用权面积为22981.55平方米，规划建筑面积为33618.59平方米。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2024年9月30日（评估专业人员实地查勘之日）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33618.589999999997</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48" t="s">
        <v>1770</v>
      </c>
      <c r="D4" s="3749"/>
      <c r="E4" s="3750" t="s">
        <v>1771</v>
      </c>
      <c r="F4" s="3751"/>
      <c r="G4" s="3748" t="s">
        <v>1772</v>
      </c>
      <c r="H4" s="3749"/>
      <c r="I4" s="3748" t="s">
        <v>1773</v>
      </c>
      <c r="J4" s="3749"/>
      <c r="K4" s="558" t="s">
        <v>1774</v>
      </c>
      <c r="L4" s="2712"/>
      <c r="M4" s="2713"/>
      <c r="N4" s="2713"/>
      <c r="O4" s="2713"/>
      <c r="P4" s="3782" t="s">
        <v>1775</v>
      </c>
      <c r="Q4" s="3783"/>
      <c r="R4" s="3786" t="s">
        <v>1771</v>
      </c>
      <c r="S4" s="3787"/>
      <c r="T4" s="3786" t="s">
        <v>1772</v>
      </c>
      <c r="U4" s="3787"/>
      <c r="V4" s="3788" t="s">
        <v>1773</v>
      </c>
      <c r="W4" s="3788"/>
      <c r="X4" s="1956"/>
      <c r="Y4" s="3786" t="s">
        <v>1775</v>
      </c>
      <c r="Z4" s="3787"/>
      <c r="AA4" s="3790" t="s">
        <v>1771</v>
      </c>
      <c r="AB4" s="3790" t="s">
        <v>1772</v>
      </c>
      <c r="AC4" s="3779" t="s">
        <v>1773</v>
      </c>
    </row>
    <row r="5" spans="1:29" ht="15">
      <c r="A5" s="357"/>
      <c r="B5" s="358"/>
      <c r="C5" s="3767" t="s">
        <v>1673</v>
      </c>
      <c r="D5" s="3768"/>
      <c r="E5" s="3774" t="s">
        <v>1674</v>
      </c>
      <c r="F5" s="3775"/>
      <c r="G5" s="3767" t="s">
        <v>1675</v>
      </c>
      <c r="H5" s="3768"/>
      <c r="I5" s="3767" t="s">
        <v>1676</v>
      </c>
      <c r="J5" s="3768"/>
      <c r="K5" s="558"/>
      <c r="L5" s="2712"/>
      <c r="M5" s="2713"/>
      <c r="N5" s="2713"/>
      <c r="O5" s="2713"/>
      <c r="P5" s="3784"/>
      <c r="Q5" s="3755"/>
      <c r="R5" s="3760"/>
      <c r="S5" s="3761"/>
      <c r="T5" s="3760"/>
      <c r="U5" s="3761"/>
      <c r="V5" s="3764"/>
      <c r="W5" s="3764"/>
      <c r="X5" s="1353"/>
      <c r="Y5" s="3760"/>
      <c r="Z5" s="3761"/>
      <c r="AA5" s="3746"/>
      <c r="AB5" s="3746"/>
      <c r="AC5" s="3780"/>
    </row>
    <row r="6" spans="1:29" ht="15.75" thickBot="1">
      <c r="A6" s="359"/>
      <c r="B6" s="360"/>
      <c r="C6" s="3765" t="s">
        <v>1677</v>
      </c>
      <c r="D6" s="3766"/>
      <c r="E6" s="3772" t="s">
        <v>1677</v>
      </c>
      <c r="F6" s="3773"/>
      <c r="G6" s="3765" t="s">
        <v>1677</v>
      </c>
      <c r="H6" s="3766"/>
      <c r="I6" s="3765" t="s">
        <v>1677</v>
      </c>
      <c r="J6" s="3766"/>
      <c r="K6" s="558" t="s">
        <v>1678</v>
      </c>
      <c r="L6" s="2712"/>
      <c r="M6" s="2713"/>
      <c r="N6" s="2713"/>
      <c r="O6" s="2713"/>
      <c r="P6" s="3785"/>
      <c r="Q6" s="3757"/>
      <c r="R6" s="3760"/>
      <c r="S6" s="3761"/>
      <c r="T6" s="3762"/>
      <c r="U6" s="3763"/>
      <c r="V6" s="3764"/>
      <c r="W6" s="3764"/>
      <c r="X6" s="1353"/>
      <c r="Y6" s="3762"/>
      <c r="Z6" s="3763"/>
      <c r="AA6" s="3747"/>
      <c r="AB6" s="3747"/>
      <c r="AC6" s="3781"/>
    </row>
    <row r="7" spans="1:29" s="107" customFormat="1" ht="15.75" thickBot="1">
      <c r="A7" s="361" t="s">
        <v>1679</v>
      </c>
      <c r="B7" s="362"/>
      <c r="C7" s="363">
        <f>'数据-取费表'!B2</f>
        <v>45565</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89" t="s">
        <v>1680</v>
      </c>
      <c r="Q7" s="3771"/>
      <c r="R7" s="700" t="s">
        <v>14</v>
      </c>
      <c r="S7" s="701">
        <f t="shared" ref="S7:S15" si="0">F7</f>
        <v>0</v>
      </c>
      <c r="T7" s="700" t="s">
        <v>14</v>
      </c>
      <c r="U7" s="701">
        <f t="shared" ref="U7:U15" si="1">H7</f>
        <v>0</v>
      </c>
      <c r="V7" s="700" t="s">
        <v>14</v>
      </c>
      <c r="W7" s="701">
        <f t="shared" ref="W7:W15" si="2">J7</f>
        <v>0</v>
      </c>
      <c r="X7" s="702"/>
      <c r="Y7" s="3769" t="s">
        <v>1680</v>
      </c>
      <c r="Z7" s="3770"/>
      <c r="AA7" s="703" t="e">
        <f>D7/F7</f>
        <v>#DIV/0!</v>
      </c>
      <c r="AB7" s="703"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89" t="s">
        <v>1683</v>
      </c>
      <c r="Q8" s="3770"/>
      <c r="R8" s="700" t="s">
        <v>14</v>
      </c>
      <c r="S8" s="701">
        <f t="shared" si="0"/>
        <v>100</v>
      </c>
      <c r="T8" s="700" t="s">
        <v>14</v>
      </c>
      <c r="U8" s="701">
        <f t="shared" si="1"/>
        <v>100</v>
      </c>
      <c r="V8" s="700" t="s">
        <v>14</v>
      </c>
      <c r="W8" s="701">
        <f t="shared" si="2"/>
        <v>100</v>
      </c>
      <c r="X8" s="702"/>
      <c r="Y8" s="3769" t="s">
        <v>1683</v>
      </c>
      <c r="Z8" s="3770"/>
      <c r="AA8" s="703">
        <f t="shared" ref="AA8:AA47" si="3">D8/F8</f>
        <v>1</v>
      </c>
      <c r="AB8" s="703">
        <f t="shared" ref="AB8:AB47" si="4">D8/H8</f>
        <v>1</v>
      </c>
      <c r="AC8" s="1957">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44" t="s">
        <v>1686</v>
      </c>
      <c r="Q9" s="1341" t="str">
        <f t="shared" ref="Q9:Q15" si="6">B9</f>
        <v>用途</v>
      </c>
      <c r="R9" s="700" t="s">
        <v>14</v>
      </c>
      <c r="S9" s="701">
        <f t="shared" si="0"/>
        <v>100</v>
      </c>
      <c r="T9" s="700" t="s">
        <v>14</v>
      </c>
      <c r="U9" s="701">
        <f t="shared" si="1"/>
        <v>100</v>
      </c>
      <c r="V9" s="700" t="s">
        <v>14</v>
      </c>
      <c r="W9" s="701">
        <f t="shared" si="2"/>
        <v>100</v>
      </c>
      <c r="X9" s="702"/>
      <c r="Y9" s="3589" t="s">
        <v>1687</v>
      </c>
      <c r="Z9" s="51" t="str">
        <f t="shared" ref="Z9:Z15" si="7">Q9</f>
        <v>用途</v>
      </c>
      <c r="AA9" s="703">
        <f t="shared" si="3"/>
        <v>1</v>
      </c>
      <c r="AB9" s="703">
        <f t="shared" si="4"/>
        <v>1</v>
      </c>
      <c r="AC9" s="1957">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6"/>
      <c r="M10" s="2717"/>
      <c r="N10" s="2717"/>
      <c r="O10" s="2717"/>
      <c r="P10" s="3744"/>
      <c r="Q10" s="1341" t="str">
        <f t="shared" si="6"/>
        <v>土地使用年限（年）</v>
      </c>
      <c r="R10" s="700" t="s">
        <v>14</v>
      </c>
      <c r="S10" s="701">
        <f t="shared" si="0"/>
        <v>100</v>
      </c>
      <c r="T10" s="700" t="s">
        <v>14</v>
      </c>
      <c r="U10" s="701">
        <f t="shared" si="1"/>
        <v>100</v>
      </c>
      <c r="V10" s="700" t="s">
        <v>14</v>
      </c>
      <c r="W10" s="701">
        <f t="shared" si="2"/>
        <v>100</v>
      </c>
      <c r="X10" s="702"/>
      <c r="Y10" s="3589"/>
      <c r="Z10" s="51" t="str">
        <f t="shared" si="7"/>
        <v>土地使用年限（年）</v>
      </c>
      <c r="AA10" s="703">
        <f t="shared" si="3"/>
        <v>1</v>
      </c>
      <c r="AB10" s="703">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44"/>
      <c r="Q11" s="1341" t="str">
        <f t="shared" si="6"/>
        <v>容积率</v>
      </c>
      <c r="R11" s="700" t="s">
        <v>14</v>
      </c>
      <c r="S11" s="701">
        <f t="shared" si="0"/>
        <v>100</v>
      </c>
      <c r="T11" s="700" t="s">
        <v>14</v>
      </c>
      <c r="U11" s="701">
        <f t="shared" si="1"/>
        <v>100</v>
      </c>
      <c r="V11" s="700" t="s">
        <v>14</v>
      </c>
      <c r="W11" s="701">
        <f t="shared" si="2"/>
        <v>100</v>
      </c>
      <c r="X11" s="702"/>
      <c r="Y11" s="3589"/>
      <c r="Z11" s="51" t="str">
        <f t="shared" si="7"/>
        <v>容积率</v>
      </c>
      <c r="AA11" s="703">
        <f t="shared" si="3"/>
        <v>1</v>
      </c>
      <c r="AB11" s="703">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4"/>
      <c r="M12" s="2715"/>
      <c r="N12" s="2715"/>
      <c r="O12" s="2715"/>
      <c r="P12" s="3744"/>
      <c r="Q12" s="1341">
        <f t="shared" si="6"/>
        <v>111</v>
      </c>
      <c r="R12" s="700" t="s">
        <v>14</v>
      </c>
      <c r="S12" s="701">
        <f t="shared" si="0"/>
        <v>100</v>
      </c>
      <c r="T12" s="700" t="s">
        <v>14</v>
      </c>
      <c r="U12" s="701">
        <f t="shared" si="1"/>
        <v>100</v>
      </c>
      <c r="V12" s="700" t="s">
        <v>14</v>
      </c>
      <c r="W12" s="701">
        <f t="shared" si="2"/>
        <v>100</v>
      </c>
      <c r="X12" s="702"/>
      <c r="Y12" s="3589"/>
      <c r="Z12" s="51">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9"/>
      <c r="M13" s="2713"/>
      <c r="N13" s="2713"/>
      <c r="O13" s="2713"/>
      <c r="P13" s="3744"/>
      <c r="Q13" s="1341">
        <f t="shared" si="6"/>
        <v>111</v>
      </c>
      <c r="R13" s="700" t="s">
        <v>14</v>
      </c>
      <c r="S13" s="701">
        <f t="shared" si="0"/>
        <v>100</v>
      </c>
      <c r="T13" s="700" t="s">
        <v>14</v>
      </c>
      <c r="U13" s="701">
        <f t="shared" si="1"/>
        <v>100</v>
      </c>
      <c r="V13" s="700" t="s">
        <v>14</v>
      </c>
      <c r="W13" s="701">
        <f t="shared" si="2"/>
        <v>100</v>
      </c>
      <c r="X13" s="702"/>
      <c r="Y13" s="3589"/>
      <c r="Z13" s="51">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44"/>
      <c r="Q14" s="1341">
        <f t="shared" si="6"/>
        <v>111</v>
      </c>
      <c r="R14" s="700" t="s">
        <v>14</v>
      </c>
      <c r="S14" s="701">
        <f t="shared" si="0"/>
        <v>100</v>
      </c>
      <c r="T14" s="700" t="s">
        <v>14</v>
      </c>
      <c r="U14" s="701">
        <f t="shared" si="1"/>
        <v>100</v>
      </c>
      <c r="V14" s="700" t="s">
        <v>14</v>
      </c>
      <c r="W14" s="701">
        <f t="shared" si="2"/>
        <v>100</v>
      </c>
      <c r="X14" s="702"/>
      <c r="Y14" s="3589"/>
      <c r="Z14" s="51">
        <f t="shared" si="7"/>
        <v>111</v>
      </c>
      <c r="AA14" s="703">
        <f t="shared" si="3"/>
        <v>1</v>
      </c>
      <c r="AB14" s="703">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42" t="s">
        <v>1691</v>
      </c>
      <c r="Q15" s="1350" t="str">
        <f t="shared" si="6"/>
        <v>办公集聚程度</v>
      </c>
      <c r="R15" s="704" t="s">
        <v>14</v>
      </c>
      <c r="S15" s="705">
        <f t="shared" si="0"/>
        <v>100</v>
      </c>
      <c r="T15" s="704" t="s">
        <v>14</v>
      </c>
      <c r="U15" s="705">
        <f t="shared" si="1"/>
        <v>100</v>
      </c>
      <c r="V15" s="704" t="s">
        <v>14</v>
      </c>
      <c r="W15" s="705">
        <f t="shared" si="2"/>
        <v>100</v>
      </c>
      <c r="X15" s="1353"/>
      <c r="Y15" s="3735"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43"/>
      <c r="Q16" s="1350"/>
      <c r="R16" s="704"/>
      <c r="S16" s="705"/>
      <c r="T16" s="704"/>
      <c r="U16" s="705"/>
      <c r="V16" s="704"/>
      <c r="W16" s="705"/>
      <c r="X16" s="1353"/>
      <c r="Y16" s="373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43"/>
      <c r="Q17" s="1350" t="str">
        <f>B17</f>
        <v>交通便捷度</v>
      </c>
      <c r="R17" s="704" t="s">
        <v>14</v>
      </c>
      <c r="S17" s="705">
        <f>F17</f>
        <v>100</v>
      </c>
      <c r="T17" s="704" t="s">
        <v>14</v>
      </c>
      <c r="U17" s="705">
        <f>H17</f>
        <v>100</v>
      </c>
      <c r="V17" s="704" t="s">
        <v>14</v>
      </c>
      <c r="W17" s="705">
        <f>J17</f>
        <v>100</v>
      </c>
      <c r="X17" s="1353"/>
      <c r="Y17" s="3736"/>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43"/>
      <c r="Q18" s="1350"/>
      <c r="R18" s="704"/>
      <c r="S18" s="705"/>
      <c r="T18" s="704"/>
      <c r="U18" s="705"/>
      <c r="V18" s="704"/>
      <c r="W18" s="705"/>
      <c r="X18" s="1353"/>
      <c r="Y18" s="373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43"/>
      <c r="Q19" s="1350" t="str">
        <f>B19</f>
        <v>公共配套设施</v>
      </c>
      <c r="R19" s="704" t="s">
        <v>14</v>
      </c>
      <c r="S19" s="705">
        <f>F19</f>
        <v>100</v>
      </c>
      <c r="T19" s="704" t="s">
        <v>14</v>
      </c>
      <c r="U19" s="705">
        <f>H19</f>
        <v>100</v>
      </c>
      <c r="V19" s="704" t="s">
        <v>14</v>
      </c>
      <c r="W19" s="705">
        <f>J19</f>
        <v>100</v>
      </c>
      <c r="X19" s="1353"/>
      <c r="Y19" s="3736"/>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43"/>
      <c r="Q20" s="1350"/>
      <c r="R20" s="704"/>
      <c r="S20" s="705"/>
      <c r="T20" s="704"/>
      <c r="U20" s="705"/>
      <c r="V20" s="704"/>
      <c r="W20" s="705"/>
      <c r="X20" s="1353"/>
      <c r="Y20" s="373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43"/>
      <c r="Q21" s="1350" t="str">
        <f>B21</f>
        <v>基础设施水平</v>
      </c>
      <c r="R21" s="704" t="s">
        <v>14</v>
      </c>
      <c r="S21" s="705">
        <f>F21</f>
        <v>100</v>
      </c>
      <c r="T21" s="704" t="s">
        <v>14</v>
      </c>
      <c r="U21" s="705">
        <f>H21</f>
        <v>100</v>
      </c>
      <c r="V21" s="704" t="s">
        <v>14</v>
      </c>
      <c r="W21" s="705">
        <f>J21</f>
        <v>100</v>
      </c>
      <c r="X21" s="1353"/>
      <c r="Y21" s="3736"/>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9"/>
      <c r="M22" s="2713"/>
      <c r="N22" s="2713"/>
      <c r="O22" s="2713"/>
      <c r="P22" s="3743"/>
      <c r="Q22" s="1350"/>
      <c r="R22" s="704"/>
      <c r="S22" s="705"/>
      <c r="T22" s="704"/>
      <c r="U22" s="705"/>
      <c r="V22" s="704"/>
      <c r="W22" s="705"/>
      <c r="X22" s="1353"/>
      <c r="Y22" s="373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43"/>
      <c r="Q23" s="1350" t="str">
        <f>B23</f>
        <v>环境质量</v>
      </c>
      <c r="R23" s="704" t="s">
        <v>14</v>
      </c>
      <c r="S23" s="705">
        <f>F23</f>
        <v>100</v>
      </c>
      <c r="T23" s="704" t="s">
        <v>14</v>
      </c>
      <c r="U23" s="705">
        <f>H23</f>
        <v>100</v>
      </c>
      <c r="V23" s="704" t="s">
        <v>14</v>
      </c>
      <c r="W23" s="705">
        <f>J23</f>
        <v>100</v>
      </c>
      <c r="X23" s="1353"/>
      <c r="Y23" s="3736"/>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43"/>
      <c r="Q24" s="1350"/>
      <c r="R24" s="704"/>
      <c r="S24" s="705"/>
      <c r="T24" s="704"/>
      <c r="U24" s="705"/>
      <c r="V24" s="704"/>
      <c r="W24" s="705"/>
      <c r="X24" s="1353"/>
      <c r="Y24" s="373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43"/>
      <c r="Q25" s="1350" t="str">
        <f>B25</f>
        <v>毗邻道路的类型与等级</v>
      </c>
      <c r="R25" s="704" t="s">
        <v>14</v>
      </c>
      <c r="S25" s="705">
        <f>F25</f>
        <v>100</v>
      </c>
      <c r="T25" s="704" t="s">
        <v>14</v>
      </c>
      <c r="U25" s="705">
        <f>H25</f>
        <v>100</v>
      </c>
      <c r="V25" s="704" t="s">
        <v>14</v>
      </c>
      <c r="W25" s="705">
        <f>J25</f>
        <v>100</v>
      </c>
      <c r="X25" s="1353"/>
      <c r="Y25" s="373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43"/>
      <c r="Q26" s="1350"/>
      <c r="R26" s="704"/>
      <c r="S26" s="705"/>
      <c r="T26" s="704"/>
      <c r="U26" s="705"/>
      <c r="V26" s="704"/>
      <c r="W26" s="705"/>
      <c r="X26" s="1353"/>
      <c r="Y26" s="3736"/>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43"/>
      <c r="Q27" s="1350" t="str">
        <f t="shared" ref="Q27:Q47" si="11">B27</f>
        <v>楼层</v>
      </c>
      <c r="R27" s="704" t="s">
        <v>14</v>
      </c>
      <c r="S27" s="705">
        <f>F27</f>
        <v>100</v>
      </c>
      <c r="T27" s="704" t="s">
        <v>14</v>
      </c>
      <c r="U27" s="705">
        <f>H27</f>
        <v>100</v>
      </c>
      <c r="V27" s="704" t="s">
        <v>14</v>
      </c>
      <c r="W27" s="705">
        <f>J27</f>
        <v>100</v>
      </c>
      <c r="X27" s="1353"/>
      <c r="Y27" s="3736"/>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43"/>
      <c r="Q28" s="1341" t="str">
        <f t="shared" si="11"/>
        <v>朝向</v>
      </c>
      <c r="R28" s="700" t="s">
        <v>14</v>
      </c>
      <c r="S28" s="701">
        <f>F28</f>
        <v>100</v>
      </c>
      <c r="T28" s="700" t="s">
        <v>14</v>
      </c>
      <c r="U28" s="701">
        <f>H28</f>
        <v>100</v>
      </c>
      <c r="V28" s="700" t="s">
        <v>14</v>
      </c>
      <c r="W28" s="701">
        <f>J28</f>
        <v>100</v>
      </c>
      <c r="X28" s="702"/>
      <c r="Y28" s="3736"/>
      <c r="Z28" s="51"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43"/>
      <c r="Q29" s="1350">
        <f t="shared" si="11"/>
        <v>111</v>
      </c>
      <c r="R29" s="704" t="s">
        <v>14</v>
      </c>
      <c r="S29" s="705">
        <f t="shared" ref="S29:S47" si="12">F29</f>
        <v>100</v>
      </c>
      <c r="T29" s="704" t="s">
        <v>14</v>
      </c>
      <c r="U29" s="705">
        <f t="shared" ref="U29:U47" si="13">H29</f>
        <v>100</v>
      </c>
      <c r="V29" s="704" t="s">
        <v>14</v>
      </c>
      <c r="W29" s="705">
        <f t="shared" ref="W29:W47" si="14">J29</f>
        <v>100</v>
      </c>
      <c r="X29" s="1353"/>
      <c r="Y29" s="373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43"/>
      <c r="Q30" s="1350">
        <f t="shared" si="11"/>
        <v>111</v>
      </c>
      <c r="R30" s="704" t="s">
        <v>14</v>
      </c>
      <c r="S30" s="705">
        <f t="shared" si="12"/>
        <v>100</v>
      </c>
      <c r="T30" s="704" t="s">
        <v>14</v>
      </c>
      <c r="U30" s="705">
        <f t="shared" si="13"/>
        <v>100</v>
      </c>
      <c r="V30" s="704" t="s">
        <v>14</v>
      </c>
      <c r="W30" s="705">
        <f t="shared" si="14"/>
        <v>100</v>
      </c>
      <c r="X30" s="1353"/>
      <c r="Y30" s="373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43"/>
      <c r="Q31" s="1350">
        <f t="shared" si="11"/>
        <v>111</v>
      </c>
      <c r="R31" s="704" t="s">
        <v>14</v>
      </c>
      <c r="S31" s="705">
        <f t="shared" si="12"/>
        <v>100</v>
      </c>
      <c r="T31" s="704" t="s">
        <v>14</v>
      </c>
      <c r="U31" s="705">
        <f t="shared" si="13"/>
        <v>100</v>
      </c>
      <c r="V31" s="704" t="s">
        <v>14</v>
      </c>
      <c r="W31" s="705">
        <f t="shared" si="14"/>
        <v>100</v>
      </c>
      <c r="X31" s="1353"/>
      <c r="Y31" s="373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43"/>
      <c r="Q32" s="1350">
        <f t="shared" si="11"/>
        <v>111</v>
      </c>
      <c r="R32" s="704" t="s">
        <v>14</v>
      </c>
      <c r="S32" s="705">
        <f t="shared" si="12"/>
        <v>100</v>
      </c>
      <c r="T32" s="704" t="s">
        <v>14</v>
      </c>
      <c r="U32" s="705">
        <f t="shared" si="13"/>
        <v>100</v>
      </c>
      <c r="V32" s="704" t="s">
        <v>14</v>
      </c>
      <c r="W32" s="705">
        <f t="shared" si="14"/>
        <v>100</v>
      </c>
      <c r="X32" s="1353"/>
      <c r="Y32" s="3736"/>
      <c r="Z32" s="1354">
        <f t="shared" si="15"/>
        <v>111</v>
      </c>
      <c r="AA32" s="1351">
        <f t="shared" si="3"/>
        <v>1</v>
      </c>
      <c r="AB32" s="1351">
        <f t="shared" si="4"/>
        <v>1</v>
      </c>
      <c r="AC32" s="1960">
        <f t="shared" si="5"/>
        <v>1</v>
      </c>
    </row>
    <row r="33" spans="1:29" ht="15">
      <c r="A33" s="390" t="s">
        <v>1694</v>
      </c>
      <c r="B33" s="62"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37" t="s">
        <v>1696</v>
      </c>
      <c r="Q33" s="1350" t="str">
        <f t="shared" si="11"/>
        <v>建筑类型</v>
      </c>
      <c r="R33" s="704" t="s">
        <v>14</v>
      </c>
      <c r="S33" s="705">
        <f t="shared" si="12"/>
        <v>100</v>
      </c>
      <c r="T33" s="704" t="s">
        <v>14</v>
      </c>
      <c r="U33" s="705">
        <f t="shared" si="13"/>
        <v>100</v>
      </c>
      <c r="V33" s="704" t="s">
        <v>14</v>
      </c>
      <c r="W33" s="705">
        <f t="shared" si="14"/>
        <v>100</v>
      </c>
      <c r="X33" s="1353"/>
      <c r="Y33" s="3740"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38"/>
      <c r="Q34" s="706" t="str">
        <f t="shared" si="11"/>
        <v>项目建筑规模</v>
      </c>
      <c r="R34" s="707" t="s">
        <v>14</v>
      </c>
      <c r="S34" s="708" t="e">
        <f t="shared" si="12"/>
        <v>#N/A</v>
      </c>
      <c r="T34" s="707" t="s">
        <v>14</v>
      </c>
      <c r="U34" s="708" t="e">
        <f t="shared" si="13"/>
        <v>#N/A</v>
      </c>
      <c r="V34" s="707" t="s">
        <v>14</v>
      </c>
      <c r="W34" s="708" t="e">
        <f t="shared" si="14"/>
        <v>#N/A</v>
      </c>
      <c r="X34" s="709"/>
      <c r="Y34" s="3740"/>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38"/>
      <c r="Q35" s="1350" t="str">
        <f t="shared" si="11"/>
        <v>建筑结构</v>
      </c>
      <c r="R35" s="704" t="s">
        <v>14</v>
      </c>
      <c r="S35" s="705">
        <f t="shared" si="12"/>
        <v>100</v>
      </c>
      <c r="T35" s="704" t="s">
        <v>14</v>
      </c>
      <c r="U35" s="705">
        <f t="shared" si="13"/>
        <v>100</v>
      </c>
      <c r="V35" s="704" t="s">
        <v>14</v>
      </c>
      <c r="W35" s="705">
        <f t="shared" si="14"/>
        <v>100</v>
      </c>
      <c r="X35" s="1353"/>
      <c r="Y35" s="3740"/>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38"/>
      <c r="Q36" s="1350" t="str">
        <f t="shared" si="11"/>
        <v>公共部分装修</v>
      </c>
      <c r="R36" s="704" t="s">
        <v>14</v>
      </c>
      <c r="S36" s="705">
        <f t="shared" si="12"/>
        <v>100</v>
      </c>
      <c r="T36" s="704" t="s">
        <v>14</v>
      </c>
      <c r="U36" s="705">
        <f t="shared" si="13"/>
        <v>100</v>
      </c>
      <c r="V36" s="704" t="s">
        <v>14</v>
      </c>
      <c r="W36" s="705">
        <f t="shared" si="14"/>
        <v>100</v>
      </c>
      <c r="X36" s="1353"/>
      <c r="Y36" s="3740"/>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38"/>
      <c r="Q37" s="1350" t="str">
        <f t="shared" si="11"/>
        <v>成新度</v>
      </c>
      <c r="R37" s="704" t="s">
        <v>14</v>
      </c>
      <c r="S37" s="705" t="e">
        <f t="shared" si="12"/>
        <v>#N/A</v>
      </c>
      <c r="T37" s="704" t="s">
        <v>14</v>
      </c>
      <c r="U37" s="705" t="e">
        <f t="shared" si="13"/>
        <v>#N/A</v>
      </c>
      <c r="V37" s="704" t="s">
        <v>14</v>
      </c>
      <c r="W37" s="705" t="e">
        <f t="shared" si="14"/>
        <v>#N/A</v>
      </c>
      <c r="X37" s="1353"/>
      <c r="Y37" s="3740"/>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38"/>
      <c r="Q38" s="1341" t="str">
        <f t="shared" si="11"/>
        <v>写字楼等级</v>
      </c>
      <c r="R38" s="700" t="s">
        <v>14</v>
      </c>
      <c r="S38" s="701">
        <f t="shared" si="12"/>
        <v>100</v>
      </c>
      <c r="T38" s="700" t="s">
        <v>14</v>
      </c>
      <c r="U38" s="701">
        <f t="shared" si="13"/>
        <v>100</v>
      </c>
      <c r="V38" s="700" t="s">
        <v>14</v>
      </c>
      <c r="W38" s="701">
        <f t="shared" si="14"/>
        <v>100</v>
      </c>
      <c r="X38" s="702"/>
      <c r="Y38" s="3740"/>
      <c r="Z38" s="51"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38" t="s">
        <v>1696</v>
      </c>
      <c r="Q39" s="1350" t="str">
        <f t="shared" si="11"/>
        <v>物业管理</v>
      </c>
      <c r="R39" s="704" t="s">
        <v>14</v>
      </c>
      <c r="S39" s="705">
        <f t="shared" si="12"/>
        <v>100</v>
      </c>
      <c r="T39" s="704" t="s">
        <v>14</v>
      </c>
      <c r="U39" s="705">
        <f t="shared" si="13"/>
        <v>100</v>
      </c>
      <c r="V39" s="704" t="s">
        <v>14</v>
      </c>
      <c r="W39" s="705">
        <f t="shared" si="14"/>
        <v>100</v>
      </c>
      <c r="X39" s="1353"/>
      <c r="Y39" s="3740"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38"/>
      <c r="Q40" s="1350" t="str">
        <f t="shared" si="11"/>
        <v>市政基础设施</v>
      </c>
      <c r="R40" s="704" t="s">
        <v>14</v>
      </c>
      <c r="S40" s="705">
        <f t="shared" si="12"/>
        <v>100</v>
      </c>
      <c r="T40" s="704" t="s">
        <v>14</v>
      </c>
      <c r="U40" s="705">
        <f t="shared" si="13"/>
        <v>100</v>
      </c>
      <c r="V40" s="704" t="s">
        <v>14</v>
      </c>
      <c r="W40" s="705">
        <f t="shared" si="14"/>
        <v>100</v>
      </c>
      <c r="X40" s="1353"/>
      <c r="Y40" s="3740"/>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38"/>
      <c r="Q41" s="1350" t="str">
        <f t="shared" si="11"/>
        <v>层高</v>
      </c>
      <c r="R41" s="704" t="s">
        <v>14</v>
      </c>
      <c r="S41" s="705">
        <f t="shared" si="12"/>
        <v>100</v>
      </c>
      <c r="T41" s="704" t="s">
        <v>14</v>
      </c>
      <c r="U41" s="705">
        <f t="shared" si="13"/>
        <v>100</v>
      </c>
      <c r="V41" s="704" t="s">
        <v>14</v>
      </c>
      <c r="W41" s="705">
        <f t="shared" si="14"/>
        <v>100</v>
      </c>
      <c r="X41" s="1353"/>
      <c r="Y41" s="3740"/>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38"/>
      <c r="Q42" s="706" t="str">
        <f t="shared" si="11"/>
        <v>单套建筑面积</v>
      </c>
      <c r="R42" s="707" t="s">
        <v>14</v>
      </c>
      <c r="S42" s="708">
        <f t="shared" si="12"/>
        <v>100</v>
      </c>
      <c r="T42" s="707" t="s">
        <v>14</v>
      </c>
      <c r="U42" s="708">
        <f t="shared" si="13"/>
        <v>100</v>
      </c>
      <c r="V42" s="707" t="s">
        <v>14</v>
      </c>
      <c r="W42" s="708">
        <f t="shared" si="14"/>
        <v>100</v>
      </c>
      <c r="X42" s="709"/>
      <c r="Y42" s="3740"/>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38"/>
      <c r="Q43" s="1350" t="str">
        <f t="shared" si="11"/>
        <v>内部装修</v>
      </c>
      <c r="R43" s="704" t="s">
        <v>14</v>
      </c>
      <c r="S43" s="705">
        <f t="shared" si="12"/>
        <v>100</v>
      </c>
      <c r="T43" s="704" t="s">
        <v>14</v>
      </c>
      <c r="U43" s="705">
        <f t="shared" si="13"/>
        <v>100</v>
      </c>
      <c r="V43" s="704" t="s">
        <v>14</v>
      </c>
      <c r="W43" s="705">
        <f t="shared" si="14"/>
        <v>100</v>
      </c>
      <c r="X43" s="1353"/>
      <c r="Y43" s="3740"/>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38"/>
      <c r="Q44" s="1350" t="str">
        <f t="shared" si="11"/>
        <v>内部装修维护情况</v>
      </c>
      <c r="R44" s="704" t="s">
        <v>14</v>
      </c>
      <c r="S44" s="705">
        <f t="shared" si="12"/>
        <v>100</v>
      </c>
      <c r="T44" s="704" t="s">
        <v>14</v>
      </c>
      <c r="U44" s="705">
        <f t="shared" si="13"/>
        <v>100</v>
      </c>
      <c r="V44" s="704" t="s">
        <v>14</v>
      </c>
      <c r="W44" s="705">
        <f t="shared" si="14"/>
        <v>100</v>
      </c>
      <c r="X44" s="1353"/>
      <c r="Y44" s="3740"/>
      <c r="Z44" s="1354" t="str">
        <f t="shared" si="15"/>
        <v>内部装修维护情况</v>
      </c>
      <c r="AA44" s="1351">
        <f t="shared" si="3"/>
        <v>1</v>
      </c>
      <c r="AB44" s="1351">
        <f t="shared" si="4"/>
        <v>1</v>
      </c>
      <c r="AC44" s="1960">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38"/>
      <c r="Q45" s="1341">
        <f t="shared" si="11"/>
        <v>111</v>
      </c>
      <c r="R45" s="700" t="s">
        <v>14</v>
      </c>
      <c r="S45" s="701">
        <f t="shared" si="12"/>
        <v>100</v>
      </c>
      <c r="T45" s="700" t="s">
        <v>14</v>
      </c>
      <c r="U45" s="701">
        <f t="shared" si="13"/>
        <v>100</v>
      </c>
      <c r="V45" s="700" t="s">
        <v>14</v>
      </c>
      <c r="W45" s="701">
        <f t="shared" si="14"/>
        <v>100</v>
      </c>
      <c r="X45" s="702"/>
      <c r="Y45" s="3740"/>
      <c r="Z45" s="51">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38"/>
      <c r="Q46" s="1350">
        <f t="shared" si="11"/>
        <v>111</v>
      </c>
      <c r="R46" s="704" t="s">
        <v>14</v>
      </c>
      <c r="S46" s="705">
        <f t="shared" si="12"/>
        <v>100</v>
      </c>
      <c r="T46" s="704" t="s">
        <v>14</v>
      </c>
      <c r="U46" s="705">
        <f t="shared" si="13"/>
        <v>100</v>
      </c>
      <c r="V46" s="704" t="s">
        <v>14</v>
      </c>
      <c r="W46" s="705">
        <f t="shared" si="14"/>
        <v>100</v>
      </c>
      <c r="X46" s="1353"/>
      <c r="Y46" s="3740"/>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39"/>
      <c r="Q47" s="1350">
        <f t="shared" si="11"/>
        <v>111</v>
      </c>
      <c r="R47" s="704" t="s">
        <v>14</v>
      </c>
      <c r="S47" s="705">
        <f t="shared" si="12"/>
        <v>100</v>
      </c>
      <c r="T47" s="704" t="s">
        <v>14</v>
      </c>
      <c r="U47" s="705">
        <f t="shared" si="13"/>
        <v>100</v>
      </c>
      <c r="V47" s="704" t="s">
        <v>14</v>
      </c>
      <c r="W47" s="705">
        <f t="shared" si="14"/>
        <v>100</v>
      </c>
      <c r="X47" s="1353"/>
      <c r="Y47" s="3741"/>
      <c r="Z47" s="1354">
        <f t="shared" si="15"/>
        <v>111</v>
      </c>
      <c r="AA47" s="1351">
        <f t="shared" si="3"/>
        <v>1</v>
      </c>
      <c r="AB47" s="1351">
        <f t="shared" si="4"/>
        <v>1</v>
      </c>
      <c r="AC47" s="1960">
        <f t="shared" si="5"/>
        <v>1</v>
      </c>
    </row>
    <row r="48" spans="1:29" ht="15">
      <c r="A48" s="429" t="s">
        <v>1708</v>
      </c>
      <c r="B48" s="430"/>
      <c r="C48" s="1153" t="s">
        <v>0</v>
      </c>
      <c r="D48" s="1154"/>
      <c r="E48" s="1155"/>
      <c r="F48" s="1156"/>
      <c r="G48" s="1157"/>
      <c r="H48" s="1158"/>
      <c r="I48" s="1155"/>
      <c r="J48" s="435"/>
      <c r="K48" s="713"/>
      <c r="L48" s="2721"/>
      <c r="M48" s="2713"/>
      <c r="N48" s="2713"/>
      <c r="O48" s="2713"/>
      <c r="P48" s="3744" t="str">
        <f>A48</f>
        <v>成交单价（元/平方米）</v>
      </c>
      <c r="Q48" s="3733"/>
      <c r="R48" s="3734">
        <f>E48</f>
        <v>0</v>
      </c>
      <c r="S48" s="3734"/>
      <c r="T48" s="3734">
        <f>G48</f>
        <v>0</v>
      </c>
      <c r="U48" s="3734"/>
      <c r="V48" s="3734">
        <f>I48</f>
        <v>0</v>
      </c>
      <c r="W48" s="3734"/>
      <c r="X48" s="396"/>
      <c r="Y48" s="711"/>
      <c r="Z48" s="396"/>
      <c r="AA48" s="396"/>
      <c r="AB48" s="396"/>
      <c r="AC48" s="577"/>
    </row>
    <row r="49" spans="1:29" ht="15.75" thickBot="1">
      <c r="A49" s="436" t="s">
        <v>1793</v>
      </c>
      <c r="B49" s="437"/>
      <c r="C49" s="1159" t="e">
        <f>R50</f>
        <v>#DIV/0!</v>
      </c>
      <c r="D49" s="2315" t="s">
        <v>2137</v>
      </c>
      <c r="E49" s="1160" t="e">
        <f>R49</f>
        <v>#DIV/0!</v>
      </c>
      <c r="F49" s="2316"/>
      <c r="G49" s="1159" t="e">
        <f>T49</f>
        <v>#DIV/0!</v>
      </c>
      <c r="H49" s="2316"/>
      <c r="I49" s="1160" t="e">
        <f>V49</f>
        <v>#DIV/0!</v>
      </c>
      <c r="J49" s="2316"/>
      <c r="K49" s="2318">
        <f>F49+H49+J49</f>
        <v>0</v>
      </c>
      <c r="L49" s="2721"/>
      <c r="M49" s="2713"/>
      <c r="N49" s="2713"/>
      <c r="O49" s="2713"/>
      <c r="P49" s="3744"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1"/>
      <c r="M50" s="2713"/>
      <c r="N50" s="2713"/>
      <c r="O50" s="2713"/>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2" t="str">
        <f>YEAR(C7)&amp;"-"&amp;MONTH(C7)</f>
        <v>2024-9</v>
      </c>
      <c r="D59" s="1183">
        <f>EDATE(C59,-1)</f>
        <v>45505</v>
      </c>
      <c r="E59" s="1183">
        <f>EDATE(D59,-1)</f>
        <v>45474</v>
      </c>
      <c r="F59" s="1183">
        <f t="shared" ref="F59:O59" si="16">EDATE(E59,-1)</f>
        <v>45444</v>
      </c>
      <c r="G59" s="1183">
        <f t="shared" si="16"/>
        <v>45413</v>
      </c>
      <c r="H59" s="1183">
        <f t="shared" si="16"/>
        <v>45383</v>
      </c>
      <c r="I59" s="1183">
        <f t="shared" si="16"/>
        <v>45352</v>
      </c>
      <c r="J59" s="1183">
        <f t="shared" si="16"/>
        <v>45323</v>
      </c>
      <c r="K59" s="1183">
        <f t="shared" si="16"/>
        <v>45292</v>
      </c>
      <c r="L59" s="1183">
        <f t="shared" si="16"/>
        <v>45261</v>
      </c>
      <c r="M59" s="1183">
        <f t="shared" si="16"/>
        <v>45231</v>
      </c>
      <c r="N59" s="1183">
        <f t="shared" si="16"/>
        <v>45200</v>
      </c>
      <c r="O59" s="1183">
        <f t="shared" si="16"/>
        <v>45170</v>
      </c>
      <c r="P59" s="2756"/>
      <c r="Q59" s="2738"/>
      <c r="R59" s="2738"/>
      <c r="S59" s="2738"/>
      <c r="T59" s="2738"/>
      <c r="U59" s="2738"/>
      <c r="V59" s="2738"/>
      <c r="W59" s="2738"/>
      <c r="X59" s="2738"/>
      <c r="Y59" s="2738"/>
      <c r="Z59" s="2738"/>
      <c r="AA59" s="2738"/>
      <c r="AB59" s="2738"/>
      <c r="AC59" s="2738"/>
    </row>
    <row r="60" spans="1:29" s="107" customFormat="1" ht="15">
      <c r="A60" s="457"/>
      <c r="B60" s="458"/>
      <c r="C60" s="1181">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5"/>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6"/>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33618.589999999997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48" t="s">
        <v>1770</v>
      </c>
      <c r="D4" s="3749"/>
      <c r="E4" s="3750" t="s">
        <v>1771</v>
      </c>
      <c r="F4" s="3751"/>
      <c r="G4" s="3748" t="s">
        <v>1772</v>
      </c>
      <c r="H4" s="3749"/>
      <c r="I4" s="3748" t="s">
        <v>1773</v>
      </c>
      <c r="J4" s="3749"/>
      <c r="K4" s="558" t="s">
        <v>1774</v>
      </c>
      <c r="L4" s="912"/>
      <c r="M4" s="913"/>
      <c r="N4" s="913"/>
      <c r="O4" s="913"/>
      <c r="P4" s="3752" t="s">
        <v>1775</v>
      </c>
      <c r="Q4" s="3753"/>
      <c r="R4" s="3758" t="s">
        <v>1771</v>
      </c>
      <c r="S4" s="3759"/>
      <c r="T4" s="3758" t="s">
        <v>1772</v>
      </c>
      <c r="U4" s="3759"/>
      <c r="V4" s="3764" t="s">
        <v>1773</v>
      </c>
      <c r="W4" s="3764"/>
      <c r="X4" s="1353"/>
      <c r="Y4" s="3758" t="s">
        <v>1775</v>
      </c>
      <c r="Z4" s="3759"/>
      <c r="AA4" s="3745" t="s">
        <v>1771</v>
      </c>
      <c r="AB4" s="3746" t="s">
        <v>1772</v>
      </c>
      <c r="AC4" s="3745" t="s">
        <v>1773</v>
      </c>
    </row>
    <row r="5" spans="1:29" ht="15">
      <c r="A5" s="357"/>
      <c r="B5" s="358"/>
      <c r="C5" s="3767" t="s">
        <v>1673</v>
      </c>
      <c r="D5" s="3768"/>
      <c r="E5" s="3774" t="s">
        <v>1674</v>
      </c>
      <c r="F5" s="3775"/>
      <c r="G5" s="3767" t="s">
        <v>1675</v>
      </c>
      <c r="H5" s="3768"/>
      <c r="I5" s="3767" t="s">
        <v>1676</v>
      </c>
      <c r="J5" s="3768"/>
      <c r="K5" s="558"/>
      <c r="L5" s="912"/>
      <c r="M5" s="913"/>
      <c r="N5" s="913"/>
      <c r="O5" s="913"/>
      <c r="P5" s="3754"/>
      <c r="Q5" s="3755"/>
      <c r="R5" s="3760"/>
      <c r="S5" s="3761"/>
      <c r="T5" s="3760"/>
      <c r="U5" s="3761"/>
      <c r="V5" s="3764"/>
      <c r="W5" s="3764"/>
      <c r="X5" s="1353"/>
      <c r="Y5" s="3760"/>
      <c r="Z5" s="3761"/>
      <c r="AA5" s="3746"/>
      <c r="AB5" s="3746"/>
      <c r="AC5" s="3746"/>
    </row>
    <row r="6" spans="1:29" ht="15.75" thickBot="1">
      <c r="A6" s="359"/>
      <c r="B6" s="360"/>
      <c r="C6" s="3765" t="s">
        <v>1677</v>
      </c>
      <c r="D6" s="3766"/>
      <c r="E6" s="3772" t="s">
        <v>1677</v>
      </c>
      <c r="F6" s="3773"/>
      <c r="G6" s="3765" t="s">
        <v>1677</v>
      </c>
      <c r="H6" s="3766"/>
      <c r="I6" s="3765" t="s">
        <v>1677</v>
      </c>
      <c r="J6" s="3766"/>
      <c r="K6" s="558" t="s">
        <v>1678</v>
      </c>
      <c r="L6" s="912"/>
      <c r="M6" s="913"/>
      <c r="N6" s="913"/>
      <c r="O6" s="913"/>
      <c r="P6" s="3756"/>
      <c r="Q6" s="3757"/>
      <c r="R6" s="3760"/>
      <c r="S6" s="3761"/>
      <c r="T6" s="3762"/>
      <c r="U6" s="3763"/>
      <c r="V6" s="3764"/>
      <c r="W6" s="3764"/>
      <c r="X6" s="1353"/>
      <c r="Y6" s="3762"/>
      <c r="Z6" s="3763"/>
      <c r="AA6" s="3747"/>
      <c r="AB6" s="3747"/>
      <c r="AC6" s="3747"/>
    </row>
    <row r="7" spans="1:29" s="107" customFormat="1" ht="15.75" thickBot="1">
      <c r="A7" s="361" t="s">
        <v>1679</v>
      </c>
      <c r="B7" s="362"/>
      <c r="C7" s="363">
        <f>'数据-取费表'!B2</f>
        <v>45565</v>
      </c>
      <c r="D7" s="364">
        <v>100</v>
      </c>
      <c r="E7" s="365"/>
      <c r="F7" s="366">
        <f>SUMIF(52:52,YEAR(E7)&amp;"-"&amp;MONTH(E7),53:53)</f>
        <v>0</v>
      </c>
      <c r="G7" s="365"/>
      <c r="H7" s="364">
        <f>SUMIF(52:52,YEAR(G7)&amp;"-"&amp;MONTH(G7),53:53)</f>
        <v>0</v>
      </c>
      <c r="I7" s="365"/>
      <c r="J7" s="364">
        <f>SUMIF(52:52,YEAR(I7)&amp;"-"&amp;MONTH(I7),53:53)</f>
        <v>0</v>
      </c>
      <c r="K7" s="559"/>
      <c r="L7" s="914"/>
      <c r="M7" s="915"/>
      <c r="N7" s="915"/>
      <c r="O7" s="915"/>
      <c r="P7" s="3769" t="s">
        <v>1680</v>
      </c>
      <c r="Q7" s="3771"/>
      <c r="R7" s="700" t="s">
        <v>14</v>
      </c>
      <c r="S7" s="701">
        <f t="shared" ref="S7:S15" si="0">F7</f>
        <v>0</v>
      </c>
      <c r="T7" s="700" t="s">
        <v>14</v>
      </c>
      <c r="U7" s="701">
        <f t="shared" ref="U7:U15" si="1">H7</f>
        <v>0</v>
      </c>
      <c r="V7" s="700" t="s">
        <v>14</v>
      </c>
      <c r="W7" s="701">
        <f t="shared" ref="W7:W15" si="2">J7</f>
        <v>0</v>
      </c>
      <c r="X7" s="702"/>
      <c r="Y7" s="3769" t="s">
        <v>1680</v>
      </c>
      <c r="Z7" s="3770"/>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69" t="s">
        <v>1683</v>
      </c>
      <c r="Q8" s="3770"/>
      <c r="R8" s="700" t="s">
        <v>14</v>
      </c>
      <c r="S8" s="701">
        <f t="shared" si="0"/>
        <v>100</v>
      </c>
      <c r="T8" s="700" t="s">
        <v>14</v>
      </c>
      <c r="U8" s="701">
        <f t="shared" si="1"/>
        <v>100</v>
      </c>
      <c r="V8" s="700" t="s">
        <v>14</v>
      </c>
      <c r="W8" s="701">
        <f t="shared" si="2"/>
        <v>100</v>
      </c>
      <c r="X8" s="702"/>
      <c r="Y8" s="3769" t="s">
        <v>1683</v>
      </c>
      <c r="Z8" s="3770"/>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3" t="s">
        <v>1686</v>
      </c>
      <c r="Q9" s="1341" t="str">
        <f t="shared" ref="Q9:Q15" si="6">B9</f>
        <v>用途</v>
      </c>
      <c r="R9" s="700" t="s">
        <v>14</v>
      </c>
      <c r="S9" s="701">
        <f t="shared" si="0"/>
        <v>100</v>
      </c>
      <c r="T9" s="700" t="s">
        <v>14</v>
      </c>
      <c r="U9" s="701">
        <f t="shared" si="1"/>
        <v>100</v>
      </c>
      <c r="V9" s="700" t="s">
        <v>14</v>
      </c>
      <c r="W9" s="701">
        <f t="shared" si="2"/>
        <v>100</v>
      </c>
      <c r="X9" s="702"/>
      <c r="Y9" s="3589" t="s">
        <v>1687</v>
      </c>
      <c r="Z9" s="51" t="str">
        <f t="shared" ref="Z9:Z15" si="7">Q9</f>
        <v>用途</v>
      </c>
      <c r="AA9" s="703">
        <f t="shared" si="3"/>
        <v>1</v>
      </c>
      <c r="AB9" s="703">
        <f t="shared" si="4"/>
        <v>1</v>
      </c>
      <c r="AC9" s="703">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7"/>
      <c r="M10" s="918"/>
      <c r="N10" s="918"/>
      <c r="O10" s="919"/>
      <c r="P10" s="3733"/>
      <c r="Q10" s="1341" t="str">
        <f t="shared" si="6"/>
        <v>土地使用年限（年）</v>
      </c>
      <c r="R10" s="700" t="s">
        <v>14</v>
      </c>
      <c r="S10" s="701">
        <f t="shared" si="0"/>
        <v>100</v>
      </c>
      <c r="T10" s="700" t="s">
        <v>14</v>
      </c>
      <c r="U10" s="701">
        <f t="shared" si="1"/>
        <v>100</v>
      </c>
      <c r="V10" s="700" t="s">
        <v>14</v>
      </c>
      <c r="W10" s="701">
        <f t="shared" si="2"/>
        <v>100</v>
      </c>
      <c r="X10" s="702"/>
      <c r="Y10" s="3589"/>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3"/>
      <c r="Q11" s="1341" t="str">
        <f t="shared" si="6"/>
        <v>容积率</v>
      </c>
      <c r="R11" s="700" t="s">
        <v>14</v>
      </c>
      <c r="S11" s="701">
        <f t="shared" si="0"/>
        <v>100</v>
      </c>
      <c r="T11" s="700" t="s">
        <v>14</v>
      </c>
      <c r="U11" s="701">
        <f t="shared" si="1"/>
        <v>100</v>
      </c>
      <c r="V11" s="700" t="s">
        <v>14</v>
      </c>
      <c r="W11" s="701">
        <f t="shared" si="2"/>
        <v>100</v>
      </c>
      <c r="X11" s="702"/>
      <c r="Y11" s="3589"/>
      <c r="Z11" s="51" t="str">
        <f t="shared" si="7"/>
        <v>容积率</v>
      </c>
      <c r="AA11" s="703">
        <f t="shared" si="3"/>
        <v>1</v>
      </c>
      <c r="AB11" s="703">
        <f t="shared" si="4"/>
        <v>1</v>
      </c>
      <c r="AC11" s="703">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33"/>
      <c r="Q12" s="1341">
        <f t="shared" si="6"/>
        <v>111</v>
      </c>
      <c r="R12" s="700" t="s">
        <v>14</v>
      </c>
      <c r="S12" s="701">
        <f t="shared" si="0"/>
        <v>100</v>
      </c>
      <c r="T12" s="700" t="s">
        <v>14</v>
      </c>
      <c r="U12" s="701">
        <f t="shared" si="1"/>
        <v>100</v>
      </c>
      <c r="V12" s="700" t="s">
        <v>14</v>
      </c>
      <c r="W12" s="701">
        <f t="shared" si="2"/>
        <v>100</v>
      </c>
      <c r="X12" s="702"/>
      <c r="Y12" s="3589"/>
      <c r="Z12" s="51">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33"/>
      <c r="Q13" s="1341">
        <f t="shared" si="6"/>
        <v>111</v>
      </c>
      <c r="R13" s="700" t="s">
        <v>14</v>
      </c>
      <c r="S13" s="701">
        <f t="shared" si="0"/>
        <v>100</v>
      </c>
      <c r="T13" s="700" t="s">
        <v>14</v>
      </c>
      <c r="U13" s="701">
        <f t="shared" si="1"/>
        <v>100</v>
      </c>
      <c r="V13" s="700" t="s">
        <v>14</v>
      </c>
      <c r="W13" s="701">
        <f t="shared" si="2"/>
        <v>100</v>
      </c>
      <c r="X13" s="702"/>
      <c r="Y13" s="3589"/>
      <c r="Z13" s="51">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33"/>
      <c r="Q14" s="1341">
        <f t="shared" si="6"/>
        <v>111</v>
      </c>
      <c r="R14" s="700" t="s">
        <v>14</v>
      </c>
      <c r="S14" s="701">
        <f t="shared" si="0"/>
        <v>100</v>
      </c>
      <c r="T14" s="700" t="s">
        <v>14</v>
      </c>
      <c r="U14" s="701">
        <f t="shared" si="1"/>
        <v>100</v>
      </c>
      <c r="V14" s="700" t="s">
        <v>14</v>
      </c>
      <c r="W14" s="701">
        <f t="shared" si="2"/>
        <v>100</v>
      </c>
      <c r="X14" s="702"/>
      <c r="Y14" s="3589"/>
      <c r="Z14" s="51">
        <f t="shared" si="7"/>
        <v>111</v>
      </c>
      <c r="AA14" s="703">
        <f t="shared" si="3"/>
        <v>1</v>
      </c>
      <c r="AB14" s="703">
        <f t="shared" si="4"/>
        <v>1</v>
      </c>
      <c r="AC14" s="703">
        <f t="shared" si="5"/>
        <v>1</v>
      </c>
    </row>
    <row r="15" spans="1:29" ht="57">
      <c r="A15" s="390" t="s">
        <v>1690</v>
      </c>
      <c r="B15" s="60"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5" t="s">
        <v>1691</v>
      </c>
      <c r="Q15" s="1350" t="str">
        <f t="shared" si="6"/>
        <v>产业集聚程度</v>
      </c>
      <c r="R15" s="704" t="s">
        <v>14</v>
      </c>
      <c r="S15" s="705">
        <f t="shared" si="0"/>
        <v>100</v>
      </c>
      <c r="T15" s="704" t="s">
        <v>14</v>
      </c>
      <c r="U15" s="705">
        <f t="shared" si="1"/>
        <v>100</v>
      </c>
      <c r="V15" s="704" t="s">
        <v>14</v>
      </c>
      <c r="W15" s="705">
        <f t="shared" si="2"/>
        <v>100</v>
      </c>
      <c r="X15" s="1353"/>
      <c r="Y15" s="373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36"/>
      <c r="Q16" s="1350"/>
      <c r="R16" s="704"/>
      <c r="S16" s="705"/>
      <c r="T16" s="704"/>
      <c r="U16" s="705"/>
      <c r="V16" s="704"/>
      <c r="W16" s="705"/>
      <c r="X16" s="1353"/>
      <c r="Y16" s="373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6"/>
      <c r="Q17" s="1350" t="str">
        <f>B17</f>
        <v>交通便捷度</v>
      </c>
      <c r="R17" s="704" t="s">
        <v>14</v>
      </c>
      <c r="S17" s="705">
        <f>F17</f>
        <v>100</v>
      </c>
      <c r="T17" s="704" t="s">
        <v>14</v>
      </c>
      <c r="U17" s="705">
        <f>H17</f>
        <v>100</v>
      </c>
      <c r="V17" s="704" t="s">
        <v>14</v>
      </c>
      <c r="W17" s="705">
        <f>J17</f>
        <v>100</v>
      </c>
      <c r="X17" s="1353"/>
      <c r="Y17" s="373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36"/>
      <c r="Q18" s="1350"/>
      <c r="R18" s="704"/>
      <c r="S18" s="705"/>
      <c r="T18" s="704"/>
      <c r="U18" s="705"/>
      <c r="V18" s="704"/>
      <c r="W18" s="705"/>
      <c r="X18" s="1353"/>
      <c r="Y18" s="373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6"/>
      <c r="Q19" s="1350" t="str">
        <f>B19</f>
        <v>公共配套设施</v>
      </c>
      <c r="R19" s="704" t="s">
        <v>14</v>
      </c>
      <c r="S19" s="705">
        <f>F19</f>
        <v>100</v>
      </c>
      <c r="T19" s="704" t="s">
        <v>14</v>
      </c>
      <c r="U19" s="705">
        <f>H19</f>
        <v>100</v>
      </c>
      <c r="V19" s="704" t="s">
        <v>14</v>
      </c>
      <c r="W19" s="705">
        <f>J19</f>
        <v>100</v>
      </c>
      <c r="X19" s="1353"/>
      <c r="Y19" s="373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36"/>
      <c r="Q20" s="1350"/>
      <c r="R20" s="704"/>
      <c r="S20" s="705"/>
      <c r="T20" s="704"/>
      <c r="U20" s="705"/>
      <c r="V20" s="704"/>
      <c r="W20" s="705"/>
      <c r="X20" s="1353"/>
      <c r="Y20" s="3736"/>
      <c r="Z20" s="1354"/>
      <c r="AA20" s="1351">
        <v>1</v>
      </c>
      <c r="AB20" s="1351">
        <v>1</v>
      </c>
      <c r="AC20" s="1351">
        <v>1</v>
      </c>
    </row>
    <row r="21" spans="1:29" ht="28.5">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6"/>
      <c r="Q21" s="1350" t="str">
        <f>B21</f>
        <v>基础设施水平</v>
      </c>
      <c r="R21" s="704" t="s">
        <v>14</v>
      </c>
      <c r="S21" s="705">
        <f>F21</f>
        <v>100</v>
      </c>
      <c r="T21" s="704" t="s">
        <v>14</v>
      </c>
      <c r="U21" s="705">
        <f>H21</f>
        <v>100</v>
      </c>
      <c r="V21" s="704" t="s">
        <v>14</v>
      </c>
      <c r="W21" s="705">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36"/>
      <c r="Q22" s="1350"/>
      <c r="R22" s="704"/>
      <c r="S22" s="705"/>
      <c r="T22" s="704"/>
      <c r="U22" s="705"/>
      <c r="V22" s="704"/>
      <c r="W22" s="705"/>
      <c r="X22" s="1353"/>
      <c r="Y22" s="373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6"/>
      <c r="Q23" s="1350" t="str">
        <f>B23</f>
        <v>环境质量</v>
      </c>
      <c r="R23" s="704" t="s">
        <v>14</v>
      </c>
      <c r="S23" s="705">
        <f>F23</f>
        <v>100</v>
      </c>
      <c r="T23" s="704" t="s">
        <v>14</v>
      </c>
      <c r="U23" s="705">
        <f>H23</f>
        <v>100</v>
      </c>
      <c r="V23" s="704" t="s">
        <v>14</v>
      </c>
      <c r="W23" s="705">
        <f>J23</f>
        <v>100</v>
      </c>
      <c r="X23" s="1353"/>
      <c r="Y23" s="3736"/>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36"/>
      <c r="Q24" s="1350"/>
      <c r="R24" s="704"/>
      <c r="S24" s="705"/>
      <c r="T24" s="704"/>
      <c r="U24" s="705"/>
      <c r="V24" s="704"/>
      <c r="W24" s="705"/>
      <c r="X24" s="1353"/>
      <c r="Y24" s="3736"/>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6"/>
      <c r="Q25" s="1350">
        <f>B25</f>
        <v>111</v>
      </c>
      <c r="R25" s="704" t="s">
        <v>14</v>
      </c>
      <c r="S25" s="705">
        <f>F25</f>
        <v>100</v>
      </c>
      <c r="T25" s="704" t="s">
        <v>14</v>
      </c>
      <c r="U25" s="705">
        <f>H25</f>
        <v>100</v>
      </c>
      <c r="V25" s="704" t="s">
        <v>14</v>
      </c>
      <c r="W25" s="705">
        <f>J25</f>
        <v>100</v>
      </c>
      <c r="X25" s="1353"/>
      <c r="Y25" s="3736"/>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6"/>
      <c r="Q26" s="1350">
        <f t="shared" ref="Q26:Q40" si="11">B26</f>
        <v>111</v>
      </c>
      <c r="R26" s="704" t="s">
        <v>14</v>
      </c>
      <c r="S26" s="705">
        <f>F26</f>
        <v>100</v>
      </c>
      <c r="T26" s="704" t="s">
        <v>14</v>
      </c>
      <c r="U26" s="705">
        <f>H26</f>
        <v>100</v>
      </c>
      <c r="V26" s="704" t="s">
        <v>14</v>
      </c>
      <c r="W26" s="705">
        <f>J26</f>
        <v>100</v>
      </c>
      <c r="X26" s="1353"/>
      <c r="Y26" s="3736"/>
      <c r="Z26" s="1354">
        <f>Q26</f>
        <v>111</v>
      </c>
      <c r="AA26" s="1351">
        <f t="shared" si="3"/>
        <v>1</v>
      </c>
      <c r="AB26" s="1351">
        <f t="shared" si="4"/>
        <v>1</v>
      </c>
      <c r="AC26" s="1351">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6"/>
      <c r="Q27" s="1341">
        <f t="shared" si="11"/>
        <v>111</v>
      </c>
      <c r="R27" s="700" t="s">
        <v>14</v>
      </c>
      <c r="S27" s="701">
        <f>F27</f>
        <v>100</v>
      </c>
      <c r="T27" s="700" t="s">
        <v>14</v>
      </c>
      <c r="U27" s="701">
        <f>H27</f>
        <v>100</v>
      </c>
      <c r="V27" s="700" t="s">
        <v>14</v>
      </c>
      <c r="W27" s="701">
        <f>J27</f>
        <v>100</v>
      </c>
      <c r="X27" s="702"/>
      <c r="Y27" s="3736"/>
      <c r="Z27" s="51">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6"/>
      <c r="Q28" s="1350">
        <f t="shared" si="11"/>
        <v>111</v>
      </c>
      <c r="R28" s="704" t="s">
        <v>14</v>
      </c>
      <c r="S28" s="705">
        <f t="shared" ref="S28:S40" si="12">F28</f>
        <v>100</v>
      </c>
      <c r="T28" s="704" t="s">
        <v>14</v>
      </c>
      <c r="U28" s="705">
        <f t="shared" ref="U28:U40" si="13">H28</f>
        <v>100</v>
      </c>
      <c r="V28" s="704" t="s">
        <v>14</v>
      </c>
      <c r="W28" s="705">
        <f t="shared" ref="W28:W40" si="14">J28</f>
        <v>100</v>
      </c>
      <c r="X28" s="1353"/>
      <c r="Y28" s="3736"/>
      <c r="Z28" s="1354">
        <f t="shared" ref="Z28:Z40" si="15">Q28</f>
        <v>111</v>
      </c>
      <c r="AA28" s="1351">
        <f t="shared" si="3"/>
        <v>1</v>
      </c>
      <c r="AB28" s="1351">
        <f t="shared" si="4"/>
        <v>1</v>
      </c>
      <c r="AC28" s="1351">
        <f t="shared" si="5"/>
        <v>1</v>
      </c>
    </row>
    <row r="29" spans="1:29" ht="28.5">
      <c r="A29" s="416" t="s">
        <v>1694</v>
      </c>
      <c r="B29" s="62"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91" t="s">
        <v>1696</v>
      </c>
      <c r="Q29" s="1350" t="str">
        <f t="shared" si="11"/>
        <v>建筑类型</v>
      </c>
      <c r="R29" s="704" t="s">
        <v>14</v>
      </c>
      <c r="S29" s="705">
        <f t="shared" si="12"/>
        <v>100</v>
      </c>
      <c r="T29" s="704" t="s">
        <v>14</v>
      </c>
      <c r="U29" s="705">
        <f t="shared" si="13"/>
        <v>100</v>
      </c>
      <c r="V29" s="704" t="s">
        <v>14</v>
      </c>
      <c r="W29" s="705">
        <f t="shared" si="14"/>
        <v>100</v>
      </c>
      <c r="X29" s="1353"/>
      <c r="Y29" s="374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40"/>
      <c r="Q30" s="706" t="str">
        <f t="shared" si="11"/>
        <v>项目建筑规模</v>
      </c>
      <c r="R30" s="707" t="s">
        <v>14</v>
      </c>
      <c r="S30" s="708" t="e">
        <f t="shared" si="12"/>
        <v>#N/A</v>
      </c>
      <c r="T30" s="707" t="s">
        <v>14</v>
      </c>
      <c r="U30" s="708" t="e">
        <f t="shared" si="13"/>
        <v>#N/A</v>
      </c>
      <c r="V30" s="707" t="s">
        <v>14</v>
      </c>
      <c r="W30" s="708" t="e">
        <f t="shared" si="14"/>
        <v>#N/A</v>
      </c>
      <c r="X30" s="709"/>
      <c r="Y30" s="3740"/>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40"/>
      <c r="Q31" s="1350" t="str">
        <f t="shared" si="11"/>
        <v>建筑结构</v>
      </c>
      <c r="R31" s="704" t="s">
        <v>14</v>
      </c>
      <c r="S31" s="705">
        <f t="shared" si="12"/>
        <v>100</v>
      </c>
      <c r="T31" s="704" t="s">
        <v>14</v>
      </c>
      <c r="U31" s="705">
        <f t="shared" si="13"/>
        <v>100</v>
      </c>
      <c r="V31" s="704" t="s">
        <v>14</v>
      </c>
      <c r="W31" s="705">
        <f t="shared" si="14"/>
        <v>100</v>
      </c>
      <c r="X31" s="1353"/>
      <c r="Y31" s="374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0"/>
      <c r="Q32" s="1350" t="str">
        <f t="shared" si="11"/>
        <v>公共部分装修</v>
      </c>
      <c r="R32" s="704" t="s">
        <v>14</v>
      </c>
      <c r="S32" s="705">
        <f t="shared" si="12"/>
        <v>100</v>
      </c>
      <c r="T32" s="704" t="s">
        <v>14</v>
      </c>
      <c r="U32" s="705">
        <f t="shared" si="13"/>
        <v>100</v>
      </c>
      <c r="V32" s="704" t="s">
        <v>14</v>
      </c>
      <c r="W32" s="705">
        <f t="shared" si="14"/>
        <v>100</v>
      </c>
      <c r="X32" s="1353"/>
      <c r="Y32" s="374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40"/>
      <c r="Q33" s="1350" t="str">
        <f t="shared" si="11"/>
        <v>成新度</v>
      </c>
      <c r="R33" s="704" t="s">
        <v>14</v>
      </c>
      <c r="S33" s="705" t="e">
        <f t="shared" si="12"/>
        <v>#N/A</v>
      </c>
      <c r="T33" s="704" t="s">
        <v>14</v>
      </c>
      <c r="U33" s="705" t="e">
        <f t="shared" si="13"/>
        <v>#N/A</v>
      </c>
      <c r="V33" s="704" t="s">
        <v>14</v>
      </c>
      <c r="W33" s="705" t="e">
        <f t="shared" si="14"/>
        <v>#N/A</v>
      </c>
      <c r="X33" s="1353"/>
      <c r="Y33" s="374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40"/>
      <c r="Q34" s="1341" t="str">
        <f t="shared" si="11"/>
        <v>物业管理</v>
      </c>
      <c r="R34" s="700" t="s">
        <v>14</v>
      </c>
      <c r="S34" s="701">
        <f t="shared" si="12"/>
        <v>100</v>
      </c>
      <c r="T34" s="700" t="s">
        <v>14</v>
      </c>
      <c r="U34" s="701">
        <f t="shared" si="13"/>
        <v>100</v>
      </c>
      <c r="V34" s="700" t="s">
        <v>14</v>
      </c>
      <c r="W34" s="701">
        <f t="shared" si="14"/>
        <v>100</v>
      </c>
      <c r="X34" s="702"/>
      <c r="Y34" s="3740"/>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40" t="s">
        <v>1696</v>
      </c>
      <c r="Q35" s="1350" t="str">
        <f t="shared" si="11"/>
        <v>市政基础设施</v>
      </c>
      <c r="R35" s="704" t="s">
        <v>14</v>
      </c>
      <c r="S35" s="705">
        <f t="shared" si="12"/>
        <v>100</v>
      </c>
      <c r="T35" s="704" t="s">
        <v>14</v>
      </c>
      <c r="U35" s="705">
        <f t="shared" si="13"/>
        <v>100</v>
      </c>
      <c r="V35" s="704" t="s">
        <v>14</v>
      </c>
      <c r="W35" s="705">
        <f t="shared" si="14"/>
        <v>100</v>
      </c>
      <c r="X35" s="1353"/>
      <c r="Y35" s="374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40"/>
      <c r="Q36" s="1350" t="str">
        <f t="shared" si="11"/>
        <v>内部装修</v>
      </c>
      <c r="R36" s="704" t="s">
        <v>14</v>
      </c>
      <c r="S36" s="705">
        <f t="shared" si="12"/>
        <v>100</v>
      </c>
      <c r="T36" s="704" t="s">
        <v>14</v>
      </c>
      <c r="U36" s="705">
        <f t="shared" si="13"/>
        <v>100</v>
      </c>
      <c r="V36" s="704" t="s">
        <v>14</v>
      </c>
      <c r="W36" s="705">
        <f t="shared" si="14"/>
        <v>100</v>
      </c>
      <c r="X36" s="1353"/>
      <c r="Y36" s="374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40"/>
      <c r="Q37" s="1350" t="str">
        <f t="shared" si="11"/>
        <v>内部装修状况</v>
      </c>
      <c r="R37" s="704" t="s">
        <v>14</v>
      </c>
      <c r="S37" s="705">
        <f t="shared" si="12"/>
        <v>100</v>
      </c>
      <c r="T37" s="704" t="s">
        <v>14</v>
      </c>
      <c r="U37" s="705">
        <f t="shared" si="13"/>
        <v>100</v>
      </c>
      <c r="V37" s="704" t="s">
        <v>14</v>
      </c>
      <c r="W37" s="705">
        <f t="shared" si="14"/>
        <v>100</v>
      </c>
      <c r="X37" s="1353"/>
      <c r="Y37" s="3740"/>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40"/>
      <c r="Q38" s="706">
        <f t="shared" si="11"/>
        <v>111</v>
      </c>
      <c r="R38" s="707" t="s">
        <v>14</v>
      </c>
      <c r="S38" s="708">
        <f t="shared" si="12"/>
        <v>100</v>
      </c>
      <c r="T38" s="707" t="s">
        <v>14</v>
      </c>
      <c r="U38" s="708">
        <f t="shared" si="13"/>
        <v>100</v>
      </c>
      <c r="V38" s="707" t="s">
        <v>14</v>
      </c>
      <c r="W38" s="708">
        <f t="shared" si="14"/>
        <v>100</v>
      </c>
      <c r="X38" s="709"/>
      <c r="Y38" s="3740"/>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0"/>
      <c r="Q39" s="1350">
        <f t="shared" si="11"/>
        <v>111</v>
      </c>
      <c r="R39" s="704" t="s">
        <v>14</v>
      </c>
      <c r="S39" s="705">
        <f t="shared" si="12"/>
        <v>100</v>
      </c>
      <c r="T39" s="704" t="s">
        <v>14</v>
      </c>
      <c r="U39" s="705">
        <f t="shared" si="13"/>
        <v>100</v>
      </c>
      <c r="V39" s="704" t="s">
        <v>14</v>
      </c>
      <c r="W39" s="705">
        <f t="shared" si="14"/>
        <v>100</v>
      </c>
      <c r="X39" s="1353"/>
      <c r="Y39" s="374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41"/>
      <c r="Q40" s="1350">
        <f t="shared" si="11"/>
        <v>111</v>
      </c>
      <c r="R40" s="704" t="s">
        <v>14</v>
      </c>
      <c r="S40" s="705">
        <f t="shared" si="12"/>
        <v>100</v>
      </c>
      <c r="T40" s="704" t="s">
        <v>14</v>
      </c>
      <c r="U40" s="705">
        <f t="shared" si="13"/>
        <v>100</v>
      </c>
      <c r="V40" s="704" t="s">
        <v>14</v>
      </c>
      <c r="W40" s="705">
        <f t="shared" si="14"/>
        <v>100</v>
      </c>
      <c r="X40" s="1353"/>
      <c r="Y40" s="3741"/>
      <c r="Z40" s="1354">
        <f t="shared" si="15"/>
        <v>111</v>
      </c>
      <c r="AA40" s="1351">
        <f t="shared" si="3"/>
        <v>1</v>
      </c>
      <c r="AB40" s="1351">
        <f t="shared" si="4"/>
        <v>1</v>
      </c>
      <c r="AC40" s="1351">
        <f t="shared" si="5"/>
        <v>1</v>
      </c>
    </row>
    <row r="41" spans="1:29" ht="15">
      <c r="A41" s="429" t="s">
        <v>1708</v>
      </c>
      <c r="B41" s="430"/>
      <c r="C41" s="1153" t="s">
        <v>0</v>
      </c>
      <c r="D41" s="1154"/>
      <c r="E41" s="1155"/>
      <c r="F41" s="1156"/>
      <c r="G41" s="1157"/>
      <c r="H41" s="1158"/>
      <c r="I41" s="1155"/>
      <c r="J41" s="1158"/>
      <c r="K41" s="713"/>
      <c r="L41" s="925"/>
      <c r="M41" s="926"/>
      <c r="N41" s="913"/>
      <c r="O41" s="926"/>
      <c r="P41" s="3733" t="str">
        <f>A41</f>
        <v>成交单价（元/平方米）</v>
      </c>
      <c r="Q41" s="3733"/>
      <c r="R41" s="3734">
        <f>E41</f>
        <v>0</v>
      </c>
      <c r="S41" s="3734"/>
      <c r="T41" s="3734">
        <f>G41</f>
        <v>0</v>
      </c>
      <c r="U41" s="3734"/>
      <c r="V41" s="3734">
        <f>I41</f>
        <v>0</v>
      </c>
      <c r="W41" s="3734"/>
      <c r="X41" s="689"/>
      <c r="Y41" s="711"/>
      <c r="Z41" s="689"/>
      <c r="AA41" s="689"/>
      <c r="AB41" s="689"/>
      <c r="AC41" s="689"/>
    </row>
    <row r="42" spans="1:29" ht="15.75" thickBot="1">
      <c r="A42" s="436" t="s">
        <v>1793</v>
      </c>
      <c r="B42" s="437"/>
      <c r="C42" s="1159" t="e">
        <f>R43</f>
        <v>#DIV/0!</v>
      </c>
      <c r="D42" s="2315" t="s">
        <v>2137</v>
      </c>
      <c r="E42" s="1160" t="e">
        <f>R42</f>
        <v>#DIV/0!</v>
      </c>
      <c r="F42" s="2316"/>
      <c r="G42" s="1159" t="e">
        <f>T42</f>
        <v>#DIV/0!</v>
      </c>
      <c r="H42" s="2316"/>
      <c r="I42" s="1160" t="e">
        <f>V42</f>
        <v>#DIV/0!</v>
      </c>
      <c r="J42" s="2316"/>
      <c r="K42" s="2318">
        <f>F42+H42+J42</f>
        <v>0</v>
      </c>
      <c r="L42" s="925"/>
      <c r="M42" s="926"/>
      <c r="N42" s="913"/>
      <c r="O42" s="926"/>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2" t="str">
        <f>YEAR(C7)&amp;"-"&amp;MONTH(C7)</f>
        <v>2024-9</v>
      </c>
      <c r="D52" s="1183">
        <f>EDATE(C52,-1)</f>
        <v>45505</v>
      </c>
      <c r="E52" s="1183">
        <f t="shared" ref="E52:O52" si="16">EDATE(D52,-1)</f>
        <v>45474</v>
      </c>
      <c r="F52" s="1183">
        <f t="shared" si="16"/>
        <v>45444</v>
      </c>
      <c r="G52" s="1183">
        <f t="shared" si="16"/>
        <v>45413</v>
      </c>
      <c r="H52" s="1183">
        <f t="shared" si="16"/>
        <v>45383</v>
      </c>
      <c r="I52" s="1183">
        <f t="shared" si="16"/>
        <v>45352</v>
      </c>
      <c r="J52" s="1183">
        <f t="shared" si="16"/>
        <v>45323</v>
      </c>
      <c r="K52" s="1183">
        <f t="shared" si="16"/>
        <v>45292</v>
      </c>
      <c r="L52" s="1183">
        <f t="shared" si="16"/>
        <v>45261</v>
      </c>
      <c r="M52" s="1183">
        <f t="shared" si="16"/>
        <v>45231</v>
      </c>
      <c r="N52" s="1183">
        <f t="shared" si="16"/>
        <v>45200</v>
      </c>
      <c r="O52" s="1183">
        <f t="shared" si="16"/>
        <v>45170</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7"/>
      <c r="O54" s="2768"/>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6"/>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6"/>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3325</v>
      </c>
      <c r="C1" s="1222" t="s">
        <v>1662</v>
      </c>
      <c r="D1" s="1223"/>
      <c r="E1" s="3428"/>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4" t="s">
        <v>1769</v>
      </c>
      <c r="B4" s="355"/>
      <c r="C4" s="3748" t="s">
        <v>1770</v>
      </c>
      <c r="D4" s="3749"/>
      <c r="E4" s="3750" t="s">
        <v>1771</v>
      </c>
      <c r="F4" s="3751"/>
      <c r="G4" s="3748" t="s">
        <v>1772</v>
      </c>
      <c r="H4" s="3749"/>
      <c r="I4" s="3748" t="s">
        <v>1773</v>
      </c>
      <c r="J4" s="3749"/>
      <c r="K4" s="558" t="s">
        <v>1774</v>
      </c>
      <c r="L4" s="2712"/>
      <c r="M4" s="2713"/>
      <c r="N4" s="2713"/>
      <c r="O4" s="2713"/>
      <c r="P4" s="3752" t="s">
        <v>1775</v>
      </c>
      <c r="Q4" s="3753"/>
      <c r="R4" s="3758" t="s">
        <v>1771</v>
      </c>
      <c r="S4" s="3759"/>
      <c r="T4" s="3758" t="s">
        <v>1772</v>
      </c>
      <c r="U4" s="3759"/>
      <c r="V4" s="3764" t="s">
        <v>1773</v>
      </c>
      <c r="W4" s="3764"/>
      <c r="X4" s="1353"/>
      <c r="Y4" s="3758" t="s">
        <v>1775</v>
      </c>
      <c r="Z4" s="3759"/>
      <c r="AA4" s="3745" t="s">
        <v>1771</v>
      </c>
      <c r="AB4" s="3746" t="s">
        <v>1772</v>
      </c>
      <c r="AC4" s="3745" t="s">
        <v>1773</v>
      </c>
    </row>
    <row r="5" spans="1:29" ht="15">
      <c r="A5" s="357"/>
      <c r="B5" s="358"/>
      <c r="C5" s="3767" t="s">
        <v>1673</v>
      </c>
      <c r="D5" s="3768"/>
      <c r="E5" s="3774" t="s">
        <v>1674</v>
      </c>
      <c r="F5" s="3775"/>
      <c r="G5" s="3767" t="s">
        <v>1675</v>
      </c>
      <c r="H5" s="3768"/>
      <c r="I5" s="3767" t="s">
        <v>1676</v>
      </c>
      <c r="J5" s="3768"/>
      <c r="K5" s="558"/>
      <c r="L5" s="2712"/>
      <c r="M5" s="2713"/>
      <c r="N5" s="2713"/>
      <c r="O5" s="2713"/>
      <c r="P5" s="3754"/>
      <c r="Q5" s="3755"/>
      <c r="R5" s="3760"/>
      <c r="S5" s="3761"/>
      <c r="T5" s="3760"/>
      <c r="U5" s="3761"/>
      <c r="V5" s="3764"/>
      <c r="W5" s="3764"/>
      <c r="X5" s="1353"/>
      <c r="Y5" s="3760"/>
      <c r="Z5" s="3761"/>
      <c r="AA5" s="3746"/>
      <c r="AB5" s="3746"/>
      <c r="AC5" s="3746"/>
    </row>
    <row r="6" spans="1:29" ht="15.75" thickBot="1">
      <c r="A6" s="359"/>
      <c r="B6" s="360"/>
      <c r="C6" s="3765" t="s">
        <v>1677</v>
      </c>
      <c r="D6" s="3766"/>
      <c r="E6" s="3772" t="s">
        <v>1677</v>
      </c>
      <c r="F6" s="3773"/>
      <c r="G6" s="3765" t="s">
        <v>1677</v>
      </c>
      <c r="H6" s="3766"/>
      <c r="I6" s="3765" t="s">
        <v>1677</v>
      </c>
      <c r="J6" s="3766"/>
      <c r="K6" s="558" t="s">
        <v>1678</v>
      </c>
      <c r="L6" s="2712"/>
      <c r="M6" s="2713"/>
      <c r="N6" s="2713"/>
      <c r="O6" s="2713"/>
      <c r="P6" s="3756"/>
      <c r="Q6" s="3757"/>
      <c r="R6" s="3760"/>
      <c r="S6" s="3761"/>
      <c r="T6" s="3762"/>
      <c r="U6" s="3763"/>
      <c r="V6" s="3764"/>
      <c r="W6" s="3764"/>
      <c r="X6" s="1353"/>
      <c r="Y6" s="3762"/>
      <c r="Z6" s="3763"/>
      <c r="AA6" s="3747"/>
      <c r="AB6" s="3747"/>
      <c r="AC6" s="3747"/>
    </row>
    <row r="7" spans="1:29" s="107" customFormat="1" ht="15.75" thickBot="1">
      <c r="A7" s="361" t="s">
        <v>1679</v>
      </c>
      <c r="B7" s="362"/>
      <c r="C7" s="363">
        <f>'数据-取费表'!B2</f>
        <v>45565</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69" t="s">
        <v>1680</v>
      </c>
      <c r="Q7" s="3771"/>
      <c r="R7" s="700" t="s">
        <v>14</v>
      </c>
      <c r="S7" s="701">
        <f t="shared" ref="S7:S14" si="0">F7</f>
        <v>0</v>
      </c>
      <c r="T7" s="700" t="s">
        <v>14</v>
      </c>
      <c r="U7" s="701">
        <f t="shared" ref="U7:U14" si="1">H7</f>
        <v>0</v>
      </c>
      <c r="V7" s="700" t="s">
        <v>14</v>
      </c>
      <c r="W7" s="701">
        <f t="shared" ref="W7:W14" si="2">J7</f>
        <v>0</v>
      </c>
      <c r="X7" s="702"/>
      <c r="Y7" s="3769" t="s">
        <v>1680</v>
      </c>
      <c r="Z7" s="3770"/>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69" t="s">
        <v>1683</v>
      </c>
      <c r="Q8" s="3770"/>
      <c r="R8" s="700" t="s">
        <v>14</v>
      </c>
      <c r="S8" s="701">
        <f t="shared" si="0"/>
        <v>100</v>
      </c>
      <c r="T8" s="700" t="s">
        <v>14</v>
      </c>
      <c r="U8" s="701">
        <f t="shared" si="1"/>
        <v>100</v>
      </c>
      <c r="V8" s="700" t="s">
        <v>14</v>
      </c>
      <c r="W8" s="701">
        <f t="shared" si="2"/>
        <v>100</v>
      </c>
      <c r="X8" s="702"/>
      <c r="Y8" s="3769" t="s">
        <v>1683</v>
      </c>
      <c r="Z8" s="3770"/>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33" t="s">
        <v>1686</v>
      </c>
      <c r="Q9" s="1341" t="str">
        <f t="shared" ref="Q9:Q14" si="6">B9</f>
        <v>用途</v>
      </c>
      <c r="R9" s="700" t="s">
        <v>14</v>
      </c>
      <c r="S9" s="701">
        <f t="shared" si="0"/>
        <v>100</v>
      </c>
      <c r="T9" s="700" t="s">
        <v>14</v>
      </c>
      <c r="U9" s="701">
        <f t="shared" si="1"/>
        <v>100</v>
      </c>
      <c r="V9" s="700" t="s">
        <v>14</v>
      </c>
      <c r="W9" s="701">
        <f t="shared" si="2"/>
        <v>100</v>
      </c>
      <c r="X9" s="702"/>
      <c r="Y9" s="3589" t="s">
        <v>1687</v>
      </c>
      <c r="Z9" s="51" t="str">
        <f t="shared" ref="Z9:Z14" si="7">Q9</f>
        <v>用途</v>
      </c>
      <c r="AA9" s="703">
        <f t="shared" si="3"/>
        <v>1</v>
      </c>
      <c r="AB9" s="703">
        <f t="shared" si="4"/>
        <v>1</v>
      </c>
      <c r="AC9" s="703">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6"/>
      <c r="M10" s="2717"/>
      <c r="N10" s="2717"/>
      <c r="O10" s="2717"/>
      <c r="P10" s="3733"/>
      <c r="Q10" s="1341" t="str">
        <f t="shared" si="6"/>
        <v>土地使用年限（年）</v>
      </c>
      <c r="R10" s="700" t="s">
        <v>14</v>
      </c>
      <c r="S10" s="701">
        <f t="shared" si="0"/>
        <v>100</v>
      </c>
      <c r="T10" s="700" t="s">
        <v>14</v>
      </c>
      <c r="U10" s="701">
        <f t="shared" si="1"/>
        <v>100</v>
      </c>
      <c r="V10" s="700" t="s">
        <v>14</v>
      </c>
      <c r="W10" s="701">
        <f t="shared" si="2"/>
        <v>100</v>
      </c>
      <c r="X10" s="702"/>
      <c r="Y10" s="3589"/>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33"/>
      <c r="Q11" s="1341">
        <f t="shared" si="6"/>
        <v>111</v>
      </c>
      <c r="R11" s="700" t="s">
        <v>14</v>
      </c>
      <c r="S11" s="701">
        <f t="shared" si="0"/>
        <v>100</v>
      </c>
      <c r="T11" s="700" t="s">
        <v>14</v>
      </c>
      <c r="U11" s="701">
        <f t="shared" si="1"/>
        <v>100</v>
      </c>
      <c r="V11" s="700" t="s">
        <v>14</v>
      </c>
      <c r="W11" s="701">
        <f t="shared" si="2"/>
        <v>100</v>
      </c>
      <c r="X11" s="702"/>
      <c r="Y11" s="3589"/>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33"/>
      <c r="Q12" s="1341">
        <f t="shared" si="6"/>
        <v>111</v>
      </c>
      <c r="R12" s="700" t="s">
        <v>14</v>
      </c>
      <c r="S12" s="701">
        <f t="shared" si="0"/>
        <v>100</v>
      </c>
      <c r="T12" s="700" t="s">
        <v>14</v>
      </c>
      <c r="U12" s="701">
        <f t="shared" si="1"/>
        <v>100</v>
      </c>
      <c r="V12" s="700" t="s">
        <v>14</v>
      </c>
      <c r="W12" s="701">
        <f t="shared" si="2"/>
        <v>100</v>
      </c>
      <c r="X12" s="702"/>
      <c r="Y12" s="3589"/>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33"/>
      <c r="Q13" s="1341">
        <f t="shared" si="6"/>
        <v>111</v>
      </c>
      <c r="R13" s="700" t="s">
        <v>14</v>
      </c>
      <c r="S13" s="701">
        <f t="shared" si="0"/>
        <v>100</v>
      </c>
      <c r="T13" s="700" t="s">
        <v>14</v>
      </c>
      <c r="U13" s="701">
        <f t="shared" si="1"/>
        <v>100</v>
      </c>
      <c r="V13" s="700" t="s">
        <v>14</v>
      </c>
      <c r="W13" s="701">
        <f t="shared" si="2"/>
        <v>100</v>
      </c>
      <c r="X13" s="702"/>
      <c r="Y13" s="3589"/>
      <c r="Z13" s="51">
        <f t="shared" si="7"/>
        <v>111</v>
      </c>
      <c r="AA13" s="703">
        <f t="shared" si="3"/>
        <v>1</v>
      </c>
      <c r="AB13" s="703">
        <f t="shared" si="4"/>
        <v>1</v>
      </c>
      <c r="AC13" s="703">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35" t="s">
        <v>1691</v>
      </c>
      <c r="Q14" s="1350" t="str">
        <f t="shared" si="6"/>
        <v>交通便捷度</v>
      </c>
      <c r="R14" s="704" t="s">
        <v>14</v>
      </c>
      <c r="S14" s="705">
        <f t="shared" si="0"/>
        <v>100</v>
      </c>
      <c r="T14" s="704" t="s">
        <v>14</v>
      </c>
      <c r="U14" s="705">
        <f t="shared" si="1"/>
        <v>100</v>
      </c>
      <c r="V14" s="704" t="s">
        <v>14</v>
      </c>
      <c r="W14" s="705">
        <f t="shared" si="2"/>
        <v>100</v>
      </c>
      <c r="X14" s="1353"/>
      <c r="Y14" s="373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36"/>
      <c r="Q15" s="1350"/>
      <c r="R15" s="704"/>
      <c r="S15" s="705"/>
      <c r="T15" s="704"/>
      <c r="U15" s="705"/>
      <c r="V15" s="704"/>
      <c r="W15" s="705"/>
      <c r="X15" s="1353"/>
      <c r="Y15" s="373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36"/>
      <c r="Q16" s="1350" t="str">
        <f>B16</f>
        <v>公共配套设施</v>
      </c>
      <c r="R16" s="704" t="s">
        <v>14</v>
      </c>
      <c r="S16" s="705">
        <f>F16</f>
        <v>100</v>
      </c>
      <c r="T16" s="704" t="s">
        <v>14</v>
      </c>
      <c r="U16" s="705">
        <f>H16</f>
        <v>100</v>
      </c>
      <c r="V16" s="704" t="s">
        <v>14</v>
      </c>
      <c r="W16" s="705">
        <f>J16</f>
        <v>100</v>
      </c>
      <c r="X16" s="1353"/>
      <c r="Y16" s="373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36"/>
      <c r="Q17" s="1350"/>
      <c r="R17" s="704"/>
      <c r="S17" s="705"/>
      <c r="T17" s="704"/>
      <c r="U17" s="705"/>
      <c r="V17" s="704"/>
      <c r="W17" s="705"/>
      <c r="X17" s="1353"/>
      <c r="Y17" s="373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36"/>
      <c r="Q18" s="1350" t="str">
        <f>B18</f>
        <v>基础设施水平</v>
      </c>
      <c r="R18" s="704" t="s">
        <v>14</v>
      </c>
      <c r="S18" s="705">
        <f>F18</f>
        <v>100</v>
      </c>
      <c r="T18" s="704" t="s">
        <v>14</v>
      </c>
      <c r="U18" s="705">
        <f>H18</f>
        <v>100</v>
      </c>
      <c r="V18" s="704" t="s">
        <v>14</v>
      </c>
      <c r="W18" s="705">
        <f>J18</f>
        <v>100</v>
      </c>
      <c r="X18" s="1353"/>
      <c r="Y18" s="373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9"/>
      <c r="M19" s="2713"/>
      <c r="N19" s="2713"/>
      <c r="O19" s="2713"/>
      <c r="P19" s="3736"/>
      <c r="Q19" s="1350"/>
      <c r="R19" s="704"/>
      <c r="S19" s="705"/>
      <c r="T19" s="704"/>
      <c r="U19" s="705"/>
      <c r="V19" s="704"/>
      <c r="W19" s="705"/>
      <c r="X19" s="1353"/>
      <c r="Y19" s="373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36"/>
      <c r="Q20" s="1350" t="str">
        <f>B20</f>
        <v>自然及人文环境</v>
      </c>
      <c r="R20" s="704" t="s">
        <v>14</v>
      </c>
      <c r="S20" s="705">
        <f>F20</f>
        <v>100</v>
      </c>
      <c r="T20" s="704" t="s">
        <v>14</v>
      </c>
      <c r="U20" s="705">
        <f>H20</f>
        <v>100</v>
      </c>
      <c r="V20" s="704" t="s">
        <v>14</v>
      </c>
      <c r="W20" s="705">
        <f>J20</f>
        <v>100</v>
      </c>
      <c r="X20" s="1353"/>
      <c r="Y20" s="373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36"/>
      <c r="Q21" s="1350"/>
      <c r="R21" s="704"/>
      <c r="S21" s="705"/>
      <c r="T21" s="704"/>
      <c r="U21" s="705"/>
      <c r="V21" s="704"/>
      <c r="W21" s="705"/>
      <c r="X21" s="1353"/>
      <c r="Y21" s="373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36"/>
      <c r="Q22" s="1350" t="str">
        <f>B22</f>
        <v>楼层</v>
      </c>
      <c r="R22" s="704" t="s">
        <v>14</v>
      </c>
      <c r="S22" s="705">
        <f>F22</f>
        <v>100</v>
      </c>
      <c r="T22" s="704" t="s">
        <v>14</v>
      </c>
      <c r="U22" s="705">
        <f>H22</f>
        <v>100</v>
      </c>
      <c r="V22" s="704" t="s">
        <v>14</v>
      </c>
      <c r="W22" s="705">
        <f>J22</f>
        <v>100</v>
      </c>
      <c r="X22" s="1353"/>
      <c r="Y22" s="373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36"/>
      <c r="Q23" s="1350">
        <f>B23</f>
        <v>111</v>
      </c>
      <c r="R23" s="704" t="s">
        <v>14</v>
      </c>
      <c r="S23" s="705">
        <f>F23</f>
        <v>100</v>
      </c>
      <c r="T23" s="704" t="s">
        <v>14</v>
      </c>
      <c r="U23" s="705">
        <f>H23</f>
        <v>100</v>
      </c>
      <c r="V23" s="704" t="s">
        <v>14</v>
      </c>
      <c r="W23" s="705">
        <f>J23</f>
        <v>100</v>
      </c>
      <c r="X23" s="1353"/>
      <c r="Y23" s="373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36"/>
      <c r="Q24" s="1350">
        <f t="shared" ref="Q24:Q36" si="11">B24</f>
        <v>111</v>
      </c>
      <c r="R24" s="704" t="s">
        <v>14</v>
      </c>
      <c r="S24" s="705">
        <f>F24</f>
        <v>100</v>
      </c>
      <c r="T24" s="704" t="s">
        <v>14</v>
      </c>
      <c r="U24" s="705">
        <f>H24</f>
        <v>100</v>
      </c>
      <c r="V24" s="704" t="s">
        <v>14</v>
      </c>
      <c r="W24" s="705">
        <f>J24</f>
        <v>100</v>
      </c>
      <c r="X24" s="1353"/>
      <c r="Y24" s="373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36"/>
      <c r="Q25" s="1341">
        <f t="shared" si="11"/>
        <v>111</v>
      </c>
      <c r="R25" s="700" t="s">
        <v>14</v>
      </c>
      <c r="S25" s="701">
        <f>F25</f>
        <v>100</v>
      </c>
      <c r="T25" s="700" t="s">
        <v>14</v>
      </c>
      <c r="U25" s="701">
        <f>H25</f>
        <v>100</v>
      </c>
      <c r="V25" s="700" t="s">
        <v>14</v>
      </c>
      <c r="W25" s="701">
        <f>J25</f>
        <v>100</v>
      </c>
      <c r="X25" s="702"/>
      <c r="Y25" s="3736"/>
      <c r="Z25" s="51">
        <f>Q25</f>
        <v>111</v>
      </c>
      <c r="AA25" s="1351">
        <f>D25/F25</f>
        <v>1</v>
      </c>
      <c r="AB25" s="1351">
        <f>D25/H25</f>
        <v>1</v>
      </c>
      <c r="AC25" s="1351">
        <f>D25/J25</f>
        <v>1</v>
      </c>
    </row>
    <row r="26" spans="1:29" ht="28.5">
      <c r="A26" s="599" t="s">
        <v>1694</v>
      </c>
      <c r="B26" s="61"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91"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40"/>
      <c r="Q27" s="706" t="str">
        <f t="shared" si="11"/>
        <v>项目停车位配比</v>
      </c>
      <c r="R27" s="707" t="s">
        <v>14</v>
      </c>
      <c r="S27" s="708">
        <f t="shared" si="12"/>
        <v>100</v>
      </c>
      <c r="T27" s="707" t="s">
        <v>14</v>
      </c>
      <c r="U27" s="708">
        <f t="shared" si="13"/>
        <v>100</v>
      </c>
      <c r="V27" s="707" t="s">
        <v>14</v>
      </c>
      <c r="W27" s="708">
        <f t="shared" si="14"/>
        <v>100</v>
      </c>
      <c r="X27" s="709"/>
      <c r="Y27" s="3740"/>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40"/>
      <c r="Q28" s="1350" t="str">
        <f t="shared" si="11"/>
        <v>公共部分装修</v>
      </c>
      <c r="R28" s="704" t="s">
        <v>14</v>
      </c>
      <c r="S28" s="705">
        <f t="shared" si="12"/>
        <v>100</v>
      </c>
      <c r="T28" s="704" t="s">
        <v>14</v>
      </c>
      <c r="U28" s="705">
        <f t="shared" si="13"/>
        <v>100</v>
      </c>
      <c r="V28" s="704" t="s">
        <v>14</v>
      </c>
      <c r="W28" s="705">
        <f t="shared" si="14"/>
        <v>100</v>
      </c>
      <c r="X28" s="1353"/>
      <c r="Y28" s="374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40"/>
      <c r="Q29" s="1350" t="str">
        <f t="shared" si="11"/>
        <v>成新率</v>
      </c>
      <c r="R29" s="704" t="s">
        <v>14</v>
      </c>
      <c r="S29" s="705" t="e">
        <f t="shared" si="12"/>
        <v>#N/A</v>
      </c>
      <c r="T29" s="704" t="s">
        <v>14</v>
      </c>
      <c r="U29" s="705" t="e">
        <f t="shared" si="13"/>
        <v>#N/A</v>
      </c>
      <c r="V29" s="704" t="s">
        <v>14</v>
      </c>
      <c r="W29" s="705" t="e">
        <f t="shared" si="14"/>
        <v>#N/A</v>
      </c>
      <c r="X29" s="1353"/>
      <c r="Y29" s="374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40"/>
      <c r="Q30" s="1350" t="str">
        <f t="shared" si="11"/>
        <v>物业等级</v>
      </c>
      <c r="R30" s="704" t="s">
        <v>14</v>
      </c>
      <c r="S30" s="705">
        <f t="shared" si="12"/>
        <v>100</v>
      </c>
      <c r="T30" s="704" t="s">
        <v>14</v>
      </c>
      <c r="U30" s="705">
        <f t="shared" si="13"/>
        <v>100</v>
      </c>
      <c r="V30" s="704" t="s">
        <v>14</v>
      </c>
      <c r="W30" s="705">
        <f t="shared" si="14"/>
        <v>100</v>
      </c>
      <c r="X30" s="1353"/>
      <c r="Y30" s="374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40"/>
      <c r="Q31" s="1341" t="str">
        <f t="shared" si="11"/>
        <v>停车位面积</v>
      </c>
      <c r="R31" s="700" t="s">
        <v>14</v>
      </c>
      <c r="S31" s="701" t="e">
        <f t="shared" si="12"/>
        <v>#N/A</v>
      </c>
      <c r="T31" s="700" t="s">
        <v>14</v>
      </c>
      <c r="U31" s="701" t="e">
        <f t="shared" si="13"/>
        <v>#N/A</v>
      </c>
      <c r="V31" s="700" t="s">
        <v>14</v>
      </c>
      <c r="W31" s="701" t="e">
        <f t="shared" si="14"/>
        <v>#N/A</v>
      </c>
      <c r="X31" s="702"/>
      <c r="Y31" s="3740"/>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40" t="s">
        <v>1696</v>
      </c>
      <c r="Q32" s="1350" t="str">
        <f t="shared" si="11"/>
        <v>车位类型</v>
      </c>
      <c r="R32" s="704" t="s">
        <v>14</v>
      </c>
      <c r="S32" s="705">
        <f t="shared" si="12"/>
        <v>100</v>
      </c>
      <c r="T32" s="704" t="s">
        <v>14</v>
      </c>
      <c r="U32" s="705">
        <f t="shared" si="13"/>
        <v>100</v>
      </c>
      <c r="V32" s="704" t="s">
        <v>14</v>
      </c>
      <c r="W32" s="705">
        <f t="shared" si="14"/>
        <v>100</v>
      </c>
      <c r="X32" s="1353"/>
      <c r="Y32" s="374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40"/>
      <c r="Q33" s="1350" t="str">
        <f t="shared" si="11"/>
        <v>是否直接入户</v>
      </c>
      <c r="R33" s="704" t="s">
        <v>14</v>
      </c>
      <c r="S33" s="705">
        <f t="shared" si="12"/>
        <v>100</v>
      </c>
      <c r="T33" s="704" t="s">
        <v>14</v>
      </c>
      <c r="U33" s="705">
        <f t="shared" si="13"/>
        <v>100</v>
      </c>
      <c r="V33" s="704" t="s">
        <v>14</v>
      </c>
      <c r="W33" s="705">
        <f t="shared" si="14"/>
        <v>100</v>
      </c>
      <c r="X33" s="1353"/>
      <c r="Y33" s="374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40"/>
      <c r="Q34" s="1350">
        <f t="shared" si="11"/>
        <v>111</v>
      </c>
      <c r="R34" s="704" t="s">
        <v>14</v>
      </c>
      <c r="S34" s="705">
        <f t="shared" si="12"/>
        <v>100</v>
      </c>
      <c r="T34" s="704" t="s">
        <v>14</v>
      </c>
      <c r="U34" s="705">
        <f t="shared" si="13"/>
        <v>100</v>
      </c>
      <c r="V34" s="704" t="s">
        <v>14</v>
      </c>
      <c r="W34" s="705">
        <f t="shared" si="14"/>
        <v>100</v>
      </c>
      <c r="X34" s="1353"/>
      <c r="Y34" s="374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40"/>
      <c r="Q35" s="706">
        <f t="shared" si="11"/>
        <v>111</v>
      </c>
      <c r="R35" s="707" t="s">
        <v>14</v>
      </c>
      <c r="S35" s="708">
        <f t="shared" si="12"/>
        <v>100</v>
      </c>
      <c r="T35" s="707" t="s">
        <v>14</v>
      </c>
      <c r="U35" s="708">
        <f t="shared" si="13"/>
        <v>100</v>
      </c>
      <c r="V35" s="707" t="s">
        <v>14</v>
      </c>
      <c r="W35" s="708">
        <f t="shared" si="14"/>
        <v>100</v>
      </c>
      <c r="X35" s="709"/>
      <c r="Y35" s="3740"/>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40"/>
      <c r="Q36" s="1350">
        <f t="shared" si="11"/>
        <v>111</v>
      </c>
      <c r="R36" s="704" t="s">
        <v>14</v>
      </c>
      <c r="S36" s="705">
        <f t="shared" si="12"/>
        <v>100</v>
      </c>
      <c r="T36" s="704" t="s">
        <v>14</v>
      </c>
      <c r="U36" s="705">
        <f t="shared" si="13"/>
        <v>100</v>
      </c>
      <c r="V36" s="704" t="s">
        <v>14</v>
      </c>
      <c r="W36" s="705">
        <f t="shared" si="14"/>
        <v>100</v>
      </c>
      <c r="X36" s="1353"/>
      <c r="Y36" s="3740"/>
      <c r="Z36" s="1354">
        <f t="shared" si="15"/>
        <v>111</v>
      </c>
      <c r="AA36" s="1351">
        <f t="shared" si="3"/>
        <v>1</v>
      </c>
      <c r="AB36" s="1351">
        <f t="shared" si="4"/>
        <v>1</v>
      </c>
      <c r="AC36" s="1351">
        <f t="shared" si="5"/>
        <v>1</v>
      </c>
    </row>
    <row r="37" spans="1:29" ht="15">
      <c r="A37" s="429" t="s">
        <v>1844</v>
      </c>
      <c r="B37" s="1971" t="s">
        <v>3346</v>
      </c>
      <c r="C37" s="1153" t="s">
        <v>0</v>
      </c>
      <c r="D37" s="1154"/>
      <c r="E37" s="1155"/>
      <c r="F37" s="1156"/>
      <c r="G37" s="1157"/>
      <c r="H37" s="1158"/>
      <c r="I37" s="1155"/>
      <c r="J37" s="1158"/>
      <c r="K37" s="567"/>
      <c r="L37" s="2721"/>
      <c r="M37" s="2722"/>
      <c r="N37" s="2713"/>
      <c r="O37" s="2722"/>
      <c r="P37" s="3733" t="str">
        <f>A37</f>
        <v>成交单价</v>
      </c>
      <c r="Q37" s="3733"/>
      <c r="R37" s="3734">
        <f>E37</f>
        <v>0</v>
      </c>
      <c r="S37" s="3734"/>
      <c r="T37" s="3734">
        <f>G37</f>
        <v>0</v>
      </c>
      <c r="U37" s="3734"/>
      <c r="V37" s="3734">
        <f>I37</f>
        <v>0</v>
      </c>
      <c r="W37" s="3734"/>
      <c r="X37" s="689"/>
      <c r="Y37" s="711"/>
      <c r="Z37" s="689"/>
      <c r="AA37" s="689"/>
      <c r="AB37" s="689"/>
      <c r="AC37" s="689"/>
    </row>
    <row r="38" spans="1:29" ht="15.75" thickBot="1">
      <c r="A38" s="436" t="s">
        <v>1845</v>
      </c>
      <c r="B38" s="437" t="str">
        <f>B37</f>
        <v>元/平方米</v>
      </c>
      <c r="C38" s="1159" t="e">
        <f>R39</f>
        <v>#DIV/0!</v>
      </c>
      <c r="D38" s="2315" t="s">
        <v>2137</v>
      </c>
      <c r="E38" s="1160" t="e">
        <f>R38</f>
        <v>#DIV/0!</v>
      </c>
      <c r="F38" s="2316"/>
      <c r="G38" s="1159" t="e">
        <f>T38</f>
        <v>#DIV/0!</v>
      </c>
      <c r="H38" s="2316"/>
      <c r="I38" s="1160" t="e">
        <f>V38</f>
        <v>#DIV/0!</v>
      </c>
      <c r="J38" s="2316"/>
      <c r="K38" s="2318">
        <f>F38+H38+J38</f>
        <v>0</v>
      </c>
      <c r="L38" s="2721"/>
      <c r="M38" s="2722"/>
      <c r="N38" s="2722"/>
      <c r="O38" s="2722"/>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1"/>
      <c r="M39" s="2722"/>
      <c r="N39" s="2722"/>
      <c r="O39" s="2722"/>
      <c r="P39" s="3730" t="str">
        <f>A39</f>
        <v>估价对象XX用房的比较价值（楼面单价，元/平方米）</v>
      </c>
      <c r="Q39" s="3731"/>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2" t="str">
        <f>YEAR(C7)&amp;"-"&amp;MONTH(C7)</f>
        <v>2024-9</v>
      </c>
      <c r="D48" s="1183">
        <f>EDATE(C48,-1)</f>
        <v>45505</v>
      </c>
      <c r="E48" s="1183">
        <f t="shared" ref="E48:O48" si="16">EDATE(D48,-1)</f>
        <v>45474</v>
      </c>
      <c r="F48" s="1183">
        <f t="shared" si="16"/>
        <v>45444</v>
      </c>
      <c r="G48" s="1183">
        <f t="shared" si="16"/>
        <v>45413</v>
      </c>
      <c r="H48" s="1183">
        <f t="shared" si="16"/>
        <v>45383</v>
      </c>
      <c r="I48" s="1183">
        <f t="shared" si="16"/>
        <v>45352</v>
      </c>
      <c r="J48" s="1183">
        <f t="shared" si="16"/>
        <v>45323</v>
      </c>
      <c r="K48" s="1183">
        <f t="shared" si="16"/>
        <v>45292</v>
      </c>
      <c r="L48" s="1183">
        <f t="shared" si="16"/>
        <v>45261</v>
      </c>
      <c r="M48" s="1183">
        <f t="shared" si="16"/>
        <v>45231</v>
      </c>
      <c r="N48" s="1183">
        <f t="shared" si="16"/>
        <v>45200</v>
      </c>
      <c r="O48" s="1183">
        <f t="shared" si="16"/>
        <v>45170</v>
      </c>
      <c r="P48" s="2756"/>
      <c r="Q48" s="2738"/>
      <c r="R48" s="2738"/>
      <c r="S48" s="2738"/>
      <c r="T48" s="2738"/>
      <c r="U48" s="2738"/>
      <c r="V48" s="2738"/>
      <c r="W48" s="2738"/>
      <c r="X48" s="2738"/>
      <c r="Y48" s="2738"/>
      <c r="Z48" s="2738"/>
      <c r="AA48" s="2738"/>
      <c r="AB48" s="2738"/>
      <c r="AC48" s="2738"/>
    </row>
    <row r="49" spans="1:29" s="107" customFormat="1" ht="15">
      <c r="A49" s="457"/>
      <c r="B49" s="458"/>
      <c r="C49" s="1176">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3326</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48" t="s">
        <v>1770</v>
      </c>
      <c r="D4" s="3749"/>
      <c r="E4" s="3750" t="s">
        <v>1771</v>
      </c>
      <c r="F4" s="3751"/>
      <c r="G4" s="3748" t="s">
        <v>1772</v>
      </c>
      <c r="H4" s="3749"/>
      <c r="I4" s="3748" t="s">
        <v>1773</v>
      </c>
      <c r="J4" s="3749"/>
      <c r="K4" s="558" t="s">
        <v>1774</v>
      </c>
      <c r="L4" s="2712"/>
      <c r="M4" s="2713"/>
      <c r="N4" s="2713"/>
      <c r="O4" s="2713"/>
      <c r="P4" s="3752" t="s">
        <v>1775</v>
      </c>
      <c r="Q4" s="3753"/>
      <c r="R4" s="3758" t="s">
        <v>1771</v>
      </c>
      <c r="S4" s="3759"/>
      <c r="T4" s="3758" t="s">
        <v>1772</v>
      </c>
      <c r="U4" s="3759"/>
      <c r="V4" s="3764" t="s">
        <v>1773</v>
      </c>
      <c r="W4" s="3764"/>
      <c r="X4" s="1353"/>
      <c r="Y4" s="3758" t="s">
        <v>1775</v>
      </c>
      <c r="Z4" s="3759"/>
      <c r="AA4" s="3745" t="s">
        <v>1771</v>
      </c>
      <c r="AB4" s="3746" t="s">
        <v>1772</v>
      </c>
      <c r="AC4" s="3745" t="s">
        <v>1773</v>
      </c>
    </row>
    <row r="5" spans="1:29" ht="15">
      <c r="A5" s="357"/>
      <c r="B5" s="358"/>
      <c r="C5" s="3767" t="s">
        <v>1673</v>
      </c>
      <c r="D5" s="3768"/>
      <c r="E5" s="3774" t="s">
        <v>1674</v>
      </c>
      <c r="F5" s="3775"/>
      <c r="G5" s="3767" t="s">
        <v>1675</v>
      </c>
      <c r="H5" s="3768"/>
      <c r="I5" s="3767" t="s">
        <v>1676</v>
      </c>
      <c r="J5" s="3768"/>
      <c r="K5" s="558"/>
      <c r="L5" s="2712"/>
      <c r="M5" s="2713"/>
      <c r="N5" s="2713"/>
      <c r="O5" s="2713"/>
      <c r="P5" s="3754"/>
      <c r="Q5" s="3755"/>
      <c r="R5" s="3760"/>
      <c r="S5" s="3761"/>
      <c r="T5" s="3760"/>
      <c r="U5" s="3761"/>
      <c r="V5" s="3764"/>
      <c r="W5" s="3764"/>
      <c r="X5" s="1353"/>
      <c r="Y5" s="3760"/>
      <c r="Z5" s="3761"/>
      <c r="AA5" s="3746"/>
      <c r="AB5" s="3746"/>
      <c r="AC5" s="3746"/>
    </row>
    <row r="6" spans="1:29" ht="15.75" thickBot="1">
      <c r="A6" s="359"/>
      <c r="B6" s="360"/>
      <c r="C6" s="3765" t="s">
        <v>1677</v>
      </c>
      <c r="D6" s="3766"/>
      <c r="E6" s="3772" t="s">
        <v>1677</v>
      </c>
      <c r="F6" s="3773"/>
      <c r="G6" s="3765" t="s">
        <v>1677</v>
      </c>
      <c r="H6" s="3766"/>
      <c r="I6" s="3765" t="s">
        <v>1677</v>
      </c>
      <c r="J6" s="3766"/>
      <c r="K6" s="558" t="s">
        <v>1678</v>
      </c>
      <c r="L6" s="2712"/>
      <c r="M6" s="2713"/>
      <c r="N6" s="2713"/>
      <c r="O6" s="2713"/>
      <c r="P6" s="3756"/>
      <c r="Q6" s="3757"/>
      <c r="R6" s="3760"/>
      <c r="S6" s="3761"/>
      <c r="T6" s="3762"/>
      <c r="U6" s="3763"/>
      <c r="V6" s="3764"/>
      <c r="W6" s="3764"/>
      <c r="X6" s="1353"/>
      <c r="Y6" s="3762"/>
      <c r="Z6" s="3763"/>
      <c r="AA6" s="3747"/>
      <c r="AB6" s="3747"/>
      <c r="AC6" s="3747"/>
    </row>
    <row r="7" spans="1:29" s="107" customFormat="1" ht="15.75" thickBot="1">
      <c r="A7" s="361" t="s">
        <v>1679</v>
      </c>
      <c r="B7" s="362"/>
      <c r="C7" s="363">
        <f>'数据-取费表'!B2</f>
        <v>45565</v>
      </c>
      <c r="D7" s="364">
        <v>100</v>
      </c>
      <c r="E7" s="365"/>
      <c r="F7" s="366">
        <f>SUMIF(46:46,YEAR(E7)&amp;"-"&amp;MONTH(E7),47:47)</f>
        <v>0</v>
      </c>
      <c r="G7" s="1972"/>
      <c r="H7" s="364">
        <f>SUMIF(46:46,YEAR(G7)&amp;"-"&amp;MONTH(G7),47:47)</f>
        <v>0</v>
      </c>
      <c r="I7" s="365"/>
      <c r="J7" s="364">
        <f>SUMIF(46:46,YEAR(I7)&amp;"-"&amp;MONTH(I7),47:47)</f>
        <v>0</v>
      </c>
      <c r="K7" s="559"/>
      <c r="L7" s="2714"/>
      <c r="M7" s="2715"/>
      <c r="N7" s="2715"/>
      <c r="O7" s="2715"/>
      <c r="P7" s="3769" t="s">
        <v>1680</v>
      </c>
      <c r="Q7" s="3771"/>
      <c r="R7" s="700" t="s">
        <v>14</v>
      </c>
      <c r="S7" s="701">
        <f t="shared" ref="S7:S14" si="0">F7</f>
        <v>0</v>
      </c>
      <c r="T7" s="700" t="s">
        <v>14</v>
      </c>
      <c r="U7" s="701">
        <f t="shared" ref="U7:U14" si="1">H7</f>
        <v>0</v>
      </c>
      <c r="V7" s="700" t="s">
        <v>14</v>
      </c>
      <c r="W7" s="701">
        <f t="shared" ref="W7:W14" si="2">J7</f>
        <v>0</v>
      </c>
      <c r="X7" s="702"/>
      <c r="Y7" s="3769" t="s">
        <v>1680</v>
      </c>
      <c r="Z7" s="3770"/>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69" t="s">
        <v>1683</v>
      </c>
      <c r="Q8" s="3770"/>
      <c r="R8" s="700" t="s">
        <v>14</v>
      </c>
      <c r="S8" s="701">
        <f t="shared" si="0"/>
        <v>100</v>
      </c>
      <c r="T8" s="700" t="s">
        <v>14</v>
      </c>
      <c r="U8" s="701">
        <f t="shared" si="1"/>
        <v>100</v>
      </c>
      <c r="V8" s="700" t="s">
        <v>14</v>
      </c>
      <c r="W8" s="701">
        <f t="shared" si="2"/>
        <v>100</v>
      </c>
      <c r="X8" s="702"/>
      <c r="Y8" s="3769" t="s">
        <v>1683</v>
      </c>
      <c r="Z8" s="3770"/>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733" t="s">
        <v>1686</v>
      </c>
      <c r="Q9" s="1341" t="str">
        <f t="shared" ref="Q9:Q14" si="6">B9</f>
        <v>用途</v>
      </c>
      <c r="R9" s="700" t="s">
        <v>14</v>
      </c>
      <c r="S9" s="701">
        <f t="shared" si="0"/>
        <v>100</v>
      </c>
      <c r="T9" s="700" t="s">
        <v>14</v>
      </c>
      <c r="U9" s="701">
        <f t="shared" si="1"/>
        <v>100</v>
      </c>
      <c r="V9" s="700" t="s">
        <v>14</v>
      </c>
      <c r="W9" s="701">
        <f t="shared" si="2"/>
        <v>100</v>
      </c>
      <c r="X9" s="702"/>
      <c r="Y9" s="3589" t="s">
        <v>1687</v>
      </c>
      <c r="Z9" s="51" t="str">
        <f t="shared" ref="Z9:Z14" si="7">Q9</f>
        <v>用途</v>
      </c>
      <c r="AA9" s="703">
        <f t="shared" si="3"/>
        <v>1</v>
      </c>
      <c r="AB9" s="703">
        <f t="shared" si="4"/>
        <v>1</v>
      </c>
      <c r="AC9" s="703">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6"/>
      <c r="M10" s="2717"/>
      <c r="N10" s="2717"/>
      <c r="O10" s="2770"/>
      <c r="P10" s="3733"/>
      <c r="Q10" s="1341" t="str">
        <f t="shared" si="6"/>
        <v>土地使用年限（年）</v>
      </c>
      <c r="R10" s="700" t="s">
        <v>14</v>
      </c>
      <c r="S10" s="701">
        <f t="shared" si="0"/>
        <v>100</v>
      </c>
      <c r="T10" s="700" t="s">
        <v>14</v>
      </c>
      <c r="U10" s="701">
        <f t="shared" si="1"/>
        <v>100</v>
      </c>
      <c r="V10" s="700" t="s">
        <v>14</v>
      </c>
      <c r="W10" s="701">
        <f t="shared" si="2"/>
        <v>100</v>
      </c>
      <c r="X10" s="702"/>
      <c r="Y10" s="3589"/>
      <c r="Z10" s="51"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733"/>
      <c r="Q11" s="1341">
        <f t="shared" si="6"/>
        <v>111</v>
      </c>
      <c r="R11" s="700" t="s">
        <v>14</v>
      </c>
      <c r="S11" s="701">
        <f t="shared" si="0"/>
        <v>100</v>
      </c>
      <c r="T11" s="700" t="s">
        <v>14</v>
      </c>
      <c r="U11" s="701">
        <f t="shared" si="1"/>
        <v>100</v>
      </c>
      <c r="V11" s="700" t="s">
        <v>14</v>
      </c>
      <c r="W11" s="701">
        <f t="shared" si="2"/>
        <v>100</v>
      </c>
      <c r="X11" s="702"/>
      <c r="Y11" s="3589"/>
      <c r="Z11" s="51">
        <f t="shared" si="7"/>
        <v>111</v>
      </c>
      <c r="AA11" s="703">
        <f t="shared" si="3"/>
        <v>1</v>
      </c>
      <c r="AB11" s="703">
        <f t="shared" si="4"/>
        <v>1</v>
      </c>
      <c r="AC11" s="703">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733"/>
      <c r="Q12" s="1341">
        <f t="shared" si="6"/>
        <v>111</v>
      </c>
      <c r="R12" s="700" t="s">
        <v>14</v>
      </c>
      <c r="S12" s="701">
        <f t="shared" si="0"/>
        <v>100</v>
      </c>
      <c r="T12" s="700" t="s">
        <v>14</v>
      </c>
      <c r="U12" s="701">
        <f t="shared" si="1"/>
        <v>100</v>
      </c>
      <c r="V12" s="700" t="s">
        <v>14</v>
      </c>
      <c r="W12" s="701">
        <f t="shared" si="2"/>
        <v>100</v>
      </c>
      <c r="X12" s="702"/>
      <c r="Y12" s="3589"/>
      <c r="Z12" s="51">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733"/>
      <c r="Q13" s="1341">
        <f t="shared" si="6"/>
        <v>111</v>
      </c>
      <c r="R13" s="700" t="s">
        <v>14</v>
      </c>
      <c r="S13" s="701">
        <f t="shared" si="0"/>
        <v>100</v>
      </c>
      <c r="T13" s="700" t="s">
        <v>14</v>
      </c>
      <c r="U13" s="701">
        <f t="shared" si="1"/>
        <v>100</v>
      </c>
      <c r="V13" s="700" t="s">
        <v>14</v>
      </c>
      <c r="W13" s="701">
        <f t="shared" si="2"/>
        <v>100</v>
      </c>
      <c r="X13" s="702"/>
      <c r="Y13" s="3589"/>
      <c r="Z13" s="51">
        <f t="shared" si="7"/>
        <v>111</v>
      </c>
      <c r="AA13" s="703">
        <f t="shared" si="3"/>
        <v>1</v>
      </c>
      <c r="AB13" s="703">
        <f t="shared" si="4"/>
        <v>1</v>
      </c>
      <c r="AC13" s="703">
        <f t="shared" si="5"/>
        <v>1</v>
      </c>
    </row>
    <row r="14" spans="1:29" ht="85.5">
      <c r="A14" s="390" t="s">
        <v>1690</v>
      </c>
      <c r="B14" s="60"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35" t="s">
        <v>1691</v>
      </c>
      <c r="Q14" s="1350" t="str">
        <f t="shared" si="6"/>
        <v>交通便捷度</v>
      </c>
      <c r="R14" s="704" t="s">
        <v>14</v>
      </c>
      <c r="S14" s="705">
        <f t="shared" si="0"/>
        <v>100</v>
      </c>
      <c r="T14" s="704" t="s">
        <v>14</v>
      </c>
      <c r="U14" s="705">
        <f t="shared" si="1"/>
        <v>100</v>
      </c>
      <c r="V14" s="704" t="s">
        <v>14</v>
      </c>
      <c r="W14" s="705">
        <f t="shared" si="2"/>
        <v>100</v>
      </c>
      <c r="X14" s="1353"/>
      <c r="Y14" s="373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9"/>
      <c r="M15" s="2713"/>
      <c r="N15" s="2713"/>
      <c r="O15" s="2771"/>
      <c r="P15" s="3736"/>
      <c r="Q15" s="1350"/>
      <c r="R15" s="704"/>
      <c r="S15" s="705"/>
      <c r="T15" s="704"/>
      <c r="U15" s="705"/>
      <c r="V15" s="704"/>
      <c r="W15" s="705"/>
      <c r="X15" s="1353"/>
      <c r="Y15" s="373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36"/>
      <c r="Q16" s="1350" t="str">
        <f>B16</f>
        <v>公共配套设施</v>
      </c>
      <c r="R16" s="704" t="s">
        <v>14</v>
      </c>
      <c r="S16" s="705">
        <f>F16</f>
        <v>100</v>
      </c>
      <c r="T16" s="704" t="s">
        <v>14</v>
      </c>
      <c r="U16" s="705">
        <f>H16</f>
        <v>100</v>
      </c>
      <c r="V16" s="704" t="s">
        <v>14</v>
      </c>
      <c r="W16" s="705">
        <f>J16</f>
        <v>100</v>
      </c>
      <c r="X16" s="1353"/>
      <c r="Y16" s="373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9"/>
      <c r="M17" s="2713"/>
      <c r="N17" s="2713"/>
      <c r="O17" s="2771"/>
      <c r="P17" s="3736"/>
      <c r="Q17" s="1350"/>
      <c r="R17" s="704"/>
      <c r="S17" s="705"/>
      <c r="T17" s="704"/>
      <c r="U17" s="705"/>
      <c r="V17" s="704"/>
      <c r="W17" s="705"/>
      <c r="X17" s="1353"/>
      <c r="Y17" s="3736"/>
      <c r="Z17" s="1354"/>
      <c r="AA17" s="1351">
        <v>1</v>
      </c>
      <c r="AB17" s="1351">
        <v>1</v>
      </c>
      <c r="AC17" s="1351">
        <v>1</v>
      </c>
    </row>
    <row r="18" spans="1:29" ht="28.5">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36"/>
      <c r="Q18" s="1350" t="str">
        <f>B18</f>
        <v>基础设施水平</v>
      </c>
      <c r="R18" s="704" t="s">
        <v>14</v>
      </c>
      <c r="S18" s="705">
        <f>F18</f>
        <v>100</v>
      </c>
      <c r="T18" s="704" t="s">
        <v>14</v>
      </c>
      <c r="U18" s="705">
        <f>H18</f>
        <v>100</v>
      </c>
      <c r="V18" s="704" t="s">
        <v>14</v>
      </c>
      <c r="W18" s="705">
        <f>J18</f>
        <v>100</v>
      </c>
      <c r="X18" s="1353"/>
      <c r="Y18" s="3736"/>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9"/>
      <c r="M19" s="2713"/>
      <c r="N19" s="2713"/>
      <c r="O19" s="2771"/>
      <c r="P19" s="3736"/>
      <c r="Q19" s="1350"/>
      <c r="R19" s="704"/>
      <c r="S19" s="705"/>
      <c r="T19" s="704"/>
      <c r="U19" s="705"/>
      <c r="V19" s="704"/>
      <c r="W19" s="705"/>
      <c r="X19" s="1353"/>
      <c r="Y19" s="373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36"/>
      <c r="Q20" s="1350" t="str">
        <f>B20</f>
        <v>自然及人文环境</v>
      </c>
      <c r="R20" s="704" t="s">
        <v>14</v>
      </c>
      <c r="S20" s="705">
        <f>F20</f>
        <v>100</v>
      </c>
      <c r="T20" s="704" t="s">
        <v>14</v>
      </c>
      <c r="U20" s="705">
        <f>H20</f>
        <v>100</v>
      </c>
      <c r="V20" s="704" t="s">
        <v>14</v>
      </c>
      <c r="W20" s="705">
        <f>J20</f>
        <v>100</v>
      </c>
      <c r="X20" s="1353"/>
      <c r="Y20" s="373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1"/>
      <c r="P21" s="3736"/>
      <c r="Q21" s="1350"/>
      <c r="R21" s="704"/>
      <c r="S21" s="705"/>
      <c r="T21" s="704"/>
      <c r="U21" s="705"/>
      <c r="V21" s="704"/>
      <c r="W21" s="705"/>
      <c r="X21" s="1353"/>
      <c r="Y21" s="373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36"/>
      <c r="Q22" s="1350" t="str">
        <f>B22</f>
        <v>楼层</v>
      </c>
      <c r="R22" s="704" t="s">
        <v>14</v>
      </c>
      <c r="S22" s="705">
        <f>F22</f>
        <v>100</v>
      </c>
      <c r="T22" s="704" t="s">
        <v>14</v>
      </c>
      <c r="U22" s="705">
        <f>H22</f>
        <v>100</v>
      </c>
      <c r="V22" s="704" t="s">
        <v>14</v>
      </c>
      <c r="W22" s="705">
        <f>J22</f>
        <v>100</v>
      </c>
      <c r="X22" s="1353"/>
      <c r="Y22" s="373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36"/>
      <c r="Q23" s="1350">
        <f>B23</f>
        <v>111</v>
      </c>
      <c r="R23" s="704" t="s">
        <v>14</v>
      </c>
      <c r="S23" s="705">
        <f>F23</f>
        <v>100</v>
      </c>
      <c r="T23" s="704" t="s">
        <v>14</v>
      </c>
      <c r="U23" s="705">
        <f>H23</f>
        <v>100</v>
      </c>
      <c r="V23" s="704" t="s">
        <v>14</v>
      </c>
      <c r="W23" s="705">
        <f>J23</f>
        <v>100</v>
      </c>
      <c r="X23" s="1353"/>
      <c r="Y23" s="373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36"/>
      <c r="Q24" s="1350">
        <f t="shared" ref="Q24:Q34" si="11">B24</f>
        <v>111</v>
      </c>
      <c r="R24" s="704" t="s">
        <v>14</v>
      </c>
      <c r="S24" s="705">
        <f>F24</f>
        <v>100</v>
      </c>
      <c r="T24" s="704" t="s">
        <v>14</v>
      </c>
      <c r="U24" s="705">
        <f>H24</f>
        <v>100</v>
      </c>
      <c r="V24" s="704" t="s">
        <v>14</v>
      </c>
      <c r="W24" s="705">
        <f>J24</f>
        <v>100</v>
      </c>
      <c r="X24" s="1353"/>
      <c r="Y24" s="373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736"/>
      <c r="Q25" s="1341">
        <f t="shared" si="11"/>
        <v>111</v>
      </c>
      <c r="R25" s="700" t="s">
        <v>14</v>
      </c>
      <c r="S25" s="701">
        <f>F25</f>
        <v>100</v>
      </c>
      <c r="T25" s="700" t="s">
        <v>14</v>
      </c>
      <c r="U25" s="701">
        <f>H25</f>
        <v>100</v>
      </c>
      <c r="V25" s="700" t="s">
        <v>14</v>
      </c>
      <c r="W25" s="701">
        <f>J25</f>
        <v>100</v>
      </c>
      <c r="X25" s="702"/>
      <c r="Y25" s="3736"/>
      <c r="Z25" s="51">
        <f>Q25</f>
        <v>111</v>
      </c>
      <c r="AA25" s="1351">
        <f>D25/F25</f>
        <v>1</v>
      </c>
      <c r="AB25" s="1351">
        <f>D25/H25</f>
        <v>1</v>
      </c>
      <c r="AC25" s="1351">
        <f>D25/J25</f>
        <v>1</v>
      </c>
    </row>
    <row r="26" spans="1:29" ht="28.5">
      <c r="A26" s="416" t="s">
        <v>1694</v>
      </c>
      <c r="B26" s="62"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791"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40"/>
      <c r="Q27" s="706" t="str">
        <f t="shared" si="11"/>
        <v>成新率</v>
      </c>
      <c r="R27" s="707" t="s">
        <v>14</v>
      </c>
      <c r="S27" s="708" t="e">
        <f t="shared" si="12"/>
        <v>#N/A</v>
      </c>
      <c r="T27" s="707" t="s">
        <v>14</v>
      </c>
      <c r="U27" s="708" t="e">
        <f t="shared" si="13"/>
        <v>#N/A</v>
      </c>
      <c r="V27" s="707" t="s">
        <v>14</v>
      </c>
      <c r="W27" s="708" t="e">
        <f t="shared" si="14"/>
        <v>#N/A</v>
      </c>
      <c r="X27" s="709"/>
      <c r="Y27" s="3740"/>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40"/>
      <c r="Q28" s="1350" t="str">
        <f t="shared" si="11"/>
        <v>物业等级</v>
      </c>
      <c r="R28" s="704" t="s">
        <v>14</v>
      </c>
      <c r="S28" s="705">
        <f t="shared" si="12"/>
        <v>100</v>
      </c>
      <c r="T28" s="704" t="s">
        <v>14</v>
      </c>
      <c r="U28" s="705">
        <f t="shared" si="13"/>
        <v>100</v>
      </c>
      <c r="V28" s="704" t="s">
        <v>14</v>
      </c>
      <c r="W28" s="705">
        <f t="shared" si="14"/>
        <v>100</v>
      </c>
      <c r="X28" s="1353"/>
      <c r="Y28" s="374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40"/>
      <c r="Q29" s="1350" t="str">
        <f t="shared" si="11"/>
        <v>有无电梯</v>
      </c>
      <c r="R29" s="704" t="s">
        <v>14</v>
      </c>
      <c r="S29" s="705">
        <f t="shared" si="12"/>
        <v>100</v>
      </c>
      <c r="T29" s="704" t="s">
        <v>14</v>
      </c>
      <c r="U29" s="705">
        <f t="shared" si="13"/>
        <v>100</v>
      </c>
      <c r="V29" s="704" t="s">
        <v>14</v>
      </c>
      <c r="W29" s="705">
        <f t="shared" si="14"/>
        <v>100</v>
      </c>
      <c r="X29" s="1353"/>
      <c r="Y29" s="374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40"/>
      <c r="Q30" s="1350" t="str">
        <f t="shared" si="11"/>
        <v>建筑面积</v>
      </c>
      <c r="R30" s="704" t="s">
        <v>14</v>
      </c>
      <c r="S30" s="705" t="e">
        <f t="shared" si="12"/>
        <v>#N/A</v>
      </c>
      <c r="T30" s="704" t="s">
        <v>14</v>
      </c>
      <c r="U30" s="705" t="e">
        <f t="shared" si="13"/>
        <v>#N/A</v>
      </c>
      <c r="V30" s="704" t="s">
        <v>14</v>
      </c>
      <c r="W30" s="705" t="e">
        <f t="shared" si="14"/>
        <v>#N/A</v>
      </c>
      <c r="X30" s="1353"/>
      <c r="Y30" s="374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40"/>
      <c r="Q31" s="1341" t="str">
        <f t="shared" si="11"/>
        <v>是否封闭</v>
      </c>
      <c r="R31" s="700" t="s">
        <v>14</v>
      </c>
      <c r="S31" s="701">
        <f t="shared" si="12"/>
        <v>100</v>
      </c>
      <c r="T31" s="700" t="s">
        <v>14</v>
      </c>
      <c r="U31" s="701">
        <f t="shared" si="13"/>
        <v>100</v>
      </c>
      <c r="V31" s="700" t="s">
        <v>14</v>
      </c>
      <c r="W31" s="701">
        <f t="shared" si="14"/>
        <v>100</v>
      </c>
      <c r="X31" s="702"/>
      <c r="Y31" s="3740"/>
      <c r="Z31" s="51"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40" t="s">
        <v>1696</v>
      </c>
      <c r="Q32" s="1350">
        <f t="shared" si="11"/>
        <v>111</v>
      </c>
      <c r="R32" s="704" t="s">
        <v>14</v>
      </c>
      <c r="S32" s="705">
        <f t="shared" si="12"/>
        <v>100</v>
      </c>
      <c r="T32" s="704" t="s">
        <v>14</v>
      </c>
      <c r="U32" s="705">
        <f t="shared" si="13"/>
        <v>100</v>
      </c>
      <c r="V32" s="704" t="s">
        <v>14</v>
      </c>
      <c r="W32" s="705">
        <f t="shared" si="14"/>
        <v>100</v>
      </c>
      <c r="X32" s="1353"/>
      <c r="Y32" s="374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40"/>
      <c r="Q33" s="1350">
        <f t="shared" si="11"/>
        <v>111</v>
      </c>
      <c r="R33" s="704" t="s">
        <v>14</v>
      </c>
      <c r="S33" s="705">
        <f t="shared" si="12"/>
        <v>100</v>
      </c>
      <c r="T33" s="704" t="s">
        <v>14</v>
      </c>
      <c r="U33" s="705">
        <f t="shared" si="13"/>
        <v>100</v>
      </c>
      <c r="V33" s="704" t="s">
        <v>14</v>
      </c>
      <c r="W33" s="705">
        <f t="shared" si="14"/>
        <v>100</v>
      </c>
      <c r="X33" s="1353"/>
      <c r="Y33" s="374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740"/>
      <c r="Q34" s="1350">
        <f t="shared" si="11"/>
        <v>111</v>
      </c>
      <c r="R34" s="704" t="s">
        <v>14</v>
      </c>
      <c r="S34" s="705">
        <f t="shared" si="12"/>
        <v>100</v>
      </c>
      <c r="T34" s="704" t="s">
        <v>14</v>
      </c>
      <c r="U34" s="705">
        <f t="shared" si="13"/>
        <v>100</v>
      </c>
      <c r="V34" s="704" t="s">
        <v>14</v>
      </c>
      <c r="W34" s="705">
        <f t="shared" si="14"/>
        <v>100</v>
      </c>
      <c r="X34" s="1353"/>
      <c r="Y34" s="3740"/>
      <c r="Z34" s="1354">
        <f t="shared" si="15"/>
        <v>111</v>
      </c>
      <c r="AA34" s="1351">
        <f t="shared" si="3"/>
        <v>1</v>
      </c>
      <c r="AB34" s="1351">
        <f t="shared" si="4"/>
        <v>1</v>
      </c>
      <c r="AC34" s="1351">
        <f t="shared" si="5"/>
        <v>1</v>
      </c>
    </row>
    <row r="35" spans="1:30" ht="15">
      <c r="A35" s="429" t="s">
        <v>1708</v>
      </c>
      <c r="B35" s="430"/>
      <c r="C35" s="1153" t="s">
        <v>0</v>
      </c>
      <c r="D35" s="1154"/>
      <c r="E35" s="1155"/>
      <c r="F35" s="1156"/>
      <c r="G35" s="1157"/>
      <c r="H35" s="1158"/>
      <c r="I35" s="1155"/>
      <c r="J35" s="1158"/>
      <c r="K35" s="713"/>
      <c r="L35" s="2721"/>
      <c r="M35" s="2722"/>
      <c r="N35" s="2713"/>
      <c r="O35" s="2722"/>
      <c r="P35" s="3733" t="str">
        <f>A35</f>
        <v>成交单价（元/平方米）</v>
      </c>
      <c r="Q35" s="3733"/>
      <c r="R35" s="3734">
        <f>E35</f>
        <v>0</v>
      </c>
      <c r="S35" s="3734"/>
      <c r="T35" s="3734">
        <f>G35</f>
        <v>0</v>
      </c>
      <c r="U35" s="3734"/>
      <c r="V35" s="3734">
        <f>I35</f>
        <v>0</v>
      </c>
      <c r="W35" s="3734"/>
      <c r="X35" s="689"/>
      <c r="Y35" s="711"/>
      <c r="Z35" s="689"/>
      <c r="AA35" s="689"/>
      <c r="AB35" s="689"/>
      <c r="AC35" s="689"/>
    </row>
    <row r="36" spans="1:30" ht="15.75" thickBot="1">
      <c r="A36" s="436" t="s">
        <v>1793</v>
      </c>
      <c r="B36" s="437"/>
      <c r="C36" s="1159" t="e">
        <f>R37</f>
        <v>#DIV/0!</v>
      </c>
      <c r="D36" s="2315" t="s">
        <v>2137</v>
      </c>
      <c r="E36" s="1160" t="e">
        <f>R36</f>
        <v>#DIV/0!</v>
      </c>
      <c r="F36" s="2316"/>
      <c r="G36" s="1159" t="e">
        <f>T36</f>
        <v>#DIV/0!</v>
      </c>
      <c r="H36" s="2316"/>
      <c r="I36" s="1160" t="e">
        <f>V36</f>
        <v>#DIV/0!</v>
      </c>
      <c r="J36" s="2316"/>
      <c r="K36" s="2318">
        <f>F36+H36+J36</f>
        <v>0</v>
      </c>
      <c r="L36" s="2721"/>
      <c r="M36" s="2722"/>
      <c r="N36" s="2713"/>
      <c r="O36" s="2722"/>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1"/>
      <c r="M37" s="2722"/>
      <c r="N37" s="2722"/>
      <c r="O37" s="2722"/>
      <c r="P37" s="3730" t="str">
        <f>A37</f>
        <v>估价对象XX用房的比较价值（楼面单价，元/平方米）</v>
      </c>
      <c r="Q37" s="3731"/>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2" t="str">
        <f>YEAR(C7)&amp;"-"&amp;MONTH(C7)</f>
        <v>2024-9</v>
      </c>
      <c r="D46" s="1183">
        <f>EDATE(C46,-1)</f>
        <v>45505</v>
      </c>
      <c r="E46" s="1183">
        <f t="shared" ref="E46:O46" si="16">EDATE(D46,-1)</f>
        <v>45474</v>
      </c>
      <c r="F46" s="1183">
        <f t="shared" si="16"/>
        <v>45444</v>
      </c>
      <c r="G46" s="1183">
        <f t="shared" si="16"/>
        <v>45413</v>
      </c>
      <c r="H46" s="1183">
        <f t="shared" si="16"/>
        <v>45383</v>
      </c>
      <c r="I46" s="1183">
        <f t="shared" si="16"/>
        <v>45352</v>
      </c>
      <c r="J46" s="1183">
        <f t="shared" si="16"/>
        <v>45323</v>
      </c>
      <c r="K46" s="1183">
        <f t="shared" si="16"/>
        <v>45292</v>
      </c>
      <c r="L46" s="1183">
        <f t="shared" si="16"/>
        <v>45261</v>
      </c>
      <c r="M46" s="1183">
        <f t="shared" si="16"/>
        <v>45231</v>
      </c>
      <c r="N46" s="1183">
        <f t="shared" si="16"/>
        <v>45200</v>
      </c>
      <c r="O46" s="1183">
        <f t="shared" si="16"/>
        <v>45170</v>
      </c>
      <c r="P46" s="2773"/>
      <c r="Q46" s="2738"/>
      <c r="R46" s="2738"/>
      <c r="S46" s="2738"/>
      <c r="T46" s="2738"/>
      <c r="U46" s="2738"/>
      <c r="V46" s="2738"/>
      <c r="W46" s="2738"/>
      <c r="X46" s="2738"/>
      <c r="Y46" s="2738"/>
      <c r="Z46" s="2738"/>
      <c r="AA46" s="2738"/>
      <c r="AB46" s="2738"/>
      <c r="AC46" s="2738"/>
      <c r="AD46" s="2738"/>
    </row>
    <row r="47" spans="1:30" s="107" customFormat="1" ht="15">
      <c r="A47" s="457"/>
      <c r="B47" s="458"/>
      <c r="C47" s="1181">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90" zoomScaleNormal="60" zoomScaleSheetLayoutView="90" workbookViewId="0">
      <selection activeCell="E15" sqref="E15"/>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f>F65</f>
        <v>6086</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f>ROUND(IF(D3="",B2*10000/'数据-汇总表'!E3,B2*10000/D3),0)</f>
        <v>1810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48" t="s">
        <v>1770</v>
      </c>
      <c r="D4" s="3749"/>
      <c r="E4" s="3750" t="s">
        <v>1771</v>
      </c>
      <c r="F4" s="3751"/>
      <c r="G4" s="3748" t="s">
        <v>1772</v>
      </c>
      <c r="H4" s="3749"/>
      <c r="I4" s="3748" t="s">
        <v>1773</v>
      </c>
      <c r="J4" s="3749"/>
      <c r="K4" s="558" t="s">
        <v>1774</v>
      </c>
      <c r="L4" s="2712"/>
      <c r="M4" s="2713"/>
      <c r="N4" s="2713"/>
      <c r="O4" s="2713"/>
      <c r="P4" s="3752" t="s">
        <v>1775</v>
      </c>
      <c r="Q4" s="3753"/>
      <c r="R4" s="3758" t="s">
        <v>1771</v>
      </c>
      <c r="S4" s="3759"/>
      <c r="T4" s="3758" t="s">
        <v>1772</v>
      </c>
      <c r="U4" s="3759"/>
      <c r="V4" s="3764" t="s">
        <v>1773</v>
      </c>
      <c r="W4" s="3764"/>
      <c r="X4" s="1353"/>
      <c r="Y4" s="3758" t="s">
        <v>1775</v>
      </c>
      <c r="Z4" s="3759"/>
      <c r="AA4" s="3745" t="s">
        <v>1771</v>
      </c>
      <c r="AB4" s="3746" t="s">
        <v>1772</v>
      </c>
      <c r="AC4" s="3745" t="s">
        <v>1773</v>
      </c>
    </row>
    <row r="5" spans="1:30" ht="15">
      <c r="A5" s="357"/>
      <c r="B5" s="358"/>
      <c r="C5" s="3767" t="s">
        <v>1673</v>
      </c>
      <c r="D5" s="3768"/>
      <c r="E5" s="3774" t="s">
        <v>1674</v>
      </c>
      <c r="F5" s="3775"/>
      <c r="G5" s="3767" t="s">
        <v>1675</v>
      </c>
      <c r="H5" s="3768"/>
      <c r="I5" s="3767" t="s">
        <v>1676</v>
      </c>
      <c r="J5" s="3768"/>
      <c r="K5" s="558"/>
      <c r="L5" s="2712"/>
      <c r="M5" s="2713"/>
      <c r="N5" s="2713"/>
      <c r="O5" s="2713"/>
      <c r="P5" s="3754"/>
      <c r="Q5" s="3755"/>
      <c r="R5" s="3760"/>
      <c r="S5" s="3761"/>
      <c r="T5" s="3760"/>
      <c r="U5" s="3761"/>
      <c r="V5" s="3764"/>
      <c r="W5" s="3764"/>
      <c r="X5" s="1353"/>
      <c r="Y5" s="3760"/>
      <c r="Z5" s="3761"/>
      <c r="AA5" s="3746"/>
      <c r="AB5" s="3746"/>
      <c r="AC5" s="3746"/>
    </row>
    <row r="6" spans="1:30" ht="15.75" thickBot="1">
      <c r="A6" s="359"/>
      <c r="B6" s="360"/>
      <c r="C6" s="3765" t="s">
        <v>1677</v>
      </c>
      <c r="D6" s="3766"/>
      <c r="E6" s="3772" t="s">
        <v>1677</v>
      </c>
      <c r="F6" s="3773"/>
      <c r="G6" s="3765" t="s">
        <v>1677</v>
      </c>
      <c r="H6" s="3766"/>
      <c r="I6" s="3765" t="s">
        <v>1677</v>
      </c>
      <c r="J6" s="3766"/>
      <c r="K6" s="558" t="s">
        <v>1678</v>
      </c>
      <c r="L6" s="2712"/>
      <c r="M6" s="2713"/>
      <c r="N6" s="2713"/>
      <c r="O6" s="2713"/>
      <c r="P6" s="3756"/>
      <c r="Q6" s="3757"/>
      <c r="R6" s="3760"/>
      <c r="S6" s="3761"/>
      <c r="T6" s="3762"/>
      <c r="U6" s="3763"/>
      <c r="V6" s="3764"/>
      <c r="W6" s="3764"/>
      <c r="X6" s="1353"/>
      <c r="Y6" s="3762"/>
      <c r="Z6" s="3763"/>
      <c r="AA6" s="3747"/>
      <c r="AB6" s="3747"/>
      <c r="AC6" s="3747"/>
    </row>
    <row r="7" spans="1:30" s="107" customFormat="1" ht="15.75" thickBot="1">
      <c r="A7" s="361" t="s">
        <v>1679</v>
      </c>
      <c r="B7" s="362"/>
      <c r="C7" s="363">
        <f>'数据-取费表'!B2</f>
        <v>45565</v>
      </c>
      <c r="D7" s="364">
        <v>100</v>
      </c>
      <c r="E7" s="365">
        <v>44927</v>
      </c>
      <c r="F7" s="366">
        <f>SUMIF(69:69,YEAR(E7)&amp;"-"&amp;INT((MONTH(E7)+2)/3),70:70)</f>
        <v>98.799999999999983</v>
      </c>
      <c r="G7" s="1972">
        <v>45292</v>
      </c>
      <c r="H7" s="364">
        <f>SUMIF(69:69,YEAR(G7)&amp;"-"&amp;INT((MONTH(G7)+2)/3),70:70)</f>
        <v>99.6</v>
      </c>
      <c r="I7" s="1972">
        <v>44927</v>
      </c>
      <c r="J7" s="364">
        <f>SUMIF(69:69,YEAR(I7)&amp;"-"&amp;INT((MONTH(I7)+2)/3),70:70)</f>
        <v>98.799999999999983</v>
      </c>
      <c r="K7" s="559"/>
      <c r="L7" s="2714"/>
      <c r="M7" s="2715"/>
      <c r="N7" s="2715"/>
      <c r="O7" s="2715"/>
      <c r="P7" s="3769" t="s">
        <v>1680</v>
      </c>
      <c r="Q7" s="3771"/>
      <c r="R7" s="700" t="s">
        <v>14</v>
      </c>
      <c r="S7" s="701">
        <f t="shared" ref="S7:S15" si="0">F7</f>
        <v>98.799999999999983</v>
      </c>
      <c r="T7" s="700" t="s">
        <v>14</v>
      </c>
      <c r="U7" s="701">
        <f t="shared" ref="U7:U15" si="1">H7</f>
        <v>99.6</v>
      </c>
      <c r="V7" s="700" t="s">
        <v>14</v>
      </c>
      <c r="W7" s="701">
        <f t="shared" ref="W7:W15" si="2">J7</f>
        <v>98.799999999999983</v>
      </c>
      <c r="X7" s="702"/>
      <c r="Y7" s="3769" t="s">
        <v>1680</v>
      </c>
      <c r="Z7" s="3770"/>
      <c r="AA7" s="703">
        <f>D7/F7</f>
        <v>1.0121457489878545</v>
      </c>
      <c r="AB7" s="703">
        <f>D7/H7</f>
        <v>1.0040160642570282</v>
      </c>
      <c r="AC7" s="703">
        <f>D7/J7</f>
        <v>1.0121457489878545</v>
      </c>
    </row>
    <row r="8" spans="1:30" s="107"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14"/>
      <c r="M8" s="2715"/>
      <c r="N8" s="2715"/>
      <c r="O8" s="2715"/>
      <c r="P8" s="3769" t="s">
        <v>1683</v>
      </c>
      <c r="Q8" s="3770"/>
      <c r="R8" s="700" t="s">
        <v>14</v>
      </c>
      <c r="S8" s="701">
        <f t="shared" si="0"/>
        <v>100</v>
      </c>
      <c r="T8" s="700" t="s">
        <v>14</v>
      </c>
      <c r="U8" s="701">
        <f t="shared" si="1"/>
        <v>100</v>
      </c>
      <c r="V8" s="700" t="s">
        <v>14</v>
      </c>
      <c r="W8" s="701">
        <f t="shared" si="2"/>
        <v>100</v>
      </c>
      <c r="X8" s="702"/>
      <c r="Y8" s="3769" t="s">
        <v>1683</v>
      </c>
      <c r="Z8" s="3770"/>
      <c r="AA8" s="703">
        <f t="shared" ref="AA8:AA45" si="3">D8/F8</f>
        <v>1</v>
      </c>
      <c r="AB8" s="703">
        <f t="shared" ref="AB8:AB45" si="4">D8/H8</f>
        <v>1</v>
      </c>
      <c r="AC8" s="703">
        <f t="shared" ref="AC8:AC45" si="5">D8/J8</f>
        <v>1</v>
      </c>
    </row>
    <row r="9" spans="1:30" s="107" customFormat="1" ht="15">
      <c r="A9" s="368" t="s">
        <v>1684</v>
      </c>
      <c r="B9" s="62" t="s">
        <v>1685</v>
      </c>
      <c r="C9" s="1975" t="s">
        <v>2438</v>
      </c>
      <c r="D9" s="125">
        <v>100</v>
      </c>
      <c r="E9" s="1975" t="s">
        <v>673</v>
      </c>
      <c r="F9" s="125">
        <f>SUMIF(74:74,E9,75:75)-SUMIF(74:74,C9,75:75)+100</f>
        <v>110</v>
      </c>
      <c r="G9" s="1975" t="s">
        <v>673</v>
      </c>
      <c r="H9" s="125">
        <f>SUMIF(74:74,G9,75:75)-SUMIF(74:74,C9,75:75)+100</f>
        <v>110</v>
      </c>
      <c r="I9" s="1975" t="s">
        <v>673</v>
      </c>
      <c r="J9" s="125">
        <f>SUMIF(74:74,I9,75:75)-SUMIF(74:74,C9,75:75)+100</f>
        <v>110</v>
      </c>
      <c r="K9" s="559"/>
      <c r="L9" s="2714"/>
      <c r="M9" s="2715"/>
      <c r="N9" s="2715"/>
      <c r="O9" s="2769"/>
      <c r="P9" s="3733" t="s">
        <v>1686</v>
      </c>
      <c r="Q9" s="1341" t="str">
        <f t="shared" ref="Q9:Q15" si="6">B9</f>
        <v>用途</v>
      </c>
      <c r="R9" s="700" t="s">
        <v>14</v>
      </c>
      <c r="S9" s="701">
        <f t="shared" si="0"/>
        <v>110</v>
      </c>
      <c r="T9" s="700" t="s">
        <v>14</v>
      </c>
      <c r="U9" s="701">
        <f t="shared" si="1"/>
        <v>110</v>
      </c>
      <c r="V9" s="700" t="s">
        <v>14</v>
      </c>
      <c r="W9" s="701">
        <f t="shared" si="2"/>
        <v>110</v>
      </c>
      <c r="X9" s="702"/>
      <c r="Y9" s="3589" t="s">
        <v>1687</v>
      </c>
      <c r="Z9" s="51" t="str">
        <f t="shared" ref="Z9:Z15" si="7">Q9</f>
        <v>用途</v>
      </c>
      <c r="AA9" s="703">
        <f t="shared" si="3"/>
        <v>0.90909090909090906</v>
      </c>
      <c r="AB9" s="703">
        <f t="shared" si="4"/>
        <v>0.90909090909090906</v>
      </c>
      <c r="AC9" s="703">
        <f t="shared" si="5"/>
        <v>0.90909090909090906</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6"/>
      <c r="M10" s="2717"/>
      <c r="N10" s="2717"/>
      <c r="O10" s="2770"/>
      <c r="P10" s="3733"/>
      <c r="Q10" s="1341" t="str">
        <f t="shared" si="6"/>
        <v>土地使用年限（年）</v>
      </c>
      <c r="R10" s="700" t="s">
        <v>14</v>
      </c>
      <c r="S10" s="701">
        <f t="shared" si="0"/>
        <v>107</v>
      </c>
      <c r="T10" s="700" t="s">
        <v>14</v>
      </c>
      <c r="U10" s="701">
        <f t="shared" si="1"/>
        <v>107</v>
      </c>
      <c r="V10" s="700" t="s">
        <v>14</v>
      </c>
      <c r="W10" s="701">
        <f t="shared" si="2"/>
        <v>107</v>
      </c>
      <c r="X10" s="702"/>
      <c r="Y10" s="3589"/>
      <c r="Z10" s="51" t="str">
        <f t="shared" si="7"/>
        <v>土地使用年限（年）</v>
      </c>
      <c r="AA10" s="703">
        <f t="shared" si="3"/>
        <v>0.93457943925233644</v>
      </c>
      <c r="AB10" s="703">
        <f t="shared" si="4"/>
        <v>0.93457943925233644</v>
      </c>
      <c r="AC10" s="703">
        <f t="shared" si="5"/>
        <v>0.93457943925233644</v>
      </c>
    </row>
    <row r="11" spans="1:30" ht="15">
      <c r="A11" s="378"/>
      <c r="B11" s="374" t="s">
        <v>1689</v>
      </c>
      <c r="C11" s="379"/>
      <c r="D11" s="126">
        <v>100</v>
      </c>
      <c r="E11" s="379"/>
      <c r="F11" s="126">
        <f>LOOKUP(E11,79:79,80:80)-LOOKUP(C11,79:79,80:80)+100</f>
        <v>100</v>
      </c>
      <c r="G11" s="380"/>
      <c r="H11" s="126">
        <f>LOOKUP(G11,79:79,80:80)-LOOKUP(C11,79:79,80:80)+100</f>
        <v>100</v>
      </c>
      <c r="I11" s="379"/>
      <c r="J11" s="126">
        <f>LOOKUP(I11,79:79,80:80)-LOOKUP(C11,79:79,80:80)+100</f>
        <v>100</v>
      </c>
      <c r="K11" s="620"/>
      <c r="L11" s="2718"/>
      <c r="M11" s="2713"/>
      <c r="N11" s="2713"/>
      <c r="O11" s="2771"/>
      <c r="P11" s="3733"/>
      <c r="Q11" s="1341" t="str">
        <f t="shared" si="6"/>
        <v>容积率</v>
      </c>
      <c r="R11" s="700" t="s">
        <v>14</v>
      </c>
      <c r="S11" s="701">
        <f t="shared" si="0"/>
        <v>100</v>
      </c>
      <c r="T11" s="700" t="s">
        <v>14</v>
      </c>
      <c r="U11" s="701">
        <f t="shared" si="1"/>
        <v>100</v>
      </c>
      <c r="V11" s="700" t="s">
        <v>14</v>
      </c>
      <c r="W11" s="701">
        <f t="shared" si="2"/>
        <v>100</v>
      </c>
      <c r="X11" s="702"/>
      <c r="Y11" s="3589"/>
      <c r="Z11" s="51" t="str">
        <f t="shared" si="7"/>
        <v>容积率</v>
      </c>
      <c r="AA11" s="703">
        <f t="shared" si="3"/>
        <v>1</v>
      </c>
      <c r="AB11" s="703">
        <f t="shared" si="4"/>
        <v>1</v>
      </c>
      <c r="AC11" s="703">
        <f t="shared" si="5"/>
        <v>1</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733"/>
      <c r="Q12" s="1341" t="str">
        <f t="shared" si="6"/>
        <v>配建</v>
      </c>
      <c r="R12" s="700" t="s">
        <v>14</v>
      </c>
      <c r="S12" s="701">
        <f t="shared" si="0"/>
        <v>100</v>
      </c>
      <c r="T12" s="700" t="s">
        <v>14</v>
      </c>
      <c r="U12" s="701">
        <f t="shared" si="1"/>
        <v>100</v>
      </c>
      <c r="V12" s="700" t="s">
        <v>14</v>
      </c>
      <c r="W12" s="701">
        <f t="shared" si="2"/>
        <v>100</v>
      </c>
      <c r="X12" s="702"/>
      <c r="Y12" s="3589"/>
      <c r="Z12" s="51" t="str">
        <f t="shared" si="7"/>
        <v>配建</v>
      </c>
      <c r="AA12" s="703">
        <f>D12/F12</f>
        <v>1</v>
      </c>
      <c r="AB12" s="703">
        <f>D12/H12</f>
        <v>1</v>
      </c>
      <c r="AC12" s="703">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733"/>
      <c r="Q13" s="1341">
        <f t="shared" si="6"/>
        <v>111</v>
      </c>
      <c r="R13" s="700" t="s">
        <v>14</v>
      </c>
      <c r="S13" s="701">
        <f t="shared" si="0"/>
        <v>100</v>
      </c>
      <c r="T13" s="700" t="s">
        <v>14</v>
      </c>
      <c r="U13" s="701">
        <f t="shared" si="1"/>
        <v>100</v>
      </c>
      <c r="V13" s="700" t="s">
        <v>14</v>
      </c>
      <c r="W13" s="701">
        <f t="shared" si="2"/>
        <v>100</v>
      </c>
      <c r="X13" s="702"/>
      <c r="Y13" s="3589"/>
      <c r="Z13" s="51">
        <f t="shared" si="7"/>
        <v>111</v>
      </c>
      <c r="AA13" s="703">
        <f>D13/F13</f>
        <v>1</v>
      </c>
      <c r="AB13" s="703">
        <f>D13/H13</f>
        <v>1</v>
      </c>
      <c r="AC13" s="703">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33"/>
      <c r="Q14" s="1341">
        <f t="shared" si="6"/>
        <v>111</v>
      </c>
      <c r="R14" s="700" t="s">
        <v>14</v>
      </c>
      <c r="S14" s="701">
        <f t="shared" si="0"/>
        <v>100</v>
      </c>
      <c r="T14" s="700" t="s">
        <v>14</v>
      </c>
      <c r="U14" s="701">
        <f t="shared" si="1"/>
        <v>100</v>
      </c>
      <c r="V14" s="700" t="s">
        <v>14</v>
      </c>
      <c r="W14" s="701">
        <f t="shared" si="2"/>
        <v>100</v>
      </c>
      <c r="X14" s="702"/>
      <c r="Y14" s="3589"/>
      <c r="Z14" s="51">
        <f t="shared" si="7"/>
        <v>111</v>
      </c>
      <c r="AA14" s="703">
        <f>D14/F14</f>
        <v>1</v>
      </c>
      <c r="AB14" s="703">
        <f>D14/H14</f>
        <v>1</v>
      </c>
      <c r="AC14" s="703">
        <f>D14/J14</f>
        <v>1</v>
      </c>
    </row>
    <row r="15" spans="1:30" ht="99.75">
      <c r="A15" s="390" t="s">
        <v>1690</v>
      </c>
      <c r="B15" s="60"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35" t="s">
        <v>1691</v>
      </c>
      <c r="Q15" s="1350" t="str">
        <f t="shared" si="6"/>
        <v>居住社区成熟度</v>
      </c>
      <c r="R15" s="704" t="s">
        <v>14</v>
      </c>
      <c r="S15" s="705">
        <f t="shared" si="0"/>
        <v>100</v>
      </c>
      <c r="T15" s="704" t="s">
        <v>14</v>
      </c>
      <c r="U15" s="705">
        <f t="shared" si="1"/>
        <v>100</v>
      </c>
      <c r="V15" s="704" t="s">
        <v>14</v>
      </c>
      <c r="W15" s="705">
        <f t="shared" si="2"/>
        <v>100</v>
      </c>
      <c r="X15" s="1353"/>
      <c r="Y15" s="373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9"/>
      <c r="M16" s="2713"/>
      <c r="N16" s="2713"/>
      <c r="O16" s="2771"/>
      <c r="P16" s="3736"/>
      <c r="Q16" s="1350"/>
      <c r="R16" s="704"/>
      <c r="S16" s="705"/>
      <c r="T16" s="704"/>
      <c r="U16" s="705"/>
      <c r="V16" s="704"/>
      <c r="W16" s="705"/>
      <c r="X16" s="1353"/>
      <c r="Y16" s="373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36"/>
      <c r="Q17" s="1350" t="str">
        <f>B17</f>
        <v>商业繁华度</v>
      </c>
      <c r="R17" s="704" t="s">
        <v>14</v>
      </c>
      <c r="S17" s="705">
        <f>F17</f>
        <v>100</v>
      </c>
      <c r="T17" s="704" t="s">
        <v>14</v>
      </c>
      <c r="U17" s="705">
        <f>H17</f>
        <v>100</v>
      </c>
      <c r="V17" s="704" t="s">
        <v>14</v>
      </c>
      <c r="W17" s="705">
        <f>J17</f>
        <v>100</v>
      </c>
      <c r="X17" s="1353"/>
      <c r="Y17" s="373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9"/>
      <c r="M18" s="2713"/>
      <c r="N18" s="2713"/>
      <c r="O18" s="2771"/>
      <c r="P18" s="3736"/>
      <c r="Q18" s="1350"/>
      <c r="R18" s="704"/>
      <c r="S18" s="705"/>
      <c r="T18" s="704"/>
      <c r="U18" s="705"/>
      <c r="V18" s="704"/>
      <c r="W18" s="705"/>
      <c r="X18" s="1353"/>
      <c r="Y18" s="373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36"/>
      <c r="Q19" s="1350" t="str">
        <f>B19</f>
        <v>办公集聚程度</v>
      </c>
      <c r="R19" s="704" t="s">
        <v>14</v>
      </c>
      <c r="S19" s="705">
        <f>F19</f>
        <v>100</v>
      </c>
      <c r="T19" s="704" t="s">
        <v>14</v>
      </c>
      <c r="U19" s="705">
        <f>H19</f>
        <v>100</v>
      </c>
      <c r="V19" s="704" t="s">
        <v>14</v>
      </c>
      <c r="W19" s="705">
        <f>J19</f>
        <v>100</v>
      </c>
      <c r="X19" s="1353"/>
      <c r="Y19" s="373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9"/>
      <c r="M20" s="2713"/>
      <c r="N20" s="2713"/>
      <c r="O20" s="2771"/>
      <c r="P20" s="3736"/>
      <c r="Q20" s="1350"/>
      <c r="R20" s="704"/>
      <c r="S20" s="705"/>
      <c r="T20" s="704"/>
      <c r="U20" s="705"/>
      <c r="V20" s="704"/>
      <c r="W20" s="705"/>
      <c r="X20" s="1353"/>
      <c r="Y20" s="373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36"/>
      <c r="Q21" s="1350" t="str">
        <f>B21</f>
        <v>交通便捷度</v>
      </c>
      <c r="R21" s="704" t="s">
        <v>14</v>
      </c>
      <c r="S21" s="705">
        <f>F21</f>
        <v>100</v>
      </c>
      <c r="T21" s="704" t="s">
        <v>14</v>
      </c>
      <c r="U21" s="705">
        <f>H21</f>
        <v>100</v>
      </c>
      <c r="V21" s="704" t="s">
        <v>14</v>
      </c>
      <c r="W21" s="705">
        <f>J21</f>
        <v>100</v>
      </c>
      <c r="X21" s="1353"/>
      <c r="Y21" s="3736"/>
      <c r="Z21" s="1354" t="str">
        <f>Q21</f>
        <v>交通便捷度</v>
      </c>
      <c r="AA21" s="1351">
        <f t="shared" si="3"/>
        <v>1</v>
      </c>
      <c r="AB21" s="1351">
        <f t="shared" si="4"/>
        <v>1</v>
      </c>
      <c r="AC21" s="1351">
        <f t="shared" si="5"/>
        <v>1</v>
      </c>
    </row>
    <row r="22" spans="1:29" ht="15">
      <c r="A22" s="378"/>
      <c r="B22" s="1130"/>
      <c r="C22" s="397"/>
      <c r="D22" s="400"/>
      <c r="E22" s="1896"/>
      <c r="F22" s="398"/>
      <c r="G22" s="1896"/>
      <c r="H22" s="398"/>
      <c r="I22" s="1895"/>
      <c r="J22" s="398"/>
      <c r="K22" s="619"/>
      <c r="L22" s="2719"/>
      <c r="M22" s="2713"/>
      <c r="N22" s="2713"/>
      <c r="O22" s="2771"/>
      <c r="P22" s="3736"/>
      <c r="Q22" s="1350"/>
      <c r="R22" s="704"/>
      <c r="S22" s="705"/>
      <c r="T22" s="704"/>
      <c r="U22" s="705"/>
      <c r="V22" s="704"/>
      <c r="W22" s="705"/>
      <c r="X22" s="1353"/>
      <c r="Y22" s="3736"/>
      <c r="Z22" s="1354"/>
      <c r="AA22" s="1351">
        <v>1</v>
      </c>
      <c r="AB22" s="1351">
        <v>1</v>
      </c>
      <c r="AC22" s="1351">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36"/>
      <c r="Q23" s="1350" t="str">
        <f t="shared" ref="Q23:Q37" si="8">B23</f>
        <v>区域土地利用方向</v>
      </c>
      <c r="R23" s="704" t="s">
        <v>14</v>
      </c>
      <c r="S23" s="705">
        <f>F23</f>
        <v>100</v>
      </c>
      <c r="T23" s="704" t="s">
        <v>14</v>
      </c>
      <c r="U23" s="705">
        <f>H23</f>
        <v>100</v>
      </c>
      <c r="V23" s="704" t="s">
        <v>14</v>
      </c>
      <c r="W23" s="705">
        <f>J23</f>
        <v>100</v>
      </c>
      <c r="X23" s="1353"/>
      <c r="Y23" s="373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9"/>
      <c r="L24" s="2719"/>
      <c r="M24" s="2713"/>
      <c r="N24" s="2713"/>
      <c r="O24" s="2771"/>
      <c r="P24" s="3736"/>
      <c r="Q24" s="1350"/>
      <c r="R24" s="704"/>
      <c r="S24" s="705"/>
      <c r="T24" s="704"/>
      <c r="U24" s="705"/>
      <c r="V24" s="704"/>
      <c r="W24" s="705"/>
      <c r="X24" s="1353"/>
      <c r="Y24" s="3736"/>
      <c r="Z24" s="1354"/>
      <c r="AA24" s="1351"/>
      <c r="AB24" s="1351"/>
      <c r="AC24" s="1351"/>
    </row>
    <row r="25" spans="1:29" ht="57">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36"/>
      <c r="Q25" s="1350" t="str">
        <f t="shared" si="8"/>
        <v>自然及人文环境状况</v>
      </c>
      <c r="R25" s="704" t="s">
        <v>14</v>
      </c>
      <c r="S25" s="705">
        <f>F25</f>
        <v>100</v>
      </c>
      <c r="T25" s="704" t="s">
        <v>14</v>
      </c>
      <c r="U25" s="705">
        <f>H25</f>
        <v>100</v>
      </c>
      <c r="V25" s="704" t="s">
        <v>14</v>
      </c>
      <c r="W25" s="705">
        <f>J25</f>
        <v>100</v>
      </c>
      <c r="X25" s="1353"/>
      <c r="Y25" s="373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1"/>
      <c r="P26" s="3736"/>
      <c r="Q26" s="1350"/>
      <c r="R26" s="704"/>
      <c r="S26" s="705"/>
      <c r="T26" s="704"/>
      <c r="U26" s="705"/>
      <c r="V26" s="704"/>
      <c r="W26" s="705"/>
      <c r="X26" s="1353"/>
      <c r="Y26" s="3736"/>
      <c r="Z26" s="1354"/>
      <c r="AA26" s="1351">
        <v>1</v>
      </c>
      <c r="AB26" s="1351">
        <v>1</v>
      </c>
      <c r="AC26" s="1351">
        <v>1</v>
      </c>
    </row>
    <row r="27" spans="1:29" s="107" customFormat="1" ht="42.75">
      <c r="A27" s="596"/>
      <c r="B27" s="1130"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36"/>
      <c r="Q27" s="1341" t="str">
        <f t="shared" si="8"/>
        <v>公共配套设施</v>
      </c>
      <c r="R27" s="700" t="s">
        <v>14</v>
      </c>
      <c r="S27" s="701">
        <f>F27</f>
        <v>100</v>
      </c>
      <c r="T27" s="700" t="s">
        <v>14</v>
      </c>
      <c r="U27" s="701">
        <f>H27</f>
        <v>100</v>
      </c>
      <c r="V27" s="700" t="s">
        <v>14</v>
      </c>
      <c r="W27" s="701">
        <f>J27</f>
        <v>100</v>
      </c>
      <c r="X27" s="702"/>
      <c r="Y27" s="3736"/>
      <c r="Z27" s="51"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4"/>
      <c r="M28" s="2715"/>
      <c r="N28" s="2715"/>
      <c r="O28" s="2769"/>
      <c r="P28" s="3736"/>
      <c r="Q28" s="1341"/>
      <c r="R28" s="700"/>
      <c r="S28" s="701"/>
      <c r="T28" s="700"/>
      <c r="U28" s="701"/>
      <c r="V28" s="700"/>
      <c r="W28" s="701"/>
      <c r="X28" s="702"/>
      <c r="Y28" s="3736"/>
      <c r="Z28" s="51"/>
      <c r="AA28" s="1351">
        <v>1</v>
      </c>
      <c r="AB28" s="1351">
        <v>1</v>
      </c>
      <c r="AC28" s="1351">
        <v>1</v>
      </c>
    </row>
    <row r="29" spans="1:29" s="107" customFormat="1" ht="28.5">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36"/>
      <c r="Q29" s="1341" t="str">
        <f t="shared" ref="Q29" si="9">B29</f>
        <v>基础设施水平</v>
      </c>
      <c r="R29" s="700" t="s">
        <v>14</v>
      </c>
      <c r="S29" s="701">
        <f>F29</f>
        <v>100</v>
      </c>
      <c r="T29" s="700" t="s">
        <v>14</v>
      </c>
      <c r="U29" s="701">
        <f>H29</f>
        <v>100</v>
      </c>
      <c r="V29" s="700" t="s">
        <v>14</v>
      </c>
      <c r="W29" s="701">
        <f>J29</f>
        <v>100</v>
      </c>
      <c r="X29" s="702"/>
      <c r="Y29" s="3736"/>
      <c r="Z29" s="51"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4"/>
      <c r="M30" s="2715"/>
      <c r="N30" s="2715"/>
      <c r="O30" s="2769"/>
      <c r="P30" s="3736"/>
      <c r="Q30" s="1341"/>
      <c r="R30" s="700"/>
      <c r="S30" s="701"/>
      <c r="T30" s="700"/>
      <c r="U30" s="701"/>
      <c r="V30" s="700"/>
      <c r="W30" s="701"/>
      <c r="X30" s="702"/>
      <c r="Y30" s="3736"/>
      <c r="Z30" s="51"/>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36"/>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36"/>
      <c r="Z31" s="1354" t="str">
        <f t="shared" ref="Z31:Z45" si="13">Q31</f>
        <v>临街状况</v>
      </c>
      <c r="AA31" s="1351">
        <f t="shared" si="3"/>
        <v>1</v>
      </c>
      <c r="AB31" s="1351">
        <f t="shared" si="4"/>
        <v>1</v>
      </c>
      <c r="AC31" s="1351">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36"/>
      <c r="Q32" s="1350" t="str">
        <f t="shared" si="8"/>
        <v>毗邻道路的类型与等级</v>
      </c>
      <c r="R32" s="704" t="s">
        <v>14</v>
      </c>
      <c r="S32" s="705">
        <f t="shared" si="10"/>
        <v>100</v>
      </c>
      <c r="T32" s="704" t="s">
        <v>14</v>
      </c>
      <c r="U32" s="705">
        <f t="shared" si="11"/>
        <v>100</v>
      </c>
      <c r="V32" s="704" t="s">
        <v>14</v>
      </c>
      <c r="W32" s="705">
        <f t="shared" si="12"/>
        <v>100</v>
      </c>
      <c r="X32" s="1353"/>
      <c r="Y32" s="373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1"/>
      <c r="P33" s="3736"/>
      <c r="Q33" s="1350"/>
      <c r="R33" s="704"/>
      <c r="S33" s="705"/>
      <c r="T33" s="704"/>
      <c r="U33" s="705"/>
      <c r="V33" s="704"/>
      <c r="W33" s="705"/>
      <c r="X33" s="1353"/>
      <c r="Y33" s="373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36"/>
      <c r="Q34" s="1350" t="str">
        <f t="shared" si="8"/>
        <v>土地级别</v>
      </c>
      <c r="R34" s="704" t="s">
        <v>14</v>
      </c>
      <c r="S34" s="705">
        <f t="shared" si="10"/>
        <v>100</v>
      </c>
      <c r="T34" s="704" t="s">
        <v>14</v>
      </c>
      <c r="U34" s="705">
        <f t="shared" si="11"/>
        <v>100</v>
      </c>
      <c r="V34" s="704" t="s">
        <v>14</v>
      </c>
      <c r="W34" s="705">
        <f t="shared" si="12"/>
        <v>100</v>
      </c>
      <c r="X34" s="1353"/>
      <c r="Y34" s="3736"/>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36"/>
      <c r="Q35" s="1350">
        <f t="shared" si="8"/>
        <v>111</v>
      </c>
      <c r="R35" s="704" t="s">
        <v>14</v>
      </c>
      <c r="S35" s="705">
        <f t="shared" si="10"/>
        <v>100</v>
      </c>
      <c r="T35" s="704" t="s">
        <v>14</v>
      </c>
      <c r="U35" s="705">
        <f t="shared" si="11"/>
        <v>100</v>
      </c>
      <c r="V35" s="704" t="s">
        <v>14</v>
      </c>
      <c r="W35" s="705">
        <f t="shared" si="12"/>
        <v>100</v>
      </c>
      <c r="X35" s="1353"/>
      <c r="Y35" s="3736"/>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91" t="s">
        <v>1696</v>
      </c>
      <c r="Q36" s="1350">
        <f t="shared" si="8"/>
        <v>111</v>
      </c>
      <c r="R36" s="704" t="s">
        <v>14</v>
      </c>
      <c r="S36" s="705">
        <f t="shared" si="10"/>
        <v>100</v>
      </c>
      <c r="T36" s="704" t="s">
        <v>14</v>
      </c>
      <c r="U36" s="705">
        <f t="shared" si="11"/>
        <v>100</v>
      </c>
      <c r="V36" s="704" t="s">
        <v>14</v>
      </c>
      <c r="W36" s="705">
        <f t="shared" si="12"/>
        <v>100</v>
      </c>
      <c r="X36" s="1353"/>
      <c r="Y36" s="3740" t="s">
        <v>1696</v>
      </c>
      <c r="Z36" s="1354">
        <f t="shared" si="13"/>
        <v>111</v>
      </c>
      <c r="AA36" s="1351">
        <f t="shared" si="3"/>
        <v>1</v>
      </c>
      <c r="AB36" s="1351">
        <f t="shared" si="4"/>
        <v>1</v>
      </c>
      <c r="AC36" s="1351">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40"/>
      <c r="Q37" s="1350">
        <f t="shared" si="8"/>
        <v>111</v>
      </c>
      <c r="R37" s="707" t="s">
        <v>14</v>
      </c>
      <c r="S37" s="708">
        <f t="shared" si="10"/>
        <v>100</v>
      </c>
      <c r="T37" s="707" t="s">
        <v>14</v>
      </c>
      <c r="U37" s="708">
        <f t="shared" si="11"/>
        <v>100</v>
      </c>
      <c r="V37" s="707" t="s">
        <v>14</v>
      </c>
      <c r="W37" s="708">
        <f t="shared" si="12"/>
        <v>100</v>
      </c>
      <c r="X37" s="709"/>
      <c r="Y37" s="3740"/>
      <c r="Z37" s="710">
        <f t="shared" si="13"/>
        <v>111</v>
      </c>
      <c r="AA37" s="1351">
        <f t="shared" si="3"/>
        <v>1</v>
      </c>
      <c r="AB37" s="1351">
        <f t="shared" si="4"/>
        <v>1</v>
      </c>
      <c r="AC37" s="1351">
        <f t="shared" si="5"/>
        <v>1</v>
      </c>
    </row>
    <row r="38" spans="1:29" ht="15">
      <c r="A38" s="422" t="s">
        <v>1694</v>
      </c>
      <c r="B38" s="406" t="s">
        <v>1874</v>
      </c>
      <c r="C38" s="626"/>
      <c r="D38" s="417">
        <v>100</v>
      </c>
      <c r="E38" s="626"/>
      <c r="F38" s="417">
        <f>LOOKUP(E38,116:116,117:117)-LOOKUP(C38,116:116,117:117)+100</f>
        <v>100</v>
      </c>
      <c r="G38" s="626"/>
      <c r="H38" s="417">
        <f>LOOKUP(G38,116:116,117:117)-LOOKUP(C38,116:116,117:117)+100</f>
        <v>100</v>
      </c>
      <c r="I38" s="478"/>
      <c r="J38" s="417">
        <f>LOOKUP(I38,116:116,117:117)-LOOKUP(C38,116:116,117:117)+100</f>
        <v>100</v>
      </c>
      <c r="K38" s="561"/>
      <c r="L38" s="2719"/>
      <c r="M38" s="2713"/>
      <c r="N38" s="2713"/>
      <c r="O38" s="2771"/>
      <c r="P38" s="3740"/>
      <c r="Q38" s="1350" t="str">
        <f>B38</f>
        <v>宗地面积</v>
      </c>
      <c r="R38" s="704" t="s">
        <v>14</v>
      </c>
      <c r="S38" s="705">
        <f t="shared" si="10"/>
        <v>100</v>
      </c>
      <c r="T38" s="704" t="s">
        <v>14</v>
      </c>
      <c r="U38" s="705">
        <f t="shared" si="11"/>
        <v>100</v>
      </c>
      <c r="V38" s="704" t="s">
        <v>14</v>
      </c>
      <c r="W38" s="705">
        <f t="shared" si="12"/>
        <v>100</v>
      </c>
      <c r="X38" s="1353"/>
      <c r="Y38" s="3740"/>
      <c r="Z38" s="1354" t="str">
        <f t="shared" si="13"/>
        <v>宗地面积</v>
      </c>
      <c r="AA38" s="1351">
        <f t="shared" si="3"/>
        <v>1</v>
      </c>
      <c r="AB38" s="1351">
        <f t="shared" si="4"/>
        <v>1</v>
      </c>
      <c r="AC38" s="1351">
        <f t="shared" si="5"/>
        <v>1</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1"/>
      <c r="P39" s="3740"/>
      <c r="Q39" s="1350" t="str">
        <f t="shared" ref="Q39:Q45" si="14">B39</f>
        <v>宗地形状</v>
      </c>
      <c r="R39" s="704" t="s">
        <v>14</v>
      </c>
      <c r="S39" s="705">
        <f t="shared" si="10"/>
        <v>100</v>
      </c>
      <c r="T39" s="704" t="s">
        <v>14</v>
      </c>
      <c r="U39" s="705">
        <f t="shared" si="11"/>
        <v>100</v>
      </c>
      <c r="V39" s="704" t="s">
        <v>14</v>
      </c>
      <c r="W39" s="705">
        <f t="shared" si="12"/>
        <v>100</v>
      </c>
      <c r="X39" s="1353"/>
      <c r="Y39" s="374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1"/>
      <c r="P40" s="3740"/>
      <c r="Q40" s="1350" t="str">
        <f t="shared" si="14"/>
        <v>临街宽度及深度</v>
      </c>
      <c r="R40" s="704" t="s">
        <v>14</v>
      </c>
      <c r="S40" s="705">
        <f t="shared" si="10"/>
        <v>100</v>
      </c>
      <c r="T40" s="704" t="s">
        <v>14</v>
      </c>
      <c r="U40" s="705">
        <f t="shared" si="11"/>
        <v>100</v>
      </c>
      <c r="V40" s="704" t="s">
        <v>14</v>
      </c>
      <c r="W40" s="705">
        <f t="shared" si="12"/>
        <v>100</v>
      </c>
      <c r="X40" s="1353"/>
      <c r="Y40" s="374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9"/>
      <c r="P41" s="3740"/>
      <c r="Q41" s="1350" t="str">
        <f t="shared" si="14"/>
        <v>宗地开发程度</v>
      </c>
      <c r="R41" s="700" t="s">
        <v>14</v>
      </c>
      <c r="S41" s="701">
        <f t="shared" si="10"/>
        <v>100</v>
      </c>
      <c r="T41" s="700" t="s">
        <v>14</v>
      </c>
      <c r="U41" s="701">
        <f t="shared" si="11"/>
        <v>100</v>
      </c>
      <c r="V41" s="700" t="s">
        <v>14</v>
      </c>
      <c r="W41" s="701">
        <f t="shared" si="12"/>
        <v>100</v>
      </c>
      <c r="X41" s="702"/>
      <c r="Y41" s="3740"/>
      <c r="Z41" s="51"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1"/>
      <c r="P42" s="3740" t="s">
        <v>1696</v>
      </c>
      <c r="Q42" s="1350" t="str">
        <f t="shared" si="14"/>
        <v>工程地质条件</v>
      </c>
      <c r="R42" s="704" t="s">
        <v>14</v>
      </c>
      <c r="S42" s="705">
        <f t="shared" si="10"/>
        <v>100</v>
      </c>
      <c r="T42" s="704" t="s">
        <v>14</v>
      </c>
      <c r="U42" s="705">
        <f t="shared" si="11"/>
        <v>100</v>
      </c>
      <c r="V42" s="704" t="s">
        <v>14</v>
      </c>
      <c r="W42" s="705">
        <f t="shared" si="12"/>
        <v>100</v>
      </c>
      <c r="X42" s="1353"/>
      <c r="Y42" s="3740"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40"/>
      <c r="Q43" s="1350">
        <f t="shared" si="14"/>
        <v>111</v>
      </c>
      <c r="R43" s="704" t="s">
        <v>14</v>
      </c>
      <c r="S43" s="705">
        <f t="shared" si="10"/>
        <v>100</v>
      </c>
      <c r="T43" s="704" t="s">
        <v>14</v>
      </c>
      <c r="U43" s="705">
        <f t="shared" si="11"/>
        <v>100</v>
      </c>
      <c r="V43" s="704" t="s">
        <v>14</v>
      </c>
      <c r="W43" s="705">
        <f t="shared" si="12"/>
        <v>100</v>
      </c>
      <c r="X43" s="1353"/>
      <c r="Y43" s="3740"/>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40"/>
      <c r="Q44" s="1350">
        <f t="shared" si="14"/>
        <v>111</v>
      </c>
      <c r="R44" s="704" t="s">
        <v>14</v>
      </c>
      <c r="S44" s="705">
        <f t="shared" si="10"/>
        <v>100</v>
      </c>
      <c r="T44" s="704" t="s">
        <v>14</v>
      </c>
      <c r="U44" s="705">
        <f t="shared" si="11"/>
        <v>100</v>
      </c>
      <c r="V44" s="704" t="s">
        <v>14</v>
      </c>
      <c r="W44" s="705">
        <f t="shared" si="12"/>
        <v>100</v>
      </c>
      <c r="X44" s="1353"/>
      <c r="Y44" s="3740"/>
      <c r="Z44" s="1354">
        <f t="shared" si="13"/>
        <v>111</v>
      </c>
      <c r="AA44" s="1351">
        <f t="shared" si="3"/>
        <v>1</v>
      </c>
      <c r="AB44" s="1351">
        <f t="shared" si="4"/>
        <v>1</v>
      </c>
      <c r="AC44" s="1351">
        <f t="shared" si="5"/>
        <v>1</v>
      </c>
    </row>
    <row r="45" spans="1:29" s="421" customFormat="1" ht="15.75"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40"/>
      <c r="Q45" s="1350">
        <f t="shared" si="14"/>
        <v>111</v>
      </c>
      <c r="R45" s="707" t="s">
        <v>14</v>
      </c>
      <c r="S45" s="708">
        <f t="shared" si="10"/>
        <v>100</v>
      </c>
      <c r="T45" s="707" t="s">
        <v>14</v>
      </c>
      <c r="U45" s="708">
        <f t="shared" si="11"/>
        <v>100</v>
      </c>
      <c r="V45" s="707" t="s">
        <v>14</v>
      </c>
      <c r="W45" s="708">
        <f t="shared" si="12"/>
        <v>100</v>
      </c>
      <c r="X45" s="709"/>
      <c r="Y45" s="3740"/>
      <c r="Z45" s="710">
        <f t="shared" si="13"/>
        <v>111</v>
      </c>
      <c r="AA45" s="1351">
        <f t="shared" si="3"/>
        <v>1</v>
      </c>
      <c r="AB45" s="1351">
        <f t="shared" si="4"/>
        <v>1</v>
      </c>
      <c r="AC45" s="1351">
        <f t="shared" si="5"/>
        <v>1</v>
      </c>
    </row>
    <row r="46" spans="1:29" ht="15">
      <c r="A46" s="429" t="s">
        <v>1844</v>
      </c>
      <c r="B46" s="1980" t="s">
        <v>1879</v>
      </c>
      <c r="C46" s="629" t="s">
        <v>0</v>
      </c>
      <c r="D46" s="431"/>
      <c r="E46" s="432">
        <v>3100</v>
      </c>
      <c r="F46" s="433"/>
      <c r="G46" s="434">
        <v>3100</v>
      </c>
      <c r="H46" s="435"/>
      <c r="I46" s="432">
        <v>3100</v>
      </c>
      <c r="J46" s="435"/>
      <c r="K46" s="713"/>
      <c r="L46" s="2721"/>
      <c r="M46" s="2722"/>
      <c r="N46" s="2713"/>
      <c r="O46" s="2722"/>
      <c r="P46" s="3733" t="str">
        <f>A46</f>
        <v>成交单价</v>
      </c>
      <c r="Q46" s="3733"/>
      <c r="R46" s="3764">
        <f>E46</f>
        <v>3100</v>
      </c>
      <c r="S46" s="3764"/>
      <c r="T46" s="3764">
        <f>G46</f>
        <v>3100</v>
      </c>
      <c r="U46" s="3764"/>
      <c r="V46" s="3764">
        <f>I46</f>
        <v>3100</v>
      </c>
      <c r="W46" s="3764"/>
      <c r="X46" s="689"/>
      <c r="Y46" s="711"/>
      <c r="Z46" s="689"/>
      <c r="AA46" s="689"/>
      <c r="AB46" s="689"/>
      <c r="AC46" s="689"/>
    </row>
    <row r="47" spans="1:29" ht="15.75" thickBot="1">
      <c r="A47" s="436" t="s">
        <v>1793</v>
      </c>
      <c r="B47" s="630"/>
      <c r="C47" s="439">
        <f>R48</f>
        <v>2659</v>
      </c>
      <c r="D47" s="2315" t="s">
        <v>2137</v>
      </c>
      <c r="E47" s="439">
        <f>R47</f>
        <v>2666</v>
      </c>
      <c r="F47" s="2316"/>
      <c r="G47" s="438">
        <f>T47</f>
        <v>2644</v>
      </c>
      <c r="H47" s="2316"/>
      <c r="I47" s="439">
        <f>V47</f>
        <v>2666</v>
      </c>
      <c r="J47" s="2316"/>
      <c r="K47" s="2318">
        <f>F47+H47+J47</f>
        <v>0</v>
      </c>
      <c r="L47" s="2721"/>
      <c r="M47" s="2722"/>
      <c r="N47" s="2722"/>
      <c r="O47" s="2722"/>
      <c r="P47" s="3733" t="str">
        <f>A47</f>
        <v>比较价值（元/平方米）</v>
      </c>
      <c r="Q47" s="3733"/>
      <c r="R47" s="3793">
        <f>ROUND(PRODUCT(R46,AA7:AA45),0)</f>
        <v>2666</v>
      </c>
      <c r="S47" s="3793"/>
      <c r="T47" s="3793">
        <f>ROUND(PRODUCT(T46,AB7:AB45),0)</f>
        <v>2644</v>
      </c>
      <c r="U47" s="3793"/>
      <c r="V47" s="3793">
        <f>ROUND(PRODUCT(V46,AC7:AC45),0)</f>
        <v>2666</v>
      </c>
      <c r="W47" s="3793"/>
      <c r="X47" s="689"/>
      <c r="Y47" s="689"/>
      <c r="Z47" s="689"/>
      <c r="AA47" s="689"/>
      <c r="AB47" s="689"/>
      <c r="AC47" s="689"/>
    </row>
    <row r="48" spans="1:29" ht="15.75" thickBot="1">
      <c r="A48" s="440" t="s">
        <v>1880</v>
      </c>
      <c r="B48" s="441"/>
      <c r="C48" s="442">
        <f>R48</f>
        <v>2659</v>
      </c>
      <c r="D48" s="442"/>
      <c r="E48" s="442"/>
      <c r="F48" s="442"/>
      <c r="G48" s="442"/>
      <c r="H48" s="442"/>
      <c r="I48" s="442"/>
      <c r="J48" s="442"/>
      <c r="K48" s="714"/>
      <c r="L48" s="2721"/>
      <c r="M48" s="2722"/>
      <c r="N48" s="2722"/>
      <c r="O48" s="2722"/>
      <c r="P48" s="3730" t="str">
        <f>A48</f>
        <v>估价对象XX用房的比较价值（楼面单价，元/平方米）</v>
      </c>
      <c r="Q48" s="3731"/>
      <c r="R48" s="3794">
        <f>ROUND(IF(D47="简单平均",AVERAGE(R47:W47),R47*F47+T47*H47+V47*J47),0)</f>
        <v>2659</v>
      </c>
      <c r="S48" s="3794"/>
      <c r="T48" s="3794"/>
      <c r="U48" s="3794"/>
      <c r="V48" s="3794"/>
      <c r="W48" s="3794"/>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f>IF(E46&lt;E47,E47/E46-1,E46/E47-1)</f>
        <v>0.16279069767441867</v>
      </c>
      <c r="F51" s="448" t="str">
        <f>IF(OR(E51&gt;=0.3,E51&lt;=-0.3),"超过30%","")</f>
        <v/>
      </c>
      <c r="G51" s="447">
        <f>IF(G46&lt;G47,G47/G46-1,G46/G47-1)</f>
        <v>0.172465960665658</v>
      </c>
      <c r="H51" s="448" t="str">
        <f>IF(OR(G51&gt;=0.3,G51&lt;=-0.3),"超过30%","")</f>
        <v/>
      </c>
      <c r="I51" s="447">
        <f>IF(I46&lt;I47,I47/I46-1,I46/I47-1)</f>
        <v>0.16279069767441867</v>
      </c>
      <c r="J51" s="448"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f>IF(E47&lt;G47,G47/E47-1,E47/G47-1)</f>
        <v>8.320726172466042E-3</v>
      </c>
      <c r="F52" s="448" t="str">
        <f>IF(OR(E52&gt;=0.2,E52&lt;=-0.2),"超过20%","")</f>
        <v/>
      </c>
      <c r="G52" s="447">
        <f>IF(G47&lt;I47,I47/G47-1,G47/I47-1)</f>
        <v>8.320726172466042E-3</v>
      </c>
      <c r="H52" s="448" t="str">
        <f>IF(OR(G52&gt;=0.2,G52&lt;=-0.2),"超过20%","")</f>
        <v/>
      </c>
      <c r="I52" s="447">
        <f>IF(I47&lt;E47,E47/I47-1,I47/E47-1)</f>
        <v>0</v>
      </c>
      <c r="J52" s="448"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f>IF(E46&lt;G46,G46/E46-1,E46/G46-1)</f>
        <v>0</v>
      </c>
      <c r="F53" s="448" t="str">
        <f>IF(OR(E53&gt;=0.3,E53&lt;=-0.3),"超过30%","")</f>
        <v/>
      </c>
      <c r="G53" s="447">
        <f>IF(G46&lt;I46,I46/G46-1,G46/I46-1)</f>
        <v>0</v>
      </c>
      <c r="H53" s="448" t="str">
        <f>IF(OR(G53&gt;=0.3,G53&lt;=-0.3),"超过30%","")</f>
        <v/>
      </c>
      <c r="I53" s="447">
        <f>IF(I46&lt;E46,E46/I46-1,I46/E46-1)</f>
        <v>0</v>
      </c>
      <c r="J53" s="448"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48" t="s">
        <v>1887</v>
      </c>
      <c r="H55" s="3795"/>
      <c r="I55" s="134"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f>C48</f>
        <v>2659</v>
      </c>
      <c r="C56" s="637">
        <v>1</v>
      </c>
      <c r="D56" s="943">
        <v>1</v>
      </c>
      <c r="E56" s="637">
        <f>'数据-汇总表'!E8+'数据-汇总表'!E9</f>
        <v>22613.18</v>
      </c>
      <c r="F56" s="885">
        <f t="shared" ref="F56:F64" si="15">ROUND(B56*E56/10000,0)</f>
        <v>6013</v>
      </c>
      <c r="G56" s="3744"/>
      <c r="H56" s="3733"/>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f>ROUND($C$48*C57*D57,0)</f>
        <v>332</v>
      </c>
      <c r="C57" s="170">
        <f t="shared" ref="C57:C64" si="16">IF($C$55="北京市系数",I57,J57)</f>
        <v>0.5</v>
      </c>
      <c r="D57" s="944">
        <v>0.25</v>
      </c>
      <c r="E57" s="641"/>
      <c r="F57" s="885">
        <f t="shared" si="15"/>
        <v>0</v>
      </c>
      <c r="G57" s="3001" t="s">
        <v>1892</v>
      </c>
      <c r="H57" s="886" t="str">
        <f>项目基本情况!B37</f>
        <v>十一级</v>
      </c>
      <c r="I57" s="890">
        <f>SUMIF(修正!A57:A68,H57,修正!B57:B68)</f>
        <v>0.5</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f t="shared" ref="B58:B64" si="17">ROUND($C$48*C58*D58,0)</f>
        <v>133</v>
      </c>
      <c r="C58" s="170">
        <f t="shared" si="16"/>
        <v>0.2</v>
      </c>
      <c r="D58" s="944">
        <v>0.25</v>
      </c>
      <c r="E58" s="641"/>
      <c r="F58" s="885">
        <f t="shared" si="15"/>
        <v>0</v>
      </c>
      <c r="G58" s="3002"/>
      <c r="H58" s="886" t="str">
        <f>项目基本情况!B37</f>
        <v>十一级</v>
      </c>
      <c r="I58" s="890">
        <f>SUMIF(修正!A57:A68,H58,修正!C57:C68)</f>
        <v>0.2</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f t="shared" si="17"/>
        <v>133</v>
      </c>
      <c r="C59" s="170">
        <f t="shared" si="16"/>
        <v>0.2</v>
      </c>
      <c r="D59" s="944">
        <v>0.25</v>
      </c>
      <c r="E59" s="641"/>
      <c r="F59" s="885">
        <f t="shared" si="15"/>
        <v>0</v>
      </c>
      <c r="G59" s="3002"/>
      <c r="H59" s="886" t="str">
        <f>项目基本情况!B37</f>
        <v>十一级</v>
      </c>
      <c r="I59" s="890">
        <f>SUMIF(修正!A57:A68,H59,修正!D57:D68)</f>
        <v>0.2</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f t="shared" si="17"/>
        <v>0</v>
      </c>
      <c r="C60" s="170">
        <f t="shared" si="16"/>
        <v>0</v>
      </c>
      <c r="D60" s="944">
        <v>0.25</v>
      </c>
      <c r="E60" s="216">
        <f>'数据-汇总表'!E11</f>
        <v>0</v>
      </c>
      <c r="F60" s="885">
        <f t="shared" si="15"/>
        <v>0</v>
      </c>
      <c r="G60" s="1985"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f t="shared" si="17"/>
        <v>0</v>
      </c>
      <c r="C61" s="170">
        <f t="shared" si="16"/>
        <v>0</v>
      </c>
      <c r="D61" s="944">
        <v>0.25</v>
      </c>
      <c r="E61" s="216">
        <f>'数据-汇总表'!E12</f>
        <v>0</v>
      </c>
      <c r="F61" s="885">
        <f t="shared" si="15"/>
        <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f t="shared" si="17"/>
        <v>0</v>
      </c>
      <c r="C62" s="170">
        <f t="shared" si="16"/>
        <v>0</v>
      </c>
      <c r="D62" s="944">
        <v>0.25</v>
      </c>
      <c r="E62" s="216">
        <f>'数据-汇总表'!E13</f>
        <v>0</v>
      </c>
      <c r="F62" s="885">
        <f t="shared" si="15"/>
        <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f t="shared" si="17"/>
        <v>66</v>
      </c>
      <c r="C63" s="170">
        <f t="shared" si="16"/>
        <v>0.1</v>
      </c>
      <c r="D63" s="944">
        <v>0.25</v>
      </c>
      <c r="E63" s="216">
        <f>'数据-汇总表'!E14</f>
        <v>11005.41</v>
      </c>
      <c r="F63" s="885">
        <f t="shared" si="15"/>
        <v>73</v>
      </c>
      <c r="G63" s="1985" t="s">
        <v>1892</v>
      </c>
      <c r="H63" s="886" t="str">
        <f>项目基本情况!B37</f>
        <v>十一级</v>
      </c>
      <c r="I63" s="890">
        <f>SUMIF(修正!A57:A68,H63,修正!G57:G68)</f>
        <v>0.1</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f t="shared" si="17"/>
        <v>0</v>
      </c>
      <c r="C64" s="170">
        <f t="shared" si="16"/>
        <v>0</v>
      </c>
      <c r="D64" s="944">
        <v>0.25</v>
      </c>
      <c r="E64" s="216">
        <f>'数据-汇总表'!E15</f>
        <v>0</v>
      </c>
      <c r="F64" s="885">
        <f t="shared" si="15"/>
        <v>0</v>
      </c>
      <c r="G64" s="1986"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33618.589999999997</v>
      </c>
      <c r="F65" s="644">
        <f>IF(B46="楼面地价",SUM(F56:F64),ROUND(C48*E65/10000,0))</f>
        <v>6086</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2024-9-1</v>
      </c>
      <c r="D67" s="691">
        <f>EDATE(C67,-3)</f>
        <v>45444</v>
      </c>
      <c r="E67" s="691">
        <f>EDATE(D67,-3)</f>
        <v>45352</v>
      </c>
      <c r="F67" s="691">
        <f t="shared" ref="F67:O67" si="18">EDATE(E67,-3)</f>
        <v>45261</v>
      </c>
      <c r="G67" s="691">
        <f t="shared" si="18"/>
        <v>45170</v>
      </c>
      <c r="H67" s="691">
        <f t="shared" si="18"/>
        <v>45078</v>
      </c>
      <c r="I67" s="691">
        <f t="shared" si="18"/>
        <v>44986</v>
      </c>
      <c r="J67" s="691">
        <f t="shared" si="18"/>
        <v>44896</v>
      </c>
      <c r="K67" s="691">
        <f t="shared" si="18"/>
        <v>44805</v>
      </c>
      <c r="L67" s="691">
        <f t="shared" si="18"/>
        <v>44713</v>
      </c>
      <c r="M67" s="691">
        <f t="shared" si="18"/>
        <v>44621</v>
      </c>
      <c r="N67" s="691">
        <f t="shared" si="18"/>
        <v>44531</v>
      </c>
      <c r="O67" s="691">
        <f t="shared" si="18"/>
        <v>44440</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6" customFormat="1" ht="15">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3"/>
      <c r="Q69" s="2738"/>
      <c r="R69" s="2738"/>
      <c r="S69" s="2738"/>
      <c r="T69" s="2738"/>
      <c r="U69" s="2738"/>
      <c r="V69" s="2738"/>
      <c r="W69" s="2738"/>
      <c r="X69" s="2738"/>
      <c r="Y69" s="2738"/>
      <c r="Z69" s="2738"/>
      <c r="AA69" s="2738"/>
      <c r="AB69" s="2738"/>
      <c r="AC69" s="2738"/>
    </row>
    <row r="70" spans="1:29" s="107" customFormat="1" ht="30" customHeight="1">
      <c r="A70" s="1988" t="s">
        <v>673</v>
      </c>
      <c r="B70" s="287" t="str">
        <f>"北京市平均增长率"&amp;TEXT(SUMIF(基准地价修正!N25:N29,A70,基准地价修正!P25:P29),"0.00%")</f>
        <v>北京市平均增长率0.00%</v>
      </c>
      <c r="C70" s="551">
        <v>100</v>
      </c>
      <c r="D70" s="543">
        <f>C70-$C$71</f>
        <v>99.8</v>
      </c>
      <c r="E70" s="543">
        <f t="shared" ref="E70:P70" si="20">D70-$C$71</f>
        <v>99.6</v>
      </c>
      <c r="F70" s="543">
        <f t="shared" si="20"/>
        <v>99.399999999999991</v>
      </c>
      <c r="G70" s="543">
        <f t="shared" si="20"/>
        <v>99.199999999999989</v>
      </c>
      <c r="H70" s="543">
        <f t="shared" si="20"/>
        <v>98.999999999999986</v>
      </c>
      <c r="I70" s="543">
        <f t="shared" si="20"/>
        <v>98.799999999999983</v>
      </c>
      <c r="J70" s="543">
        <f t="shared" si="20"/>
        <v>98.59999999999998</v>
      </c>
      <c r="K70" s="543">
        <f t="shared" si="20"/>
        <v>98.399999999999977</v>
      </c>
      <c r="L70" s="543">
        <f t="shared" si="20"/>
        <v>98.199999999999974</v>
      </c>
      <c r="M70" s="543">
        <f t="shared" si="20"/>
        <v>97.999999999999972</v>
      </c>
      <c r="N70" s="543">
        <f t="shared" si="20"/>
        <v>97.799999999999969</v>
      </c>
      <c r="O70" s="543">
        <f t="shared" si="20"/>
        <v>97.599999999999966</v>
      </c>
      <c r="P70" s="543">
        <f t="shared" si="20"/>
        <v>97.399999999999963</v>
      </c>
      <c r="Q70" s="2658"/>
      <c r="R70" s="2658"/>
      <c r="S70" s="2658"/>
      <c r="T70" s="2658"/>
      <c r="U70" s="2658"/>
      <c r="V70" s="2658"/>
      <c r="W70" s="2658"/>
      <c r="X70" s="2658"/>
      <c r="Y70" s="2658"/>
      <c r="Z70" s="2658"/>
      <c r="AA70" s="2658"/>
      <c r="AB70" s="2658"/>
      <c r="AC70" s="2658"/>
    </row>
    <row r="71" spans="1:29" s="107" customFormat="1" ht="15.75" thickBot="1">
      <c r="A71" s="463" t="s">
        <v>1716</v>
      </c>
      <c r="B71" s="464"/>
      <c r="C71" s="465">
        <v>0.2</v>
      </c>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3483" t="s">
        <v>3501</v>
      </c>
      <c r="D74" s="3483" t="s">
        <v>3508</v>
      </c>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v>100</v>
      </c>
      <c r="D75" s="484">
        <v>90</v>
      </c>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0（含）-1</v>
      </c>
      <c r="D78" s="495" t="str">
        <f t="shared" ref="D78:L78" si="21">D79&amp;"（含）"&amp;"-"&amp;E79</f>
        <v>1（含）-2</v>
      </c>
      <c r="E78" s="495" t="str">
        <f t="shared" si="21"/>
        <v>2（含）-3</v>
      </c>
      <c r="F78" s="495" t="str">
        <f t="shared" si="21"/>
        <v>3（含）-</v>
      </c>
      <c r="G78" s="495" t="str">
        <f t="shared" si="21"/>
        <v>（含）-</v>
      </c>
      <c r="H78" s="495" t="str">
        <f t="shared" si="21"/>
        <v>（含）-</v>
      </c>
      <c r="I78" s="495" t="str">
        <f t="shared" si="21"/>
        <v>（含）-</v>
      </c>
      <c r="J78" s="495" t="str">
        <f t="shared" si="21"/>
        <v>（含）-</v>
      </c>
      <c r="K78" s="495" t="str">
        <f t="shared" si="21"/>
        <v>（含）-</v>
      </c>
      <c r="L78" s="495" t="str">
        <f t="shared" si="21"/>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v>0</v>
      </c>
      <c r="D79" s="497">
        <v>1</v>
      </c>
      <c r="E79" s="497">
        <v>2</v>
      </c>
      <c r="F79" s="497">
        <v>3</v>
      </c>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2">IF($B$46="单位面积地价",C80+$K11,C80-$K11)</f>
        <v>100</v>
      </c>
      <c r="E80" s="492">
        <f t="shared" si="22"/>
        <v>100</v>
      </c>
      <c r="F80" s="492">
        <f t="shared" si="22"/>
        <v>100</v>
      </c>
      <c r="G80" s="492">
        <f t="shared" si="22"/>
        <v>100</v>
      </c>
      <c r="H80" s="492">
        <f t="shared" si="22"/>
        <v>100</v>
      </c>
      <c r="I80" s="492">
        <f t="shared" si="22"/>
        <v>100</v>
      </c>
      <c r="J80" s="492">
        <f t="shared" si="22"/>
        <v>100</v>
      </c>
      <c r="K80" s="492">
        <f t="shared" si="22"/>
        <v>100</v>
      </c>
      <c r="L80" s="492">
        <f t="shared" si="22"/>
        <v>100</v>
      </c>
      <c r="M80" s="492">
        <f t="shared" si="22"/>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1905</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7" customFormat="1" ht="15.75" thickTop="1">
      <c r="A95" s="527"/>
      <c r="B95" s="486" t="s">
        <v>1906</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7" customFormat="1" ht="27.75" thickTop="1">
      <c r="A97" s="527"/>
      <c r="B97" s="486" t="s">
        <v>1907</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28.5">
      <c r="A115" s="475" t="s">
        <v>1694</v>
      </c>
      <c r="B115" s="476" t="s">
        <v>1912</v>
      </c>
      <c r="C115" s="477" t="str">
        <f>C116&amp;"(含)"&amp;"-"&amp;D116</f>
        <v>0(含)-20000</v>
      </c>
      <c r="D115" s="477" t="str">
        <f t="shared" ref="D115:M115" si="26">D116&amp;"(含)"&amp;"-"&amp;E116</f>
        <v>20000(含)-40000</v>
      </c>
      <c r="E115" s="477" t="str">
        <f t="shared" si="26"/>
        <v>40000(含)-60000</v>
      </c>
      <c r="F115" s="477" t="str">
        <f t="shared" si="26"/>
        <v>60000(含)-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v>0</v>
      </c>
      <c r="D116" s="543">
        <v>20000</v>
      </c>
      <c r="E116" s="543">
        <v>40000</v>
      </c>
      <c r="F116" s="543">
        <v>60000</v>
      </c>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v>100</v>
      </c>
      <c r="D117" s="539">
        <v>101</v>
      </c>
      <c r="E117" s="539">
        <v>102</v>
      </c>
      <c r="F117" s="539">
        <v>103</v>
      </c>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1913</v>
      </c>
      <c r="C118" s="3484" t="s">
        <v>3502</v>
      </c>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1914</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1915</v>
      </c>
      <c r="C122" s="3485" t="s">
        <v>3503</v>
      </c>
      <c r="D122" s="3485" t="s">
        <v>3504</v>
      </c>
      <c r="E122" s="3485" t="s">
        <v>3505</v>
      </c>
      <c r="F122" s="3485" t="s">
        <v>3506</v>
      </c>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1916</v>
      </c>
      <c r="C124" s="3485" t="s">
        <v>3507</v>
      </c>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48" t="s">
        <v>1770</v>
      </c>
      <c r="D4" s="3749"/>
      <c r="E4" s="3750" t="s">
        <v>1771</v>
      </c>
      <c r="F4" s="3751"/>
      <c r="G4" s="3748" t="s">
        <v>1772</v>
      </c>
      <c r="H4" s="3749"/>
      <c r="I4" s="3748" t="s">
        <v>1773</v>
      </c>
      <c r="J4" s="3749"/>
      <c r="K4" s="558" t="s">
        <v>1774</v>
      </c>
      <c r="L4" s="2712"/>
      <c r="M4" s="2713"/>
      <c r="N4" s="2713"/>
      <c r="O4" s="2713"/>
      <c r="P4" s="3752" t="s">
        <v>1775</v>
      </c>
      <c r="Q4" s="3753"/>
      <c r="R4" s="3758" t="s">
        <v>1771</v>
      </c>
      <c r="S4" s="3759"/>
      <c r="T4" s="3758" t="s">
        <v>1772</v>
      </c>
      <c r="U4" s="3759"/>
      <c r="V4" s="3764" t="s">
        <v>1773</v>
      </c>
      <c r="W4" s="3764"/>
      <c r="X4" s="1353"/>
      <c r="Y4" s="3758" t="s">
        <v>1775</v>
      </c>
      <c r="Z4" s="3759"/>
      <c r="AA4" s="3745" t="s">
        <v>1771</v>
      </c>
      <c r="AB4" s="3746" t="s">
        <v>1772</v>
      </c>
      <c r="AC4" s="3745" t="s">
        <v>1773</v>
      </c>
    </row>
    <row r="5" spans="1:29" ht="15">
      <c r="A5" s="357"/>
      <c r="B5" s="358"/>
      <c r="C5" s="3767" t="s">
        <v>1673</v>
      </c>
      <c r="D5" s="3768"/>
      <c r="E5" s="3774" t="s">
        <v>1674</v>
      </c>
      <c r="F5" s="3775"/>
      <c r="G5" s="3767" t="s">
        <v>1675</v>
      </c>
      <c r="H5" s="3768"/>
      <c r="I5" s="3767" t="s">
        <v>1676</v>
      </c>
      <c r="J5" s="3768"/>
      <c r="K5" s="558"/>
      <c r="L5" s="2712"/>
      <c r="M5" s="2713"/>
      <c r="N5" s="2713"/>
      <c r="O5" s="2713"/>
      <c r="P5" s="3754"/>
      <c r="Q5" s="3755"/>
      <c r="R5" s="3760"/>
      <c r="S5" s="3761"/>
      <c r="T5" s="3760"/>
      <c r="U5" s="3761"/>
      <c r="V5" s="3764"/>
      <c r="W5" s="3764"/>
      <c r="X5" s="1353"/>
      <c r="Y5" s="3760"/>
      <c r="Z5" s="3761"/>
      <c r="AA5" s="3746"/>
      <c r="AB5" s="3746"/>
      <c r="AC5" s="3746"/>
    </row>
    <row r="6" spans="1:29" ht="15.75" thickBot="1">
      <c r="A6" s="359"/>
      <c r="B6" s="360"/>
      <c r="C6" s="3796" t="s">
        <v>1918</v>
      </c>
      <c r="D6" s="3797"/>
      <c r="E6" s="3798" t="s">
        <v>1918</v>
      </c>
      <c r="F6" s="3799"/>
      <c r="G6" s="3796" t="s">
        <v>1918</v>
      </c>
      <c r="H6" s="3797"/>
      <c r="I6" s="3796" t="s">
        <v>1918</v>
      </c>
      <c r="J6" s="3797"/>
      <c r="K6" s="558" t="s">
        <v>1678</v>
      </c>
      <c r="L6" s="2712"/>
      <c r="M6" s="2713"/>
      <c r="N6" s="2713"/>
      <c r="O6" s="2713"/>
      <c r="P6" s="3756"/>
      <c r="Q6" s="3757"/>
      <c r="R6" s="3760"/>
      <c r="S6" s="3761"/>
      <c r="T6" s="3762"/>
      <c r="U6" s="3763"/>
      <c r="V6" s="3764"/>
      <c r="W6" s="3764"/>
      <c r="X6" s="1353"/>
      <c r="Y6" s="3762"/>
      <c r="Z6" s="3763"/>
      <c r="AA6" s="3747"/>
      <c r="AB6" s="3747"/>
      <c r="AC6" s="3747"/>
    </row>
    <row r="7" spans="1:29" s="107" customFormat="1" ht="15.75" thickBot="1">
      <c r="A7" s="361" t="s">
        <v>1679</v>
      </c>
      <c r="B7" s="362"/>
      <c r="C7" s="363">
        <f>'数据-取费表'!B2</f>
        <v>45565</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769" t="s">
        <v>1680</v>
      </c>
      <c r="Q7" s="3771"/>
      <c r="R7" s="700" t="s">
        <v>14</v>
      </c>
      <c r="S7" s="701">
        <f t="shared" ref="S7:S15" si="0">F7</f>
        <v>0</v>
      </c>
      <c r="T7" s="700" t="s">
        <v>14</v>
      </c>
      <c r="U7" s="701">
        <f t="shared" ref="U7:U15" si="1">H7</f>
        <v>0</v>
      </c>
      <c r="V7" s="700" t="s">
        <v>14</v>
      </c>
      <c r="W7" s="701">
        <f t="shared" ref="W7:W15" si="2">J7</f>
        <v>0</v>
      </c>
      <c r="X7" s="702"/>
      <c r="Y7" s="3769" t="s">
        <v>1680</v>
      </c>
      <c r="Z7" s="3770"/>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69" t="s">
        <v>1683</v>
      </c>
      <c r="Q8" s="3770"/>
      <c r="R8" s="700" t="s">
        <v>14</v>
      </c>
      <c r="S8" s="701">
        <f t="shared" si="0"/>
        <v>0</v>
      </c>
      <c r="T8" s="700" t="s">
        <v>14</v>
      </c>
      <c r="U8" s="701">
        <f t="shared" si="1"/>
        <v>0</v>
      </c>
      <c r="V8" s="700" t="s">
        <v>14</v>
      </c>
      <c r="W8" s="701">
        <f t="shared" si="2"/>
        <v>0</v>
      </c>
      <c r="X8" s="702"/>
      <c r="Y8" s="3769" t="s">
        <v>1683</v>
      </c>
      <c r="Z8" s="3770"/>
      <c r="AA8" s="703" t="e">
        <f t="shared" ref="AA8:AA40" si="3">D8/F8</f>
        <v>#DIV/0!</v>
      </c>
      <c r="AB8" s="703" t="e">
        <f t="shared" ref="AB8:AB40" si="4">D8/H8</f>
        <v>#DIV/0!</v>
      </c>
      <c r="AC8" s="703" t="e">
        <f t="shared" ref="AC8:AC40" si="5">D8/J8</f>
        <v>#DIV/0!</v>
      </c>
    </row>
    <row r="9" spans="1:29" s="107" customFormat="1">
      <c r="A9" s="368" t="s">
        <v>1684</v>
      </c>
      <c r="B9" s="62" t="s">
        <v>1685</v>
      </c>
      <c r="C9" s="1975"/>
      <c r="D9" s="125">
        <v>100</v>
      </c>
      <c r="E9" s="1975"/>
      <c r="F9" s="125">
        <f>SUMIF(70:70,E9,71:71)-SUMIF(70:70,C9,71:71)+100</f>
        <v>100</v>
      </c>
      <c r="G9" s="1975"/>
      <c r="H9" s="125">
        <f>SUMIF(70:70,G9,71:71)-SUMIF(70:70,C9,71:71)+100</f>
        <v>100</v>
      </c>
      <c r="I9" s="1975"/>
      <c r="J9" s="125">
        <f>SUMIF(70:70,I9,71:71)-SUMIF(70:70,C9,71:71)+100</f>
        <v>100</v>
      </c>
      <c r="K9" s="559"/>
      <c r="L9" s="2714"/>
      <c r="M9" s="2715"/>
      <c r="N9" s="2715"/>
      <c r="O9" s="2769"/>
      <c r="P9" s="3733" t="s">
        <v>1686</v>
      </c>
      <c r="Q9" s="1341" t="str">
        <f t="shared" ref="Q9:Q15" si="6">B9</f>
        <v>用途</v>
      </c>
      <c r="R9" s="700" t="s">
        <v>14</v>
      </c>
      <c r="S9" s="701">
        <f t="shared" si="0"/>
        <v>100</v>
      </c>
      <c r="T9" s="700" t="s">
        <v>14</v>
      </c>
      <c r="U9" s="701">
        <f t="shared" si="1"/>
        <v>100</v>
      </c>
      <c r="V9" s="700" t="s">
        <v>14</v>
      </c>
      <c r="W9" s="701">
        <f t="shared" si="2"/>
        <v>100</v>
      </c>
      <c r="X9" s="702"/>
      <c r="Y9" s="3589"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107</v>
      </c>
      <c r="G10" s="382"/>
      <c r="H10" s="126">
        <f>ROUND(100/'数据-取费表'!G16,0)</f>
        <v>107</v>
      </c>
      <c r="I10" s="382"/>
      <c r="J10" s="126">
        <f>ROUND(100/'数据-取费表'!G16,0)</f>
        <v>107</v>
      </c>
      <c r="K10" s="619"/>
      <c r="L10" s="2716"/>
      <c r="M10" s="2717"/>
      <c r="N10" s="2717"/>
      <c r="O10" s="2770"/>
      <c r="P10" s="3733"/>
      <c r="Q10" s="1341" t="str">
        <f t="shared" si="6"/>
        <v>土地使用年限（年）</v>
      </c>
      <c r="R10" s="700" t="s">
        <v>14</v>
      </c>
      <c r="S10" s="701">
        <f t="shared" si="0"/>
        <v>107</v>
      </c>
      <c r="T10" s="700" t="s">
        <v>14</v>
      </c>
      <c r="U10" s="701">
        <f t="shared" si="1"/>
        <v>107</v>
      </c>
      <c r="V10" s="700" t="s">
        <v>14</v>
      </c>
      <c r="W10" s="701">
        <f t="shared" si="2"/>
        <v>107</v>
      </c>
      <c r="X10" s="702"/>
      <c r="Y10" s="3589"/>
      <c r="Z10" s="51" t="str">
        <f t="shared" si="7"/>
        <v>土地使用年限（年）</v>
      </c>
      <c r="AA10" s="703">
        <f t="shared" si="3"/>
        <v>0.93457943925233644</v>
      </c>
      <c r="AB10" s="703">
        <f t="shared" si="4"/>
        <v>0.93457943925233644</v>
      </c>
      <c r="AC10" s="703">
        <f t="shared" si="5"/>
        <v>0.93457943925233644</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733"/>
      <c r="Q11" s="1341" t="str">
        <f t="shared" si="6"/>
        <v>容积率</v>
      </c>
      <c r="R11" s="700" t="s">
        <v>14</v>
      </c>
      <c r="S11" s="701" t="e">
        <f t="shared" si="0"/>
        <v>#N/A</v>
      </c>
      <c r="T11" s="700" t="s">
        <v>14</v>
      </c>
      <c r="U11" s="701" t="e">
        <f t="shared" si="1"/>
        <v>#N/A</v>
      </c>
      <c r="V11" s="700" t="s">
        <v>14</v>
      </c>
      <c r="W11" s="701" t="e">
        <f t="shared" si="2"/>
        <v>#N/A</v>
      </c>
      <c r="X11" s="702"/>
      <c r="Y11" s="3589"/>
      <c r="Z11" s="51" t="str">
        <f t="shared" si="7"/>
        <v>容积率</v>
      </c>
      <c r="AA11" s="703" t="e">
        <f t="shared" si="3"/>
        <v>#N/A</v>
      </c>
      <c r="AB11" s="703" t="e">
        <f t="shared" si="4"/>
        <v>#N/A</v>
      </c>
      <c r="AC11" s="703"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733"/>
      <c r="Q12" s="1341">
        <f t="shared" si="6"/>
        <v>111</v>
      </c>
      <c r="R12" s="700" t="s">
        <v>14</v>
      </c>
      <c r="S12" s="701">
        <f t="shared" si="0"/>
        <v>100</v>
      </c>
      <c r="T12" s="700" t="s">
        <v>14</v>
      </c>
      <c r="U12" s="701">
        <f t="shared" si="1"/>
        <v>100</v>
      </c>
      <c r="V12" s="700" t="s">
        <v>14</v>
      </c>
      <c r="W12" s="701">
        <f t="shared" si="2"/>
        <v>100</v>
      </c>
      <c r="X12" s="702"/>
      <c r="Y12" s="3589"/>
      <c r="Z12" s="51">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733"/>
      <c r="Q13" s="1341">
        <f t="shared" si="6"/>
        <v>111</v>
      </c>
      <c r="R13" s="700" t="s">
        <v>14</v>
      </c>
      <c r="S13" s="701">
        <f t="shared" si="0"/>
        <v>100</v>
      </c>
      <c r="T13" s="700" t="s">
        <v>14</v>
      </c>
      <c r="U13" s="701">
        <f t="shared" si="1"/>
        <v>100</v>
      </c>
      <c r="V13" s="700" t="s">
        <v>14</v>
      </c>
      <c r="W13" s="701">
        <f t="shared" si="2"/>
        <v>100</v>
      </c>
      <c r="X13" s="702"/>
      <c r="Y13" s="3589"/>
      <c r="Z13" s="51">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33"/>
      <c r="Q14" s="1341">
        <f t="shared" si="6"/>
        <v>111</v>
      </c>
      <c r="R14" s="700" t="s">
        <v>14</v>
      </c>
      <c r="S14" s="701">
        <f t="shared" si="0"/>
        <v>100</v>
      </c>
      <c r="T14" s="700" t="s">
        <v>14</v>
      </c>
      <c r="U14" s="701">
        <f t="shared" si="1"/>
        <v>100</v>
      </c>
      <c r="V14" s="700" t="s">
        <v>14</v>
      </c>
      <c r="W14" s="701">
        <f t="shared" si="2"/>
        <v>100</v>
      </c>
      <c r="X14" s="702"/>
      <c r="Y14" s="3589"/>
      <c r="Z14" s="51">
        <f t="shared" si="7"/>
        <v>111</v>
      </c>
      <c r="AA14" s="703">
        <f t="shared" si="3"/>
        <v>1</v>
      </c>
      <c r="AB14" s="703">
        <f t="shared" si="4"/>
        <v>1</v>
      </c>
      <c r="AC14" s="703">
        <f t="shared" si="5"/>
        <v>1</v>
      </c>
    </row>
    <row r="15" spans="1:29" ht="57">
      <c r="A15" s="390" t="s">
        <v>1690</v>
      </c>
      <c r="B15" s="576" t="s">
        <v>1919</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35" t="s">
        <v>1691</v>
      </c>
      <c r="Q15" s="1350" t="str">
        <f t="shared" si="6"/>
        <v>产业集聚程度</v>
      </c>
      <c r="R15" s="704" t="s">
        <v>14</v>
      </c>
      <c r="S15" s="705">
        <f t="shared" si="0"/>
        <v>100</v>
      </c>
      <c r="T15" s="704" t="s">
        <v>14</v>
      </c>
      <c r="U15" s="705">
        <f t="shared" si="1"/>
        <v>100</v>
      </c>
      <c r="V15" s="704" t="s">
        <v>14</v>
      </c>
      <c r="W15" s="705">
        <f t="shared" si="2"/>
        <v>100</v>
      </c>
      <c r="X15" s="1353"/>
      <c r="Y15" s="373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1"/>
      <c r="P16" s="3736"/>
      <c r="Q16" s="1350"/>
      <c r="R16" s="704"/>
      <c r="S16" s="705"/>
      <c r="T16" s="704"/>
      <c r="U16" s="705"/>
      <c r="V16" s="704"/>
      <c r="W16" s="705"/>
      <c r="X16" s="1353"/>
      <c r="Y16" s="373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36"/>
      <c r="Q17" s="1350" t="str">
        <f>B17</f>
        <v>交通便捷度</v>
      </c>
      <c r="R17" s="704" t="s">
        <v>14</v>
      </c>
      <c r="S17" s="705">
        <f>F17</f>
        <v>100</v>
      </c>
      <c r="T17" s="704" t="s">
        <v>14</v>
      </c>
      <c r="U17" s="705">
        <f>H17</f>
        <v>100</v>
      </c>
      <c r="V17" s="704" t="s">
        <v>14</v>
      </c>
      <c r="W17" s="705">
        <f>J17</f>
        <v>100</v>
      </c>
      <c r="X17" s="1353"/>
      <c r="Y17" s="373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1"/>
      <c r="P18" s="3736"/>
      <c r="Q18" s="1350"/>
      <c r="R18" s="704"/>
      <c r="S18" s="705"/>
      <c r="T18" s="704"/>
      <c r="U18" s="705"/>
      <c r="V18" s="704"/>
      <c r="W18" s="705"/>
      <c r="X18" s="1353"/>
      <c r="Y18" s="373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36"/>
      <c r="Q19" s="1350" t="str">
        <f t="shared" ref="Q19:Q33" si="8">B19</f>
        <v>区域土地利用方向</v>
      </c>
      <c r="R19" s="704" t="s">
        <v>14</v>
      </c>
      <c r="S19" s="705">
        <f>F19</f>
        <v>100</v>
      </c>
      <c r="T19" s="704" t="s">
        <v>14</v>
      </c>
      <c r="U19" s="705">
        <f>H19</f>
        <v>100</v>
      </c>
      <c r="V19" s="704" t="s">
        <v>14</v>
      </c>
      <c r="W19" s="705">
        <f>J19</f>
        <v>100</v>
      </c>
      <c r="X19" s="1353"/>
      <c r="Y19" s="373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1"/>
      <c r="P20" s="3736"/>
      <c r="Q20" s="1350"/>
      <c r="R20" s="704"/>
      <c r="S20" s="705"/>
      <c r="T20" s="704"/>
      <c r="U20" s="705"/>
      <c r="V20" s="704"/>
      <c r="W20" s="705"/>
      <c r="X20" s="1353"/>
      <c r="Y20" s="3736"/>
      <c r="Z20" s="1354"/>
      <c r="AA20" s="1351"/>
      <c r="AB20" s="1351"/>
      <c r="AC20" s="1351"/>
    </row>
    <row r="21" spans="1:29" ht="71.25">
      <c r="A21" s="357"/>
      <c r="B21" s="578" t="s">
        <v>1920</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36"/>
      <c r="Q21" s="1350" t="str">
        <f t="shared" si="8"/>
        <v>环境状况</v>
      </c>
      <c r="R21" s="704" t="s">
        <v>14</v>
      </c>
      <c r="S21" s="705">
        <f>F21</f>
        <v>100</v>
      </c>
      <c r="T21" s="704" t="s">
        <v>14</v>
      </c>
      <c r="U21" s="705">
        <f>H21</f>
        <v>100</v>
      </c>
      <c r="V21" s="704" t="s">
        <v>14</v>
      </c>
      <c r="W21" s="705">
        <f>J21</f>
        <v>100</v>
      </c>
      <c r="X21" s="1353"/>
      <c r="Y21" s="373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1"/>
      <c r="P22" s="3736"/>
      <c r="Q22" s="1350"/>
      <c r="R22" s="704"/>
      <c r="S22" s="705"/>
      <c r="T22" s="704"/>
      <c r="U22" s="705"/>
      <c r="V22" s="704"/>
      <c r="W22" s="705"/>
      <c r="X22" s="1353"/>
      <c r="Y22" s="373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36"/>
      <c r="Q23" s="1341" t="str">
        <f t="shared" si="8"/>
        <v>公共配套设施</v>
      </c>
      <c r="R23" s="700" t="s">
        <v>14</v>
      </c>
      <c r="S23" s="701">
        <f>F23</f>
        <v>100</v>
      </c>
      <c r="T23" s="700" t="s">
        <v>14</v>
      </c>
      <c r="U23" s="701">
        <f>H23</f>
        <v>100</v>
      </c>
      <c r="V23" s="700" t="s">
        <v>14</v>
      </c>
      <c r="W23" s="701">
        <f>J23</f>
        <v>100</v>
      </c>
      <c r="X23" s="702"/>
      <c r="Y23" s="3736"/>
      <c r="Z23" s="51"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4"/>
      <c r="M24" s="2715"/>
      <c r="N24" s="2715"/>
      <c r="O24" s="2769"/>
      <c r="P24" s="3736"/>
      <c r="Q24" s="1341"/>
      <c r="R24" s="700"/>
      <c r="S24" s="701"/>
      <c r="T24" s="700"/>
      <c r="U24" s="701"/>
      <c r="V24" s="700"/>
      <c r="W24" s="701"/>
      <c r="X24" s="702"/>
      <c r="Y24" s="3736"/>
      <c r="Z24" s="51"/>
      <c r="AA24" s="703">
        <v>1</v>
      </c>
      <c r="AB24" s="703">
        <v>1</v>
      </c>
      <c r="AC24" s="703">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36"/>
      <c r="Q25" s="1341" t="str">
        <f t="shared" ref="Q25" si="9">B25</f>
        <v>基础设施水平</v>
      </c>
      <c r="R25" s="700" t="s">
        <v>14</v>
      </c>
      <c r="S25" s="701">
        <f>F25</f>
        <v>100</v>
      </c>
      <c r="T25" s="700" t="s">
        <v>14</v>
      </c>
      <c r="U25" s="701">
        <f>H25</f>
        <v>100</v>
      </c>
      <c r="V25" s="700" t="s">
        <v>14</v>
      </c>
      <c r="W25" s="701">
        <f>J25</f>
        <v>100</v>
      </c>
      <c r="X25" s="702"/>
      <c r="Y25" s="3736"/>
      <c r="Z25" s="51"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4"/>
      <c r="M26" s="2715"/>
      <c r="N26" s="2715"/>
      <c r="O26" s="2769"/>
      <c r="P26" s="3736"/>
      <c r="Q26" s="1341"/>
      <c r="R26" s="700"/>
      <c r="S26" s="701"/>
      <c r="T26" s="700"/>
      <c r="U26" s="701"/>
      <c r="V26" s="700"/>
      <c r="W26" s="701"/>
      <c r="X26" s="702"/>
      <c r="Y26" s="3736"/>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3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3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36"/>
      <c r="Q28" s="1350" t="str">
        <f t="shared" si="8"/>
        <v>毗邻道路的类型与等级</v>
      </c>
      <c r="R28" s="704" t="s">
        <v>14</v>
      </c>
      <c r="S28" s="705">
        <f t="shared" si="10"/>
        <v>100</v>
      </c>
      <c r="T28" s="704" t="s">
        <v>14</v>
      </c>
      <c r="U28" s="705">
        <f t="shared" si="11"/>
        <v>100</v>
      </c>
      <c r="V28" s="704" t="s">
        <v>14</v>
      </c>
      <c r="W28" s="705">
        <f t="shared" si="12"/>
        <v>100</v>
      </c>
      <c r="X28" s="1353"/>
      <c r="Y28" s="373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1"/>
      <c r="P29" s="3736"/>
      <c r="Q29" s="1350"/>
      <c r="R29" s="704"/>
      <c r="S29" s="705"/>
      <c r="T29" s="704"/>
      <c r="U29" s="705"/>
      <c r="V29" s="704"/>
      <c r="W29" s="705"/>
      <c r="X29" s="1353"/>
      <c r="Y29" s="3736"/>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36"/>
      <c r="Q30" s="1350" t="str">
        <f t="shared" si="8"/>
        <v>土地级别</v>
      </c>
      <c r="R30" s="704" t="s">
        <v>14</v>
      </c>
      <c r="S30" s="705">
        <f t="shared" si="10"/>
        <v>100</v>
      </c>
      <c r="T30" s="704" t="s">
        <v>14</v>
      </c>
      <c r="U30" s="705">
        <f t="shared" si="11"/>
        <v>100</v>
      </c>
      <c r="V30" s="704" t="s">
        <v>14</v>
      </c>
      <c r="W30" s="705">
        <f t="shared" si="12"/>
        <v>100</v>
      </c>
      <c r="X30" s="1353"/>
      <c r="Y30" s="373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36"/>
      <c r="Q31" s="1350">
        <f t="shared" si="8"/>
        <v>111</v>
      </c>
      <c r="R31" s="704" t="s">
        <v>14</v>
      </c>
      <c r="S31" s="705">
        <f t="shared" si="10"/>
        <v>100</v>
      </c>
      <c r="T31" s="704" t="s">
        <v>14</v>
      </c>
      <c r="U31" s="705">
        <f t="shared" si="11"/>
        <v>100</v>
      </c>
      <c r="V31" s="704" t="s">
        <v>14</v>
      </c>
      <c r="W31" s="705">
        <f t="shared" si="12"/>
        <v>100</v>
      </c>
      <c r="X31" s="1353"/>
      <c r="Y31" s="373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91" t="s">
        <v>1696</v>
      </c>
      <c r="Q32" s="1350">
        <f t="shared" si="8"/>
        <v>111</v>
      </c>
      <c r="R32" s="704" t="s">
        <v>14</v>
      </c>
      <c r="S32" s="705">
        <f t="shared" si="10"/>
        <v>100</v>
      </c>
      <c r="T32" s="704" t="s">
        <v>14</v>
      </c>
      <c r="U32" s="705">
        <f t="shared" si="11"/>
        <v>100</v>
      </c>
      <c r="V32" s="704" t="s">
        <v>14</v>
      </c>
      <c r="W32" s="705">
        <f t="shared" si="12"/>
        <v>100</v>
      </c>
      <c r="X32" s="1353"/>
      <c r="Y32" s="374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40"/>
      <c r="Q33" s="1350">
        <f t="shared" si="8"/>
        <v>111</v>
      </c>
      <c r="R33" s="707" t="s">
        <v>14</v>
      </c>
      <c r="S33" s="708">
        <f t="shared" si="10"/>
        <v>100</v>
      </c>
      <c r="T33" s="707" t="s">
        <v>14</v>
      </c>
      <c r="U33" s="708">
        <f t="shared" si="11"/>
        <v>100</v>
      </c>
      <c r="V33" s="707" t="s">
        <v>14</v>
      </c>
      <c r="W33" s="708">
        <f t="shared" si="12"/>
        <v>100</v>
      </c>
      <c r="X33" s="709"/>
      <c r="Y33" s="3740"/>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40"/>
      <c r="Q34" s="1350" t="str">
        <f>B34</f>
        <v>宗地面积</v>
      </c>
      <c r="R34" s="704" t="s">
        <v>14</v>
      </c>
      <c r="S34" s="705" t="e">
        <f t="shared" si="10"/>
        <v>#N/A</v>
      </c>
      <c r="T34" s="704" t="s">
        <v>14</v>
      </c>
      <c r="U34" s="705" t="e">
        <f t="shared" si="11"/>
        <v>#N/A</v>
      </c>
      <c r="V34" s="704" t="s">
        <v>14</v>
      </c>
      <c r="W34" s="705" t="e">
        <f t="shared" si="12"/>
        <v>#N/A</v>
      </c>
      <c r="X34" s="1353"/>
      <c r="Y34" s="374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1"/>
      <c r="P35" s="3740"/>
      <c r="Q35" s="1350" t="str">
        <f t="shared" ref="Q35:Q40" si="14">B35</f>
        <v>宗地形状</v>
      </c>
      <c r="R35" s="704" t="s">
        <v>14</v>
      </c>
      <c r="S35" s="705">
        <f t="shared" si="10"/>
        <v>100</v>
      </c>
      <c r="T35" s="704" t="s">
        <v>14</v>
      </c>
      <c r="U35" s="705">
        <f t="shared" si="11"/>
        <v>100</v>
      </c>
      <c r="V35" s="704" t="s">
        <v>14</v>
      </c>
      <c r="W35" s="705">
        <f t="shared" si="12"/>
        <v>100</v>
      </c>
      <c r="X35" s="1353"/>
      <c r="Y35" s="374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9"/>
      <c r="P36" s="3740"/>
      <c r="Q36" s="1350" t="str">
        <f t="shared" si="14"/>
        <v>宗地开发程度</v>
      </c>
      <c r="R36" s="700" t="s">
        <v>14</v>
      </c>
      <c r="S36" s="701">
        <f t="shared" si="10"/>
        <v>100</v>
      </c>
      <c r="T36" s="700" t="s">
        <v>14</v>
      </c>
      <c r="U36" s="701">
        <f t="shared" si="11"/>
        <v>100</v>
      </c>
      <c r="V36" s="700" t="s">
        <v>14</v>
      </c>
      <c r="W36" s="701">
        <f t="shared" si="12"/>
        <v>100</v>
      </c>
      <c r="X36" s="702"/>
      <c r="Y36" s="3740"/>
      <c r="Z36" s="51"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1"/>
      <c r="P37" s="3740" t="s">
        <v>1696</v>
      </c>
      <c r="Q37" s="1350" t="str">
        <f t="shared" si="14"/>
        <v>工程地质条件</v>
      </c>
      <c r="R37" s="704" t="s">
        <v>14</v>
      </c>
      <c r="S37" s="705">
        <f t="shared" si="10"/>
        <v>100</v>
      </c>
      <c r="T37" s="704" t="s">
        <v>14</v>
      </c>
      <c r="U37" s="705">
        <f t="shared" si="11"/>
        <v>100</v>
      </c>
      <c r="V37" s="704" t="s">
        <v>14</v>
      </c>
      <c r="W37" s="705">
        <f t="shared" si="12"/>
        <v>100</v>
      </c>
      <c r="X37" s="1353"/>
      <c r="Y37" s="3740"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40"/>
      <c r="Q38" s="1350">
        <f t="shared" si="14"/>
        <v>111</v>
      </c>
      <c r="R38" s="704" t="s">
        <v>14</v>
      </c>
      <c r="S38" s="705">
        <f t="shared" si="10"/>
        <v>100</v>
      </c>
      <c r="T38" s="704" t="s">
        <v>14</v>
      </c>
      <c r="U38" s="705">
        <f t="shared" si="11"/>
        <v>100</v>
      </c>
      <c r="V38" s="704" t="s">
        <v>14</v>
      </c>
      <c r="W38" s="705">
        <f t="shared" si="12"/>
        <v>100</v>
      </c>
      <c r="X38" s="1353"/>
      <c r="Y38" s="3740"/>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40"/>
      <c r="Q39" s="1350">
        <f t="shared" si="14"/>
        <v>111</v>
      </c>
      <c r="R39" s="704" t="s">
        <v>14</v>
      </c>
      <c r="S39" s="705">
        <f t="shared" si="10"/>
        <v>100</v>
      </c>
      <c r="T39" s="704" t="s">
        <v>14</v>
      </c>
      <c r="U39" s="705">
        <f t="shared" si="11"/>
        <v>100</v>
      </c>
      <c r="V39" s="704" t="s">
        <v>14</v>
      </c>
      <c r="W39" s="705">
        <f t="shared" si="12"/>
        <v>100</v>
      </c>
      <c r="X39" s="1353"/>
      <c r="Y39" s="3740"/>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40"/>
      <c r="Q40" s="1350">
        <f t="shared" si="14"/>
        <v>111</v>
      </c>
      <c r="R40" s="707" t="s">
        <v>14</v>
      </c>
      <c r="S40" s="708">
        <f t="shared" si="10"/>
        <v>100</v>
      </c>
      <c r="T40" s="707" t="s">
        <v>14</v>
      </c>
      <c r="U40" s="708">
        <f t="shared" si="11"/>
        <v>100</v>
      </c>
      <c r="V40" s="707" t="s">
        <v>14</v>
      </c>
      <c r="W40" s="708">
        <f t="shared" si="12"/>
        <v>100</v>
      </c>
      <c r="X40" s="709"/>
      <c r="Y40" s="3740"/>
      <c r="Z40" s="710">
        <f t="shared" si="13"/>
        <v>111</v>
      </c>
      <c r="AA40" s="1351">
        <f t="shared" si="3"/>
        <v>1</v>
      </c>
      <c r="AB40" s="1351">
        <f t="shared" si="4"/>
        <v>1</v>
      </c>
      <c r="AC40" s="1351">
        <f t="shared" si="5"/>
        <v>1</v>
      </c>
    </row>
    <row r="41" spans="1:31" ht="15">
      <c r="A41" s="429" t="s">
        <v>1844</v>
      </c>
      <c r="B41" s="1980" t="s">
        <v>1921</v>
      </c>
      <c r="C41" s="629" t="s">
        <v>0</v>
      </c>
      <c r="D41" s="431"/>
      <c r="E41" s="432"/>
      <c r="F41" s="433"/>
      <c r="G41" s="434"/>
      <c r="H41" s="435"/>
      <c r="I41" s="432"/>
      <c r="J41" s="435"/>
      <c r="K41" s="713"/>
      <c r="L41" s="2721"/>
      <c r="M41" s="2713"/>
      <c r="N41" s="2713"/>
      <c r="O41" s="2722"/>
      <c r="P41" s="3733" t="str">
        <f>A41</f>
        <v>成交单价</v>
      </c>
      <c r="Q41" s="3733"/>
      <c r="R41" s="3764">
        <f>E41</f>
        <v>0</v>
      </c>
      <c r="S41" s="3764"/>
      <c r="T41" s="3764">
        <f>G41</f>
        <v>0</v>
      </c>
      <c r="U41" s="3764"/>
      <c r="V41" s="3764">
        <f>I41</f>
        <v>0</v>
      </c>
      <c r="W41" s="3764"/>
      <c r="X41" s="689"/>
      <c r="Y41" s="711"/>
      <c r="Z41" s="689"/>
      <c r="AA41" s="689"/>
      <c r="AB41" s="689"/>
      <c r="AC41" s="689"/>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21"/>
      <c r="M42" s="2713"/>
      <c r="N42" s="2713"/>
      <c r="O42" s="2722"/>
      <c r="P42" s="3733" t="str">
        <f>A42</f>
        <v>比较价值（元/平方米）</v>
      </c>
      <c r="Q42" s="3733"/>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730" t="str">
        <f>A43</f>
        <v>估价对象XX用房的比较价值（楼面单价，元/平方米）</v>
      </c>
      <c r="Q43" s="3731"/>
      <c r="R43" s="3794" t="e">
        <f>ROUND(IF(D42="简单平均",AVERAGE(R42:W42),R42*F42+T42*H42+V42*J42),0)</f>
        <v>#DIV/0!</v>
      </c>
      <c r="S43" s="3794"/>
      <c r="T43" s="3794"/>
      <c r="U43" s="3794"/>
      <c r="V43" s="3794"/>
      <c r="W43" s="3794"/>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48" t="s">
        <v>1887</v>
      </c>
      <c r="H50" s="3795"/>
      <c r="I50" s="1354" t="s">
        <v>1922</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22613.18</v>
      </c>
      <c r="F51" s="638" t="e">
        <f t="shared" ref="F51:F60" si="15">ROUND(B51*E51/10000,0)</f>
        <v>#DIV/0!</v>
      </c>
      <c r="G51" s="3744"/>
      <c r="H51" s="3733"/>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0.5</v>
      </c>
      <c r="D52" s="944">
        <v>0.25</v>
      </c>
      <c r="E52" s="641"/>
      <c r="F52" s="638" t="e">
        <f t="shared" si="15"/>
        <v>#DIV/0!</v>
      </c>
      <c r="G52" s="3001" t="s">
        <v>1892</v>
      </c>
      <c r="H52" s="886" t="str">
        <f>项目基本情况!B37</f>
        <v>十一级</v>
      </c>
      <c r="I52" s="772">
        <f>SUMIF(修正!A57:A68,H52,修正!B57:B68)</f>
        <v>0.5</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0.2</v>
      </c>
      <c r="D53" s="944">
        <v>0.25</v>
      </c>
      <c r="E53" s="641"/>
      <c r="F53" s="638" t="e">
        <f t="shared" si="15"/>
        <v>#DIV/0!</v>
      </c>
      <c r="G53" s="3002"/>
      <c r="H53" s="886" t="str">
        <f>项目基本情况!B37</f>
        <v>十一级</v>
      </c>
      <c r="I53" s="772">
        <f>SUMIF(修正!A57:A68,H53,修正!C57:C68)</f>
        <v>0.2</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0.2</v>
      </c>
      <c r="D54" s="944">
        <v>0.25</v>
      </c>
      <c r="E54" s="641"/>
      <c r="F54" s="638" t="e">
        <f t="shared" si="15"/>
        <v>#DIV/0!</v>
      </c>
      <c r="G54" s="3002"/>
      <c r="H54" s="886" t="str">
        <f>项目基本情况!B37</f>
        <v>十一级</v>
      </c>
      <c r="I54" s="772">
        <f>SUMIF(修正!A57:A68,H54,修正!D57:D68)</f>
        <v>0.2</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4"/>
      <c r="E55" s="641"/>
      <c r="F55" s="638"/>
      <c r="G55" s="3003"/>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4">
        <v>0.25</v>
      </c>
      <c r="E56" s="216">
        <f>'数据-汇总表'!E11</f>
        <v>0</v>
      </c>
      <c r="F56" s="638" t="e">
        <f t="shared" si="15"/>
        <v>#DIV/0!</v>
      </c>
      <c r="G56" s="1985"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0.1</v>
      </c>
      <c r="D59" s="944">
        <v>0.25</v>
      </c>
      <c r="E59" s="216">
        <f>'数据-汇总表'!E14</f>
        <v>11005.41</v>
      </c>
      <c r="F59" s="638" t="e">
        <f t="shared" si="15"/>
        <v>#DIV/0!</v>
      </c>
      <c r="G59" s="1985" t="s">
        <v>1892</v>
      </c>
      <c r="H59" s="886" t="str">
        <f>项目基本情况!B37</f>
        <v>十一级</v>
      </c>
      <c r="I59" s="772">
        <f>SUMIF(修正!A57:A68,H59,修正!G57:G68)</f>
        <v>0.1</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4">
        <v>0.25</v>
      </c>
      <c r="E60" s="216">
        <f>'数据-汇总表'!E15</f>
        <v>0</v>
      </c>
      <c r="F60" s="638" t="e">
        <f t="shared" si="15"/>
        <v>#DIV/0!</v>
      </c>
      <c r="G60" s="1986"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22981.55</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2024-9-1</v>
      </c>
      <c r="D63" s="691">
        <f>EDATE(C63,-3)</f>
        <v>45444</v>
      </c>
      <c r="E63" s="691">
        <f>EDATE(D63,-3)</f>
        <v>45352</v>
      </c>
      <c r="F63" s="691">
        <f t="shared" ref="F63:O63" si="18">EDATE(E63,-3)</f>
        <v>45261</v>
      </c>
      <c r="G63" s="691">
        <f t="shared" si="18"/>
        <v>45170</v>
      </c>
      <c r="H63" s="691">
        <f t="shared" si="18"/>
        <v>45078</v>
      </c>
      <c r="I63" s="691">
        <f t="shared" si="18"/>
        <v>44986</v>
      </c>
      <c r="J63" s="691">
        <f t="shared" si="18"/>
        <v>44896</v>
      </c>
      <c r="K63" s="691">
        <f t="shared" si="18"/>
        <v>44805</v>
      </c>
      <c r="L63" s="691">
        <f t="shared" si="18"/>
        <v>44713</v>
      </c>
      <c r="M63" s="691">
        <f t="shared" si="18"/>
        <v>44621</v>
      </c>
      <c r="N63" s="691">
        <f t="shared" si="18"/>
        <v>44531</v>
      </c>
      <c r="O63" s="691">
        <f t="shared" si="18"/>
        <v>44440</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6" customFormat="1" ht="15">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2"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1906</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1907</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1913</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1915</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1916</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2082</v>
      </c>
      <c r="C1" s="3803" t="s">
        <v>2083</v>
      </c>
      <c r="D1" s="3804"/>
      <c r="E1" s="3804"/>
      <c r="F1" s="3804"/>
      <c r="G1" s="3804"/>
      <c r="H1" s="3804"/>
      <c r="I1" s="3804"/>
      <c r="J1" s="3804"/>
      <c r="K1" s="3804"/>
      <c r="L1" s="3804"/>
      <c r="M1" s="3804"/>
      <c r="N1" s="3804"/>
      <c r="O1" s="3804"/>
      <c r="P1" s="3804"/>
      <c r="Q1" s="3804"/>
      <c r="R1" s="3804"/>
      <c r="S1" s="380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2094</v>
      </c>
      <c r="E19" s="1338"/>
      <c r="F19" s="1338"/>
      <c r="G19" s="1338"/>
      <c r="H19" s="1058"/>
      <c r="I19" s="158"/>
      <c r="J19" s="158"/>
      <c r="K19" s="158"/>
      <c r="L19" s="158"/>
      <c r="M19" s="158"/>
      <c r="N19" s="158"/>
      <c r="O19" s="158"/>
      <c r="P19" s="158"/>
      <c r="Q19" s="158"/>
      <c r="R19" s="717"/>
      <c r="S19" s="128"/>
    </row>
    <row r="20" spans="1:45" ht="16.5" thickBot="1">
      <c r="A20" s="661" t="s">
        <v>2095</v>
      </c>
      <c r="B20" s="293" t="e">
        <f ca="1">IF(D20="——",S22,S22-F20)</f>
        <v>#REF!</v>
      </c>
      <c r="C20" s="158"/>
      <c r="D20" s="2149"/>
      <c r="E20" s="1339"/>
      <c r="F20" s="982" t="e">
        <f ca="1">SUMIF(INDIRECT("'"&amp;H20&amp;"'"&amp;"!A:A"),"承租人权益价值",INDIRECT("'"&amp;H20&amp;"'"&amp;"!c:c"))</f>
        <v>#REF!</v>
      </c>
      <c r="G20" s="982" t="s">
        <v>2096</v>
      </c>
      <c r="H20" s="2150"/>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0">
        <f>SUM(B24:B10000)</f>
        <v>0</v>
      </c>
      <c r="C22" s="3800" t="s">
        <v>27</v>
      </c>
      <c r="D22" s="3801"/>
      <c r="E22" s="3801"/>
      <c r="F22" s="3801"/>
      <c r="G22" s="3801"/>
      <c r="H22" s="3801"/>
      <c r="I22" s="3801"/>
      <c r="J22" s="3801"/>
      <c r="K22" s="3801"/>
      <c r="L22" s="3801"/>
      <c r="M22" s="3801"/>
      <c r="N22" s="3801"/>
      <c r="O22" s="3801"/>
      <c r="P22" s="3801"/>
      <c r="Q22" s="3802"/>
      <c r="R22" s="662"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599">
        <f ca="1">SUMIF(B6:B13,"&lt;&gt;#ref!",B6:B13)</f>
        <v>6297</v>
      </c>
      <c r="C2" s="2143" t="s">
        <v>2073</v>
      </c>
      <c r="D2" s="2143" t="s">
        <v>2074</v>
      </c>
      <c r="E2" s="2609">
        <f ca="1">SUMIF(E6:E13,"&lt;&gt;#ref!",E6:E13)</f>
        <v>33986.960000000006</v>
      </c>
      <c r="F2" s="2790"/>
      <c r="G2" s="2790"/>
      <c r="H2" s="2790"/>
      <c r="I2" s="2790"/>
      <c r="J2" s="2790"/>
      <c r="K2" s="2790"/>
      <c r="L2" s="2790"/>
      <c r="M2" s="2790"/>
      <c r="N2" s="2790"/>
      <c r="O2" s="2790"/>
      <c r="P2" s="2790"/>
    </row>
    <row r="3" spans="1:16" ht="15.75">
      <c r="A3" s="2143" t="s">
        <v>2075</v>
      </c>
      <c r="B3" s="2599">
        <f ca="1">ROUND(B2*10000/E2,0)</f>
        <v>1853</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4"/>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6297</v>
      </c>
      <c r="C6" s="2143" t="s">
        <v>2073</v>
      </c>
      <c r="D6" s="2790"/>
      <c r="E6" s="2609">
        <f ca="1">SUMIF(INDIRECT("'"&amp;A6&amp;"'"&amp;"!C:C"),"建筑面积",INDIRECT("'"&amp;A6&amp;"'"&amp;"!D:D"))</f>
        <v>33986.960000000006</v>
      </c>
      <c r="F6" s="2790"/>
      <c r="G6" s="2790"/>
      <c r="H6" s="2790"/>
      <c r="I6" s="2790"/>
      <c r="J6" s="2790"/>
      <c r="K6" s="2790"/>
      <c r="L6" s="2790"/>
      <c r="M6" s="2790"/>
      <c r="N6" s="2790"/>
      <c r="O6" s="2790"/>
      <c r="P6" s="2790"/>
    </row>
    <row r="7" spans="1:16" ht="15.75">
      <c r="A7" s="2606"/>
      <c r="B7" s="2599" t="e">
        <f ca="1">SUMIF(INDIRECT("'"&amp;A7&amp;"'"&amp;"!A:A"),"总价",INDIRECT("'"&amp;A7&amp;"'"&amp;"!B:B"))</f>
        <v>#REF!</v>
      </c>
      <c r="C7" s="2143"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Normal="100" workbookViewId="0">
      <selection activeCell="C23" sqref="A23:XFD23"/>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2587</v>
      </c>
      <c r="B1" s="3067" t="s">
        <v>2588</v>
      </c>
      <c r="C1" s="3067" t="s">
        <v>2589</v>
      </c>
      <c r="D1" s="3067" t="s">
        <v>2590</v>
      </c>
      <c r="E1" s="3067" t="s">
        <v>2591</v>
      </c>
      <c r="F1" s="3067" t="s">
        <v>2592</v>
      </c>
      <c r="G1" s="3067" t="s">
        <v>2593</v>
      </c>
      <c r="H1" s="3067" t="s">
        <v>2594</v>
      </c>
      <c r="I1" s="3067" t="s">
        <v>2595</v>
      </c>
      <c r="J1" s="3067" t="s">
        <v>2596</v>
      </c>
      <c r="K1" s="3067" t="s">
        <v>2597</v>
      </c>
      <c r="L1" s="3067" t="s">
        <v>2598</v>
      </c>
      <c r="M1" s="3068" t="s">
        <v>2599</v>
      </c>
    </row>
    <row r="2" spans="1:13" ht="19.5" customHeight="1">
      <c r="A2" s="3070" t="s">
        <v>2600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2609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2616</v>
      </c>
      <c r="B18" s="3092"/>
      <c r="C18" s="3093"/>
      <c r="D18" s="3093"/>
      <c r="E18" s="3092"/>
      <c r="F18" s="3093"/>
      <c r="G18" s="3093"/>
    </row>
    <row r="19" spans="1:13" ht="19.5" customHeight="1" thickBot="1">
      <c r="A19" s="3090" t="s">
        <v>2617</v>
      </c>
      <c r="B19" s="3095" t="s">
        <v>2618</v>
      </c>
      <c r="C19" s="3095" t="s">
        <v>2619</v>
      </c>
      <c r="D19" s="3096"/>
      <c r="E19" s="3090" t="s">
        <v>2620</v>
      </c>
      <c r="F19" s="3097"/>
      <c r="G19" s="3097"/>
    </row>
    <row r="20" spans="1:13" ht="19.5" customHeight="1">
      <c r="A20" s="3815" t="s">
        <v>2600</v>
      </c>
      <c r="B20" s="3810" t="s">
        <v>2621</v>
      </c>
      <c r="C20" s="3098" t="s">
        <v>2432</v>
      </c>
      <c r="D20" s="3099"/>
      <c r="E20" s="3100">
        <v>1</v>
      </c>
      <c r="F20" s="3101" t="s">
        <v>2433</v>
      </c>
      <c r="G20" s="3101"/>
    </row>
    <row r="21" spans="1:13" ht="19.5" customHeight="1">
      <c r="A21" s="3816"/>
      <c r="B21" s="3809"/>
      <c r="C21" s="3102" t="s">
        <v>2434</v>
      </c>
      <c r="D21" s="3103"/>
      <c r="E21" s="3104">
        <v>1</v>
      </c>
      <c r="F21" s="3101" t="s">
        <v>2435</v>
      </c>
      <c r="G21" s="3101"/>
    </row>
    <row r="22" spans="1:13" ht="19.5" customHeight="1">
      <c r="A22" s="3816"/>
      <c r="B22" s="3809"/>
      <c r="C22" s="3102" t="s">
        <v>2436</v>
      </c>
      <c r="D22" s="3103"/>
      <c r="E22" s="3104">
        <v>0.9</v>
      </c>
      <c r="F22" s="3101" t="s">
        <v>2437</v>
      </c>
      <c r="G22" s="3101"/>
    </row>
    <row r="23" spans="1:13" ht="19.5" customHeight="1">
      <c r="A23" s="3816"/>
      <c r="B23" s="3809"/>
      <c r="C23" s="3102" t="s">
        <v>2438</v>
      </c>
      <c r="D23" s="3103"/>
      <c r="E23" s="3104">
        <v>0.9</v>
      </c>
      <c r="F23" s="3101" t="s">
        <v>2439</v>
      </c>
      <c r="G23" s="3101"/>
    </row>
    <row r="24" spans="1:13" ht="19.5" customHeight="1">
      <c r="A24" s="3816"/>
      <c r="B24" s="3809"/>
      <c r="C24" s="3102" t="s">
        <v>2440</v>
      </c>
      <c r="D24" s="3103"/>
      <c r="E24" s="3104">
        <v>0.8</v>
      </c>
      <c r="F24" s="3101" t="s">
        <v>2441</v>
      </c>
      <c r="G24" s="3101"/>
    </row>
    <row r="25" spans="1:13" ht="19.5" customHeight="1" thickBot="1">
      <c r="A25" s="3817"/>
      <c r="B25" s="3811"/>
      <c r="C25" s="3105" t="s">
        <v>2442</v>
      </c>
      <c r="D25" s="3106"/>
      <c r="E25" s="3107">
        <v>0.8</v>
      </c>
      <c r="F25" s="3101" t="s">
        <v>2443</v>
      </c>
      <c r="G25" s="3101"/>
    </row>
    <row r="26" spans="1:13" ht="19.5" customHeight="1" thickBot="1">
      <c r="A26" s="3108" t="s">
        <v>2622</v>
      </c>
      <c r="B26" s="3109" t="s">
        <v>2621</v>
      </c>
      <c r="C26" s="3110" t="s">
        <v>2623</v>
      </c>
      <c r="D26" s="3111"/>
      <c r="E26" s="3112">
        <v>1</v>
      </c>
      <c r="F26" s="3101" t="s">
        <v>2444</v>
      </c>
      <c r="G26" s="3101"/>
    </row>
    <row r="27" spans="1:13" ht="19.5" customHeight="1">
      <c r="A27" s="3812" t="s">
        <v>2624</v>
      </c>
      <c r="B27" s="3810" t="s">
        <v>2605</v>
      </c>
      <c r="C27" s="3098" t="s">
        <v>2445</v>
      </c>
      <c r="D27" s="3099"/>
      <c r="E27" s="3100">
        <v>1</v>
      </c>
      <c r="F27" s="3101" t="s">
        <v>2446</v>
      </c>
      <c r="G27" s="3101"/>
    </row>
    <row r="28" spans="1:13" ht="19.5" customHeight="1">
      <c r="A28" s="3813"/>
      <c r="B28" s="3809"/>
      <c r="C28" s="3102" t="s">
        <v>2447</v>
      </c>
      <c r="D28" s="3103"/>
      <c r="E28" s="3104">
        <v>1</v>
      </c>
      <c r="F28" s="3101" t="s">
        <v>2448</v>
      </c>
      <c r="G28" s="3101"/>
    </row>
    <row r="29" spans="1:13" ht="19.5" customHeight="1">
      <c r="A29" s="3813"/>
      <c r="B29" s="3809"/>
      <c r="C29" s="3102" t="s">
        <v>2449</v>
      </c>
      <c r="D29" s="3103"/>
      <c r="E29" s="3104">
        <v>0.8</v>
      </c>
      <c r="F29" s="3101" t="s">
        <v>2450</v>
      </c>
      <c r="G29" s="3101"/>
    </row>
    <row r="30" spans="1:13" ht="19.5" customHeight="1">
      <c r="A30" s="3813"/>
      <c r="B30" s="3809"/>
      <c r="C30" s="3102" t="s">
        <v>2451</v>
      </c>
      <c r="D30" s="3103"/>
      <c r="E30" s="3104">
        <v>0.8</v>
      </c>
      <c r="F30" s="3101" t="s">
        <v>2452</v>
      </c>
      <c r="G30" s="3101"/>
    </row>
    <row r="31" spans="1:13" ht="19.5" customHeight="1">
      <c r="A31" s="3813"/>
      <c r="B31" s="3809"/>
      <c r="C31" s="3102" t="s">
        <v>2453</v>
      </c>
      <c r="D31" s="3103"/>
      <c r="E31" s="3104">
        <v>0.8</v>
      </c>
      <c r="F31" s="3101" t="s">
        <v>2454</v>
      </c>
      <c r="G31" s="3101"/>
    </row>
    <row r="32" spans="1:13" ht="19.5" customHeight="1">
      <c r="A32" s="3813"/>
      <c r="B32" s="3809"/>
      <c r="C32" s="3102" t="s">
        <v>2455</v>
      </c>
      <c r="D32" s="3103"/>
      <c r="E32" s="3104">
        <v>0.7</v>
      </c>
      <c r="F32" s="3101" t="s">
        <v>2456</v>
      </c>
      <c r="G32" s="3101"/>
    </row>
    <row r="33" spans="1:7" ht="19.5" customHeight="1">
      <c r="A33" s="3813"/>
      <c r="B33" s="3809"/>
      <c r="C33" s="3102" t="s">
        <v>2457</v>
      </c>
      <c r="D33" s="3103"/>
      <c r="E33" s="3104">
        <v>0.8</v>
      </c>
      <c r="F33" s="3101" t="s">
        <v>2458</v>
      </c>
      <c r="G33" s="3101"/>
    </row>
    <row r="34" spans="1:7" ht="19.5" customHeight="1">
      <c r="A34" s="3813"/>
      <c r="B34" s="3809"/>
      <c r="C34" s="3102" t="s">
        <v>2459</v>
      </c>
      <c r="D34" s="3103"/>
      <c r="E34" s="3104">
        <v>0.6</v>
      </c>
      <c r="F34" s="3101" t="s">
        <v>2460</v>
      </c>
      <c r="G34" s="3101"/>
    </row>
    <row r="35" spans="1:7" ht="19.5" customHeight="1">
      <c r="A35" s="3813"/>
      <c r="B35" s="3809"/>
      <c r="C35" s="3102" t="s">
        <v>2461</v>
      </c>
      <c r="D35" s="3103"/>
      <c r="E35" s="3104">
        <v>0.2</v>
      </c>
      <c r="F35" s="3101" t="s">
        <v>2462</v>
      </c>
      <c r="G35" s="3101"/>
    </row>
    <row r="36" spans="1:7" ht="19.5" customHeight="1">
      <c r="A36" s="3813"/>
      <c r="B36" s="3809"/>
      <c r="C36" s="3102" t="s">
        <v>2463</v>
      </c>
      <c r="D36" s="3103"/>
      <c r="E36" s="3104">
        <v>0.2</v>
      </c>
      <c r="F36" s="3101" t="s">
        <v>2464</v>
      </c>
      <c r="G36" s="3101"/>
    </row>
    <row r="37" spans="1:7" ht="19.5" customHeight="1">
      <c r="A37" s="3813"/>
      <c r="B37" s="3807" t="s">
        <v>2625</v>
      </c>
      <c r="C37" s="3102" t="s">
        <v>2465</v>
      </c>
      <c r="D37" s="3103"/>
      <c r="E37" s="3104">
        <v>0.6</v>
      </c>
      <c r="F37" s="3101" t="s">
        <v>2466</v>
      </c>
      <c r="G37" s="3101"/>
    </row>
    <row r="38" spans="1:7" ht="19.5" customHeight="1">
      <c r="A38" s="3813"/>
      <c r="B38" s="3809"/>
      <c r="C38" s="3102" t="s">
        <v>2467</v>
      </c>
      <c r="D38" s="3103"/>
      <c r="E38" s="3104">
        <v>0.6</v>
      </c>
      <c r="F38" s="3101" t="s">
        <v>2468</v>
      </c>
      <c r="G38" s="3101"/>
    </row>
    <row r="39" spans="1:7" ht="19.5" customHeight="1" thickBot="1">
      <c r="A39" s="3814"/>
      <c r="B39" s="3811"/>
      <c r="C39" s="3105" t="s">
        <v>2469</v>
      </c>
      <c r="D39" s="3106"/>
      <c r="E39" s="3107">
        <v>0.6</v>
      </c>
      <c r="F39" s="3101" t="s">
        <v>2470</v>
      </c>
      <c r="G39" s="3101"/>
    </row>
    <row r="40" spans="1:7" ht="19.5" customHeight="1" thickBot="1">
      <c r="A40" s="3108" t="s">
        <v>2602</v>
      </c>
      <c r="B40" s="3109" t="s">
        <v>2602</v>
      </c>
      <c r="C40" s="3110" t="s">
        <v>2626</v>
      </c>
      <c r="D40" s="3111"/>
      <c r="E40" s="3112">
        <v>1</v>
      </c>
      <c r="F40" s="3101" t="s">
        <v>2471</v>
      </c>
      <c r="G40" s="3101"/>
    </row>
    <row r="41" spans="1:7" ht="19.5" customHeight="1">
      <c r="A41" s="3815" t="s">
        <v>2603</v>
      </c>
      <c r="B41" s="3810" t="s">
        <v>2627</v>
      </c>
      <c r="C41" s="3098" t="s">
        <v>2472</v>
      </c>
      <c r="D41" s="3099"/>
      <c r="E41" s="3100">
        <v>1</v>
      </c>
      <c r="F41" s="3101" t="s">
        <v>2473</v>
      </c>
      <c r="G41" s="3101"/>
    </row>
    <row r="42" spans="1:7" ht="19.5" customHeight="1">
      <c r="A42" s="3816"/>
      <c r="B42" s="3809"/>
      <c r="C42" s="3102" t="s">
        <v>2474</v>
      </c>
      <c r="D42" s="3103"/>
      <c r="E42" s="3104">
        <v>1</v>
      </c>
      <c r="F42" s="3101" t="s">
        <v>2475</v>
      </c>
      <c r="G42" s="3101"/>
    </row>
    <row r="43" spans="1:7" ht="19.5" customHeight="1">
      <c r="A43" s="3816"/>
      <c r="B43" s="3808"/>
      <c r="C43" s="3102" t="s">
        <v>2476</v>
      </c>
      <c r="D43" s="3103"/>
      <c r="E43" s="3104">
        <v>1.5</v>
      </c>
      <c r="F43" s="3101" t="s">
        <v>2477</v>
      </c>
      <c r="G43" s="3101"/>
    </row>
    <row r="44" spans="1:7" ht="19.5" customHeight="1">
      <c r="A44" s="3816"/>
      <c r="B44" s="3113" t="s">
        <v>2628</v>
      </c>
      <c r="C44" s="3102" t="s">
        <v>2629</v>
      </c>
      <c r="D44" s="3103"/>
      <c r="E44" s="3104">
        <v>2</v>
      </c>
      <c r="F44" s="3101" t="s">
        <v>2478</v>
      </c>
      <c r="G44" s="3101"/>
    </row>
    <row r="45" spans="1:7" ht="19.5" customHeight="1">
      <c r="A45" s="3816"/>
      <c r="B45" s="3807" t="s">
        <v>2630</v>
      </c>
      <c r="C45" s="3102" t="s">
        <v>2479</v>
      </c>
      <c r="D45" s="3103"/>
      <c r="E45" s="3104">
        <v>1</v>
      </c>
      <c r="F45" s="3101" t="s">
        <v>2480</v>
      </c>
      <c r="G45" s="3101"/>
    </row>
    <row r="46" spans="1:7" ht="19.5" customHeight="1">
      <c r="A46" s="3816"/>
      <c r="B46" s="3809"/>
      <c r="C46" s="3102" t="s">
        <v>2481</v>
      </c>
      <c r="D46" s="3103"/>
      <c r="E46" s="3104">
        <v>1</v>
      </c>
      <c r="F46" s="3101" t="s">
        <v>2482</v>
      </c>
      <c r="G46" s="3101"/>
    </row>
    <row r="47" spans="1:7" ht="19.5" customHeight="1">
      <c r="A47" s="3816"/>
      <c r="B47" s="3809"/>
      <c r="C47" s="3102" t="s">
        <v>2483</v>
      </c>
      <c r="D47" s="3103"/>
      <c r="E47" s="3104">
        <v>1</v>
      </c>
      <c r="F47" s="3101" t="s">
        <v>2484</v>
      </c>
      <c r="G47" s="3101"/>
    </row>
    <row r="48" spans="1:7" ht="19.5" customHeight="1">
      <c r="A48" s="3816"/>
      <c r="B48" s="3809"/>
      <c r="C48" s="3102" t="s">
        <v>2485</v>
      </c>
      <c r="D48" s="3103"/>
      <c r="E48" s="3104">
        <v>1</v>
      </c>
      <c r="F48" s="3101" t="s">
        <v>2486</v>
      </c>
      <c r="G48" s="3101"/>
    </row>
    <row r="49" spans="1:7" ht="19.5" customHeight="1">
      <c r="A49" s="3816"/>
      <c r="B49" s="3809"/>
      <c r="C49" s="3102" t="s">
        <v>2487</v>
      </c>
      <c r="D49" s="3103"/>
      <c r="E49" s="3104">
        <v>1</v>
      </c>
      <c r="F49" s="3101" t="s">
        <v>2488</v>
      </c>
      <c r="G49" s="3101"/>
    </row>
    <row r="50" spans="1:7" ht="19.5" customHeight="1">
      <c r="A50" s="3816"/>
      <c r="B50" s="3809"/>
      <c r="C50" s="3102" t="s">
        <v>2489</v>
      </c>
      <c r="D50" s="3103"/>
      <c r="E50" s="3104">
        <v>1</v>
      </c>
      <c r="F50" s="3101" t="s">
        <v>2490</v>
      </c>
      <c r="G50" s="3101"/>
    </row>
    <row r="51" spans="1:7" ht="19.5" customHeight="1" thickBot="1">
      <c r="A51" s="3817"/>
      <c r="B51" s="3811"/>
      <c r="C51" s="3105" t="s">
        <v>2491</v>
      </c>
      <c r="D51" s="3106"/>
      <c r="E51" s="3107">
        <v>1</v>
      </c>
      <c r="F51" s="3101" t="s">
        <v>2492</v>
      </c>
      <c r="G51" s="3101"/>
    </row>
    <row r="52" spans="1:7" ht="19.5" customHeight="1">
      <c r="A52" s="3114"/>
      <c r="B52" s="3114"/>
      <c r="C52" s="3114"/>
      <c r="D52" s="3114"/>
      <c r="E52" s="3114"/>
      <c r="F52" s="3114"/>
      <c r="G52" s="3114"/>
    </row>
    <row r="54" spans="1:7" ht="19.5" customHeight="1">
      <c r="A54" s="3115"/>
      <c r="B54" s="3087" t="s">
        <v>2631</v>
      </c>
      <c r="C54" s="3087" t="s">
        <v>2631</v>
      </c>
      <c r="D54" s="3087" t="s">
        <v>2631</v>
      </c>
      <c r="E54" s="3090" t="s">
        <v>2631</v>
      </c>
      <c r="F54" s="3090" t="s">
        <v>2632</v>
      </c>
      <c r="G54" s="3090" t="s">
        <v>2633</v>
      </c>
    </row>
    <row r="55" spans="1:7" ht="19.5" customHeight="1">
      <c r="A55" s="3116"/>
      <c r="B55" s="3090" t="s">
        <v>2600</v>
      </c>
      <c r="C55" s="3090" t="s">
        <v>2600</v>
      </c>
      <c r="D55" s="3090" t="s">
        <v>2600</v>
      </c>
      <c r="E55" s="3087" t="s">
        <v>2601</v>
      </c>
      <c r="F55" s="3087" t="s">
        <v>2603</v>
      </c>
      <c r="G55" s="3087" t="s">
        <v>2634</v>
      </c>
    </row>
    <row r="56" spans="1:7" ht="19.5" customHeight="1">
      <c r="A56" s="3117"/>
      <c r="B56" s="3087">
        <v>1</v>
      </c>
      <c r="C56" s="3087">
        <v>2</v>
      </c>
      <c r="D56" s="3087">
        <v>3</v>
      </c>
      <c r="E56" s="3118" t="s">
        <v>2635</v>
      </c>
      <c r="F56" s="3118" t="s">
        <v>2635</v>
      </c>
      <c r="G56" s="3118" t="s">
        <v>2635</v>
      </c>
    </row>
    <row r="57" spans="1:7" ht="19.5" customHeight="1">
      <c r="A57" s="3119" t="s">
        <v>2588</v>
      </c>
      <c r="B57" s="3087">
        <v>0.7</v>
      </c>
      <c r="C57" s="3087">
        <v>0.4</v>
      </c>
      <c r="D57" s="3087">
        <v>0.3</v>
      </c>
      <c r="E57" s="3118">
        <v>0.3</v>
      </c>
      <c r="F57" s="3087">
        <v>0.3</v>
      </c>
      <c r="G57" s="3087">
        <v>0.2</v>
      </c>
    </row>
    <row r="58" spans="1:7" ht="19.5" customHeight="1">
      <c r="A58" s="3119" t="s">
        <v>2589</v>
      </c>
      <c r="B58" s="3087">
        <v>0.7</v>
      </c>
      <c r="C58" s="3087">
        <v>0.4</v>
      </c>
      <c r="D58" s="3087">
        <v>0.3</v>
      </c>
      <c r="E58" s="3087">
        <v>0.3</v>
      </c>
      <c r="F58" s="3087">
        <v>0.3</v>
      </c>
      <c r="G58" s="3087">
        <v>0.2</v>
      </c>
    </row>
    <row r="59" spans="1:7" ht="19.5" customHeight="1">
      <c r="A59" s="3119" t="s">
        <v>2590</v>
      </c>
      <c r="B59" s="3087">
        <v>0.6</v>
      </c>
      <c r="C59" s="3087">
        <v>0.3</v>
      </c>
      <c r="D59" s="3087">
        <v>0.25</v>
      </c>
      <c r="E59" s="3087">
        <v>0.25</v>
      </c>
      <c r="F59" s="3087">
        <v>0.25</v>
      </c>
      <c r="G59" s="3087">
        <v>0.15</v>
      </c>
    </row>
    <row r="60" spans="1:7" ht="19.5" customHeight="1">
      <c r="A60" s="3119" t="s">
        <v>2591</v>
      </c>
      <c r="B60" s="3087">
        <v>0.6</v>
      </c>
      <c r="C60" s="3087">
        <v>0.3</v>
      </c>
      <c r="D60" s="3087">
        <v>0.25</v>
      </c>
      <c r="E60" s="3087">
        <v>0.25</v>
      </c>
      <c r="F60" s="3087">
        <v>0.25</v>
      </c>
      <c r="G60" s="3087">
        <v>0.15</v>
      </c>
    </row>
    <row r="61" spans="1:7" ht="19.5" customHeight="1">
      <c r="A61" s="3119" t="s">
        <v>2592</v>
      </c>
      <c r="B61" s="3087">
        <v>0.6</v>
      </c>
      <c r="C61" s="3087">
        <v>0.3</v>
      </c>
      <c r="D61" s="3087">
        <v>0.25</v>
      </c>
      <c r="E61" s="3087">
        <v>0.25</v>
      </c>
      <c r="F61" s="3087">
        <v>0.25</v>
      </c>
      <c r="G61" s="3087">
        <v>0.15</v>
      </c>
    </row>
    <row r="62" spans="1:7" ht="19.5" customHeight="1">
      <c r="A62" s="3119" t="s">
        <v>2593</v>
      </c>
      <c r="B62" s="3087">
        <v>0.6</v>
      </c>
      <c r="C62" s="3087">
        <v>0.3</v>
      </c>
      <c r="D62" s="3087">
        <v>0.25</v>
      </c>
      <c r="E62" s="3087">
        <v>0.25</v>
      </c>
      <c r="F62" s="3087">
        <v>0.25</v>
      </c>
      <c r="G62" s="3087">
        <v>0.15</v>
      </c>
    </row>
    <row r="63" spans="1:7" ht="19.5" customHeight="1">
      <c r="A63" s="3119" t="s">
        <v>2594</v>
      </c>
      <c r="B63" s="3087">
        <v>0.6</v>
      </c>
      <c r="C63" s="3087">
        <v>0.3</v>
      </c>
      <c r="D63" s="3087">
        <v>0.25</v>
      </c>
      <c r="E63" s="3087">
        <v>0.25</v>
      </c>
      <c r="F63" s="3087">
        <v>0.25</v>
      </c>
      <c r="G63" s="3087">
        <v>0.15</v>
      </c>
    </row>
    <row r="64" spans="1:7" ht="19.5" customHeight="1">
      <c r="A64" s="3119" t="s">
        <v>2595</v>
      </c>
      <c r="B64" s="3087">
        <v>0.5</v>
      </c>
      <c r="C64" s="3087">
        <v>0.2</v>
      </c>
      <c r="D64" s="3087">
        <v>0.2</v>
      </c>
      <c r="E64" s="3087">
        <v>0.2</v>
      </c>
      <c r="F64" s="3087">
        <v>0.2</v>
      </c>
      <c r="G64" s="3087">
        <v>0.1</v>
      </c>
    </row>
    <row r="65" spans="1:7" ht="19.5" customHeight="1">
      <c r="A65" s="3119" t="s">
        <v>2596</v>
      </c>
      <c r="B65" s="3087">
        <v>0.5</v>
      </c>
      <c r="C65" s="3087">
        <v>0.2</v>
      </c>
      <c r="D65" s="3087">
        <v>0.2</v>
      </c>
      <c r="E65" s="3087">
        <v>0.2</v>
      </c>
      <c r="F65" s="3087">
        <v>0.2</v>
      </c>
      <c r="G65" s="3087">
        <v>0.1</v>
      </c>
    </row>
    <row r="66" spans="1:7" ht="19.5" customHeight="1">
      <c r="A66" s="3119" t="s">
        <v>2597</v>
      </c>
      <c r="B66" s="3087">
        <v>0.5</v>
      </c>
      <c r="C66" s="3087">
        <v>0.2</v>
      </c>
      <c r="D66" s="3087">
        <v>0.2</v>
      </c>
      <c r="E66" s="3087">
        <v>0.2</v>
      </c>
      <c r="F66" s="3087">
        <v>0.2</v>
      </c>
      <c r="G66" s="3087">
        <v>0.1</v>
      </c>
    </row>
    <row r="67" spans="1:7" ht="19.5" customHeight="1">
      <c r="A67" s="3119" t="s">
        <v>2598</v>
      </c>
      <c r="B67" s="3087">
        <v>0.5</v>
      </c>
      <c r="C67" s="3087">
        <v>0.2</v>
      </c>
      <c r="D67" s="3087">
        <v>0.2</v>
      </c>
      <c r="E67" s="3087">
        <v>0.2</v>
      </c>
      <c r="F67" s="3087">
        <v>0.2</v>
      </c>
      <c r="G67" s="3087">
        <v>0.1</v>
      </c>
    </row>
    <row r="68" spans="1:7" ht="19.5" customHeight="1">
      <c r="A68" s="3119" t="s">
        <v>2599</v>
      </c>
      <c r="B68" s="3087">
        <v>0.5</v>
      </c>
      <c r="C68" s="3087">
        <v>0.2</v>
      </c>
      <c r="D68" s="3087">
        <v>0.2</v>
      </c>
      <c r="E68" s="3087">
        <v>0.2</v>
      </c>
      <c r="F68" s="3087">
        <v>0.2</v>
      </c>
      <c r="G68" s="3087">
        <v>0.1</v>
      </c>
    </row>
    <row r="70" spans="1:7" ht="19.5" customHeight="1">
      <c r="A70" s="3120"/>
      <c r="B70" s="3121"/>
      <c r="C70" s="3121"/>
      <c r="D70" s="3121" t="s">
        <v>2636</v>
      </c>
      <c r="E70" s="3121"/>
      <c r="F70" s="3121"/>
    </row>
    <row r="71" spans="1:7" ht="19.5" customHeight="1">
      <c r="A71" s="3113" t="s">
        <v>2637</v>
      </c>
      <c r="B71" s="3113" t="s">
        <v>2638</v>
      </c>
      <c r="C71" s="3113" t="s">
        <v>2639</v>
      </c>
      <c r="D71" s="3113" t="s">
        <v>2640</v>
      </c>
      <c r="E71" s="3113" t="s">
        <v>2641</v>
      </c>
      <c r="F71" s="3113" t="s">
        <v>2642</v>
      </c>
    </row>
    <row r="72" spans="1:7" ht="13.5">
      <c r="A72" s="3113"/>
      <c r="B72" s="3113"/>
      <c r="C72" s="3113" t="s">
        <v>2643</v>
      </c>
      <c r="D72" s="3113"/>
      <c r="E72" s="3113" t="s">
        <v>2614</v>
      </c>
      <c r="F72" s="3113" t="s">
        <v>2614</v>
      </c>
    </row>
    <row r="73" spans="1:7" ht="13.5">
      <c r="A73" s="3113">
        <v>1</v>
      </c>
      <c r="B73" s="3807" t="s">
        <v>2644</v>
      </c>
      <c r="C73" s="3087" t="s">
        <v>2645</v>
      </c>
      <c r="D73" s="3087" t="s">
        <v>2646</v>
      </c>
      <c r="E73" s="3113">
        <v>0.2</v>
      </c>
      <c r="F73" s="3113">
        <v>25</v>
      </c>
    </row>
    <row r="74" spans="1:7" ht="24">
      <c r="A74" s="3113">
        <v>2</v>
      </c>
      <c r="B74" s="3809"/>
      <c r="C74" s="3087" t="s">
        <v>2647</v>
      </c>
      <c r="D74" s="3087" t="s">
        <v>2648</v>
      </c>
      <c r="E74" s="3113">
        <v>0.2</v>
      </c>
      <c r="F74" s="3113">
        <v>25</v>
      </c>
    </row>
    <row r="75" spans="1:7" ht="24">
      <c r="A75" s="3113">
        <v>3</v>
      </c>
      <c r="B75" s="3809"/>
      <c r="C75" s="3087" t="s">
        <v>2649</v>
      </c>
      <c r="D75" s="3087" t="s">
        <v>2650</v>
      </c>
      <c r="E75" s="3113">
        <v>0.2</v>
      </c>
      <c r="F75" s="3113">
        <v>25</v>
      </c>
    </row>
    <row r="76" spans="1:7" ht="13.5">
      <c r="A76" s="3113">
        <v>4</v>
      </c>
      <c r="B76" s="3809"/>
      <c r="C76" s="3087" t="s">
        <v>2651</v>
      </c>
      <c r="D76" s="3087" t="s">
        <v>2652</v>
      </c>
      <c r="E76" s="3113">
        <v>0.15</v>
      </c>
      <c r="F76" s="3113">
        <v>20</v>
      </c>
    </row>
    <row r="77" spans="1:7" ht="24">
      <c r="A77" s="3113">
        <v>5</v>
      </c>
      <c r="B77" s="3809"/>
      <c r="C77" s="3087" t="s">
        <v>2653</v>
      </c>
      <c r="D77" s="3087" t="s">
        <v>2654</v>
      </c>
      <c r="E77" s="3113">
        <v>0.15</v>
      </c>
      <c r="F77" s="3113">
        <v>20</v>
      </c>
    </row>
    <row r="78" spans="1:7" ht="24">
      <c r="A78" s="3113">
        <v>6</v>
      </c>
      <c r="B78" s="3809"/>
      <c r="C78" s="3087" t="s">
        <v>2655</v>
      </c>
      <c r="D78" s="3087" t="s">
        <v>2656</v>
      </c>
      <c r="E78" s="3113">
        <v>0.15</v>
      </c>
      <c r="F78" s="3113">
        <v>20</v>
      </c>
    </row>
    <row r="79" spans="1:7" ht="24">
      <c r="A79" s="3113">
        <v>7</v>
      </c>
      <c r="B79" s="3809"/>
      <c r="C79" s="3087" t="s">
        <v>2657</v>
      </c>
      <c r="D79" s="3087" t="s">
        <v>2658</v>
      </c>
      <c r="E79" s="3113">
        <v>0.15</v>
      </c>
      <c r="F79" s="3113">
        <v>20</v>
      </c>
    </row>
    <row r="80" spans="1:7" ht="24">
      <c r="A80" s="3113">
        <v>8</v>
      </c>
      <c r="B80" s="3809"/>
      <c r="C80" s="3087" t="s">
        <v>2659</v>
      </c>
      <c r="D80" s="3087" t="s">
        <v>2660</v>
      </c>
      <c r="E80" s="3113">
        <v>0.1</v>
      </c>
      <c r="F80" s="3113">
        <v>15</v>
      </c>
    </row>
    <row r="81" spans="1:6" ht="24">
      <c r="A81" s="3113">
        <v>9</v>
      </c>
      <c r="B81" s="3809"/>
      <c r="C81" s="3087" t="s">
        <v>2661</v>
      </c>
      <c r="D81" s="3087" t="s">
        <v>2662</v>
      </c>
      <c r="E81" s="3113">
        <v>0.1</v>
      </c>
      <c r="F81" s="3113">
        <v>15</v>
      </c>
    </row>
    <row r="82" spans="1:6" ht="24">
      <c r="A82" s="3113">
        <v>10</v>
      </c>
      <c r="B82" s="3809"/>
      <c r="C82" s="3087" t="s">
        <v>2663</v>
      </c>
      <c r="D82" s="3087" t="s">
        <v>2664</v>
      </c>
      <c r="E82" s="3113">
        <v>0.1</v>
      </c>
      <c r="F82" s="3113">
        <v>15</v>
      </c>
    </row>
    <row r="83" spans="1:6" ht="24">
      <c r="A83" s="3113">
        <v>11</v>
      </c>
      <c r="B83" s="3809"/>
      <c r="C83" s="3087" t="s">
        <v>2665</v>
      </c>
      <c r="D83" s="3087" t="s">
        <v>2666</v>
      </c>
      <c r="E83" s="3113">
        <v>0.1</v>
      </c>
      <c r="F83" s="3113">
        <v>15</v>
      </c>
    </row>
    <row r="84" spans="1:6" ht="24">
      <c r="A84" s="3113">
        <v>12</v>
      </c>
      <c r="B84" s="3809"/>
      <c r="C84" s="3087" t="s">
        <v>2667</v>
      </c>
      <c r="D84" s="3087" t="s">
        <v>2668</v>
      </c>
      <c r="E84" s="3113">
        <v>0.1</v>
      </c>
      <c r="F84" s="3113">
        <v>15</v>
      </c>
    </row>
    <row r="85" spans="1:6" ht="13.5">
      <c r="A85" s="3113">
        <v>13</v>
      </c>
      <c r="B85" s="3809"/>
      <c r="C85" s="3087" t="s">
        <v>2669</v>
      </c>
      <c r="D85" s="3087" t="s">
        <v>2670</v>
      </c>
      <c r="E85" s="3113">
        <v>0.1</v>
      </c>
      <c r="F85" s="3113">
        <v>15</v>
      </c>
    </row>
    <row r="86" spans="1:6" ht="13.5">
      <c r="A86" s="3113">
        <v>14</v>
      </c>
      <c r="B86" s="3809"/>
      <c r="C86" s="3087" t="s">
        <v>2671</v>
      </c>
      <c r="D86" s="3087" t="s">
        <v>2672</v>
      </c>
      <c r="E86" s="3113">
        <v>0.1</v>
      </c>
      <c r="F86" s="3113">
        <v>15</v>
      </c>
    </row>
    <row r="87" spans="1:6" ht="13.5">
      <c r="A87" s="3113">
        <v>15</v>
      </c>
      <c r="B87" s="3809"/>
      <c r="C87" s="3087" t="s">
        <v>2673</v>
      </c>
      <c r="D87" s="3087" t="s">
        <v>2674</v>
      </c>
      <c r="E87" s="3113">
        <v>0.1</v>
      </c>
      <c r="F87" s="3113">
        <v>15</v>
      </c>
    </row>
    <row r="88" spans="1:6" ht="24">
      <c r="A88" s="3113">
        <v>16</v>
      </c>
      <c r="B88" s="3809"/>
      <c r="C88" s="3087" t="s">
        <v>2675</v>
      </c>
      <c r="D88" s="3087" t="s">
        <v>2676</v>
      </c>
      <c r="E88" s="3113">
        <v>0.1</v>
      </c>
      <c r="F88" s="3113">
        <v>15</v>
      </c>
    </row>
    <row r="89" spans="1:6" ht="24">
      <c r="A89" s="3113">
        <v>17</v>
      </c>
      <c r="B89" s="3808"/>
      <c r="C89" s="3087" t="s">
        <v>2677</v>
      </c>
      <c r="D89" s="3087" t="s">
        <v>2678</v>
      </c>
      <c r="E89" s="3113">
        <v>0.1</v>
      </c>
      <c r="F89" s="3113">
        <v>15</v>
      </c>
    </row>
    <row r="90" spans="1:6" ht="13.5">
      <c r="A90" s="3113">
        <v>18</v>
      </c>
      <c r="B90" s="3807" t="s">
        <v>2679</v>
      </c>
      <c r="C90" s="3087" t="s">
        <v>2680</v>
      </c>
      <c r="D90" s="3087" t="s">
        <v>2681</v>
      </c>
      <c r="E90" s="3113">
        <v>0.2</v>
      </c>
      <c r="F90" s="3113">
        <v>25</v>
      </c>
    </row>
    <row r="91" spans="1:6" ht="24">
      <c r="A91" s="3113">
        <v>19</v>
      </c>
      <c r="B91" s="3809"/>
      <c r="C91" s="3087" t="s">
        <v>2682</v>
      </c>
      <c r="D91" s="3087" t="s">
        <v>2683</v>
      </c>
      <c r="E91" s="3113">
        <v>0.2</v>
      </c>
      <c r="F91" s="3113">
        <v>25</v>
      </c>
    </row>
    <row r="92" spans="1:6" ht="13.5">
      <c r="A92" s="3113">
        <v>20</v>
      </c>
      <c r="B92" s="3809"/>
      <c r="C92" s="3087" t="s">
        <v>2684</v>
      </c>
      <c r="D92" s="3087" t="s">
        <v>2685</v>
      </c>
      <c r="E92" s="3113">
        <v>0.15</v>
      </c>
      <c r="F92" s="3113">
        <v>20</v>
      </c>
    </row>
    <row r="93" spans="1:6" ht="13.5">
      <c r="A93" s="3113">
        <v>21</v>
      </c>
      <c r="B93" s="3809"/>
      <c r="C93" s="3087" t="s">
        <v>2686</v>
      </c>
      <c r="D93" s="3087" t="s">
        <v>2687</v>
      </c>
      <c r="E93" s="3113">
        <v>0.15</v>
      </c>
      <c r="F93" s="3113">
        <v>20</v>
      </c>
    </row>
    <row r="94" spans="1:6" ht="13.5">
      <c r="A94" s="3113">
        <v>22</v>
      </c>
      <c r="B94" s="3809"/>
      <c r="C94" s="3087" t="s">
        <v>2688</v>
      </c>
      <c r="D94" s="3087" t="s">
        <v>2689</v>
      </c>
      <c r="E94" s="3113">
        <v>0.15</v>
      </c>
      <c r="F94" s="3113">
        <v>20</v>
      </c>
    </row>
    <row r="95" spans="1:6" ht="36">
      <c r="A95" s="3113">
        <v>23</v>
      </c>
      <c r="B95" s="3809"/>
      <c r="C95" s="3087" t="s">
        <v>2690</v>
      </c>
      <c r="D95" s="3087" t="s">
        <v>2691</v>
      </c>
      <c r="E95" s="3113">
        <v>0.15</v>
      </c>
      <c r="F95" s="3113">
        <v>20</v>
      </c>
    </row>
    <row r="96" spans="1:6" ht="13.5">
      <c r="A96" s="3113">
        <v>24</v>
      </c>
      <c r="B96" s="3809"/>
      <c r="C96" s="3087" t="s">
        <v>2692</v>
      </c>
      <c r="D96" s="3087" t="s">
        <v>2693</v>
      </c>
      <c r="E96" s="3113">
        <v>0.1</v>
      </c>
      <c r="F96" s="3113">
        <v>15</v>
      </c>
    </row>
    <row r="97" spans="1:6" ht="13.5">
      <c r="A97" s="3113">
        <v>25</v>
      </c>
      <c r="B97" s="3809"/>
      <c r="C97" s="3087" t="s">
        <v>2694</v>
      </c>
      <c r="D97" s="3087" t="s">
        <v>2695</v>
      </c>
      <c r="E97" s="3113">
        <v>0.1</v>
      </c>
      <c r="F97" s="3113">
        <v>15</v>
      </c>
    </row>
    <row r="98" spans="1:6" ht="24">
      <c r="A98" s="3113">
        <v>26</v>
      </c>
      <c r="B98" s="3809"/>
      <c r="C98" s="3087" t="s">
        <v>2696</v>
      </c>
      <c r="D98" s="3087" t="s">
        <v>2697</v>
      </c>
      <c r="E98" s="3113">
        <v>0.1</v>
      </c>
      <c r="F98" s="3113">
        <v>15</v>
      </c>
    </row>
    <row r="99" spans="1:6" ht="24">
      <c r="A99" s="3113">
        <v>27</v>
      </c>
      <c r="B99" s="3809"/>
      <c r="C99" s="3087" t="s">
        <v>2698</v>
      </c>
      <c r="D99" s="3087" t="s">
        <v>2699</v>
      </c>
      <c r="E99" s="3113">
        <v>0.1</v>
      </c>
      <c r="F99" s="3113">
        <v>15</v>
      </c>
    </row>
    <row r="100" spans="1:6" ht="13.5">
      <c r="A100" s="3113">
        <v>28</v>
      </c>
      <c r="B100" s="3809"/>
      <c r="C100" s="3087" t="s">
        <v>2700</v>
      </c>
      <c r="D100" s="3087" t="s">
        <v>2701</v>
      </c>
      <c r="E100" s="3113">
        <v>0.1</v>
      </c>
      <c r="F100" s="3113">
        <v>15</v>
      </c>
    </row>
    <row r="101" spans="1:6" ht="13.5">
      <c r="A101" s="3113">
        <v>29</v>
      </c>
      <c r="B101" s="3809"/>
      <c r="C101" s="3087" t="s">
        <v>2702</v>
      </c>
      <c r="D101" s="3087" t="s">
        <v>2703</v>
      </c>
      <c r="E101" s="3113">
        <v>0.1</v>
      </c>
      <c r="F101" s="3113">
        <v>15</v>
      </c>
    </row>
    <row r="102" spans="1:6" ht="13.5">
      <c r="A102" s="3113">
        <v>30</v>
      </c>
      <c r="B102" s="3809"/>
      <c r="C102" s="3087" t="s">
        <v>2704</v>
      </c>
      <c r="D102" s="3087" t="s">
        <v>2705</v>
      </c>
      <c r="E102" s="3113">
        <v>0.1</v>
      </c>
      <c r="F102" s="3113">
        <v>15</v>
      </c>
    </row>
    <row r="103" spans="1:6" ht="24">
      <c r="A103" s="3113">
        <v>31</v>
      </c>
      <c r="B103" s="3809"/>
      <c r="C103" s="3087" t="s">
        <v>2706</v>
      </c>
      <c r="D103" s="3087" t="s">
        <v>2707</v>
      </c>
      <c r="E103" s="3113">
        <v>0.1</v>
      </c>
      <c r="F103" s="3113">
        <v>15</v>
      </c>
    </row>
    <row r="104" spans="1:6" ht="24">
      <c r="A104" s="3113">
        <v>32</v>
      </c>
      <c r="B104" s="3809"/>
      <c r="C104" s="3087" t="s">
        <v>2708</v>
      </c>
      <c r="D104" s="3087" t="s">
        <v>2709</v>
      </c>
      <c r="E104" s="3113">
        <v>0.1</v>
      </c>
      <c r="F104" s="3113">
        <v>15</v>
      </c>
    </row>
    <row r="105" spans="1:6" ht="24">
      <c r="A105" s="3113">
        <v>33</v>
      </c>
      <c r="B105" s="3809"/>
      <c r="C105" s="3087" t="s">
        <v>2710</v>
      </c>
      <c r="D105" s="3087" t="s">
        <v>2711</v>
      </c>
      <c r="E105" s="3113">
        <v>0.1</v>
      </c>
      <c r="F105" s="3113">
        <v>15</v>
      </c>
    </row>
    <row r="106" spans="1:6" ht="24">
      <c r="A106" s="3113">
        <v>34</v>
      </c>
      <c r="B106" s="3808"/>
      <c r="C106" s="3087" t="s">
        <v>2712</v>
      </c>
      <c r="D106" s="3087" t="s">
        <v>2713</v>
      </c>
      <c r="E106" s="3113">
        <v>0.1</v>
      </c>
      <c r="F106" s="3113">
        <v>15</v>
      </c>
    </row>
    <row r="107" spans="1:6" ht="24">
      <c r="A107" s="3113">
        <v>35</v>
      </c>
      <c r="B107" s="3807" t="s">
        <v>2714</v>
      </c>
      <c r="C107" s="3113" t="s">
        <v>2715</v>
      </c>
      <c r="D107" s="3087" t="s">
        <v>2716</v>
      </c>
      <c r="E107" s="3113">
        <v>0.15</v>
      </c>
      <c r="F107" s="3113">
        <v>20</v>
      </c>
    </row>
    <row r="108" spans="1:6" ht="13.5">
      <c r="A108" s="3113">
        <v>36</v>
      </c>
      <c r="B108" s="3809"/>
      <c r="C108" s="3113" t="s">
        <v>2717</v>
      </c>
      <c r="D108" s="3087" t="s">
        <v>2718</v>
      </c>
      <c r="E108" s="3113">
        <v>0.15</v>
      </c>
      <c r="F108" s="3113">
        <v>20</v>
      </c>
    </row>
    <row r="109" spans="1:6" ht="13.5">
      <c r="A109" s="3113">
        <v>37</v>
      </c>
      <c r="B109" s="3809"/>
      <c r="C109" s="3113" t="s">
        <v>2719</v>
      </c>
      <c r="D109" s="3087" t="s">
        <v>2720</v>
      </c>
      <c r="E109" s="3113">
        <v>0.15</v>
      </c>
      <c r="F109" s="3113">
        <v>20</v>
      </c>
    </row>
    <row r="110" spans="1:6" ht="13.5">
      <c r="A110" s="3113">
        <v>38</v>
      </c>
      <c r="B110" s="3809"/>
      <c r="C110" s="3113" t="s">
        <v>2721</v>
      </c>
      <c r="D110" s="3087" t="s">
        <v>2722</v>
      </c>
      <c r="E110" s="3113">
        <v>0.1</v>
      </c>
      <c r="F110" s="3113">
        <v>15</v>
      </c>
    </row>
    <row r="111" spans="1:6" ht="24">
      <c r="A111" s="3113">
        <v>39</v>
      </c>
      <c r="B111" s="3809"/>
      <c r="C111" s="3113" t="s">
        <v>2723</v>
      </c>
      <c r="D111" s="3087" t="s">
        <v>2724</v>
      </c>
      <c r="E111" s="3113">
        <v>0.1</v>
      </c>
      <c r="F111" s="3113">
        <v>15</v>
      </c>
    </row>
    <row r="112" spans="1:6" ht="24">
      <c r="A112" s="3113">
        <v>40</v>
      </c>
      <c r="B112" s="3808"/>
      <c r="C112" s="3113" t="s">
        <v>2725</v>
      </c>
      <c r="D112" s="3087" t="s">
        <v>2726</v>
      </c>
      <c r="E112" s="3113">
        <v>0.1</v>
      </c>
      <c r="F112" s="3113">
        <v>15</v>
      </c>
    </row>
    <row r="113" spans="1:6" ht="13.5">
      <c r="A113" s="3113">
        <v>41</v>
      </c>
      <c r="B113" s="3806" t="s">
        <v>2727</v>
      </c>
      <c r="C113" s="3113" t="s">
        <v>2728</v>
      </c>
      <c r="D113" s="3087" t="s">
        <v>2729</v>
      </c>
      <c r="E113" s="3113">
        <v>0.1</v>
      </c>
      <c r="F113" s="3113">
        <v>15</v>
      </c>
    </row>
    <row r="114" spans="1:6" ht="13.5">
      <c r="A114" s="3113">
        <v>42</v>
      </c>
      <c r="B114" s="3806"/>
      <c r="C114" s="3113" t="s">
        <v>2730</v>
      </c>
      <c r="D114" s="3087" t="s">
        <v>2731</v>
      </c>
      <c r="E114" s="3113">
        <v>0.1</v>
      </c>
      <c r="F114" s="3113">
        <v>15</v>
      </c>
    </row>
    <row r="115" spans="1:6" ht="24">
      <c r="A115" s="3113">
        <v>43</v>
      </c>
      <c r="B115" s="3806"/>
      <c r="C115" s="3113" t="s">
        <v>2732</v>
      </c>
      <c r="D115" s="3087" t="s">
        <v>2733</v>
      </c>
      <c r="E115" s="3113">
        <v>0.1</v>
      </c>
      <c r="F115" s="3113">
        <v>15</v>
      </c>
    </row>
    <row r="116" spans="1:6" ht="13.5">
      <c r="A116" s="3113">
        <v>44</v>
      </c>
      <c r="B116" s="3807" t="s">
        <v>2734</v>
      </c>
      <c r="C116" s="3113" t="s">
        <v>2735</v>
      </c>
      <c r="D116" s="3087" t="s">
        <v>2736</v>
      </c>
      <c r="E116" s="3113">
        <v>0.1</v>
      </c>
      <c r="F116" s="3113">
        <v>15</v>
      </c>
    </row>
    <row r="117" spans="1:6" ht="24">
      <c r="A117" s="3113">
        <v>45</v>
      </c>
      <c r="B117" s="3808"/>
      <c r="C117" s="3087" t="s">
        <v>2737</v>
      </c>
      <c r="D117" s="3087" t="s">
        <v>2738</v>
      </c>
      <c r="E117" s="3113">
        <v>0.1</v>
      </c>
      <c r="F117" s="3113">
        <v>15</v>
      </c>
    </row>
    <row r="118" spans="1:6" ht="24">
      <c r="A118" s="3113">
        <v>46</v>
      </c>
      <c r="B118" s="3807" t="s">
        <v>2739</v>
      </c>
      <c r="C118" s="3113" t="s">
        <v>2740</v>
      </c>
      <c r="D118" s="3087" t="s">
        <v>2741</v>
      </c>
      <c r="E118" s="3113">
        <v>0.1</v>
      </c>
      <c r="F118" s="3113">
        <v>15</v>
      </c>
    </row>
    <row r="119" spans="1:6" ht="24">
      <c r="A119" s="3113">
        <v>47</v>
      </c>
      <c r="B119" s="3808"/>
      <c r="C119" s="3113" t="s">
        <v>2742</v>
      </c>
      <c r="D119" s="3087" t="s">
        <v>2743</v>
      </c>
      <c r="E119" s="3113">
        <v>0.1</v>
      </c>
      <c r="F119" s="3113">
        <v>15</v>
      </c>
    </row>
    <row r="120" spans="1:6" ht="13.5">
      <c r="A120" s="3113">
        <v>48</v>
      </c>
      <c r="B120" s="3807" t="s">
        <v>2744</v>
      </c>
      <c r="C120" s="3113" t="s">
        <v>2745</v>
      </c>
      <c r="D120" s="3087" t="s">
        <v>2746</v>
      </c>
      <c r="E120" s="3113">
        <v>0.1</v>
      </c>
      <c r="F120" s="3113">
        <v>15</v>
      </c>
    </row>
    <row r="121" spans="1:6" ht="13.5">
      <c r="A121" s="3113">
        <v>49</v>
      </c>
      <c r="B121" s="3808"/>
      <c r="C121" s="3113" t="s">
        <v>2747</v>
      </c>
      <c r="D121" s="3087" t="s">
        <v>2748</v>
      </c>
      <c r="E121" s="3113">
        <v>0.1</v>
      </c>
      <c r="F121" s="3113">
        <v>15</v>
      </c>
    </row>
    <row r="122" spans="1:6" ht="24">
      <c r="A122" s="3113">
        <v>50</v>
      </c>
      <c r="B122" s="3806" t="s">
        <v>2749</v>
      </c>
      <c r="C122" s="3113" t="s">
        <v>2750</v>
      </c>
      <c r="D122" s="3087" t="s">
        <v>2751</v>
      </c>
      <c r="E122" s="3113">
        <v>0.1</v>
      </c>
      <c r="F122" s="3113">
        <v>15</v>
      </c>
    </row>
    <row r="123" spans="1:6" ht="24">
      <c r="A123" s="3113">
        <v>51</v>
      </c>
      <c r="B123" s="3806"/>
      <c r="C123" s="3113" t="s">
        <v>2752</v>
      </c>
      <c r="D123" s="3087" t="s">
        <v>2753</v>
      </c>
      <c r="E123" s="3113">
        <v>0.1</v>
      </c>
      <c r="F123" s="3113">
        <v>15</v>
      </c>
    </row>
    <row r="124" spans="1:6" ht="24">
      <c r="A124" s="3113">
        <v>52</v>
      </c>
      <c r="B124" s="3806" t="s">
        <v>2754</v>
      </c>
      <c r="C124" s="3113" t="s">
        <v>2755</v>
      </c>
      <c r="D124" s="3087" t="s">
        <v>2756</v>
      </c>
      <c r="E124" s="3113">
        <v>0.1</v>
      </c>
      <c r="F124" s="3113">
        <v>15</v>
      </c>
    </row>
    <row r="125" spans="1:6" ht="24">
      <c r="A125" s="3113">
        <v>53</v>
      </c>
      <c r="B125" s="3806"/>
      <c r="C125" s="3113" t="s">
        <v>2757</v>
      </c>
      <c r="D125" s="3087" t="s">
        <v>2758</v>
      </c>
      <c r="E125" s="3113">
        <v>0.1</v>
      </c>
      <c r="F125" s="3113">
        <v>15</v>
      </c>
    </row>
    <row r="126" spans="1:6" ht="13.5">
      <c r="A126" s="3113">
        <v>54</v>
      </c>
      <c r="B126" s="3113" t="s">
        <v>2759</v>
      </c>
      <c r="C126" s="3113" t="s">
        <v>2760</v>
      </c>
      <c r="D126" s="3087" t="s">
        <v>2761</v>
      </c>
      <c r="E126" s="3113">
        <v>0.1</v>
      </c>
      <c r="F126" s="3113">
        <v>15</v>
      </c>
    </row>
    <row r="127" spans="1:6" ht="13.5">
      <c r="A127" s="3113">
        <v>55</v>
      </c>
      <c r="B127" s="3806" t="s">
        <v>2762</v>
      </c>
      <c r="C127" s="3113" t="s">
        <v>2763</v>
      </c>
      <c r="D127" s="3087" t="s">
        <v>2764</v>
      </c>
      <c r="E127" s="3113">
        <v>0.1</v>
      </c>
      <c r="F127" s="3113">
        <v>15</v>
      </c>
    </row>
    <row r="128" spans="1:6" ht="13.5">
      <c r="A128" s="3113">
        <v>56</v>
      </c>
      <c r="B128" s="3806"/>
      <c r="C128" s="3113" t="s">
        <v>2765</v>
      </c>
      <c r="D128" s="3087" t="s">
        <v>2766</v>
      </c>
      <c r="E128" s="3113">
        <v>0.1</v>
      </c>
      <c r="F128" s="3113">
        <v>15</v>
      </c>
    </row>
    <row r="129" spans="1:6" ht="24">
      <c r="A129" s="3113">
        <v>57</v>
      </c>
      <c r="B129" s="3806"/>
      <c r="C129" s="3113" t="s">
        <v>2767</v>
      </c>
      <c r="D129" s="3087" t="s">
        <v>2768</v>
      </c>
      <c r="E129" s="3113">
        <v>0.1</v>
      </c>
      <c r="F129" s="3113">
        <v>15</v>
      </c>
    </row>
    <row r="130" spans="1:6" ht="24">
      <c r="A130" s="3113">
        <v>58</v>
      </c>
      <c r="B130" s="3806" t="s">
        <v>2769</v>
      </c>
      <c r="C130" s="3113" t="s">
        <v>2770</v>
      </c>
      <c r="D130" s="3087" t="s">
        <v>2771</v>
      </c>
      <c r="E130" s="3113">
        <v>0.1</v>
      </c>
      <c r="F130" s="3113">
        <v>15</v>
      </c>
    </row>
    <row r="131" spans="1:6" ht="13.5">
      <c r="A131" s="3113">
        <v>59</v>
      </c>
      <c r="B131" s="3806"/>
      <c r="C131" s="3113" t="s">
        <v>2772</v>
      </c>
      <c r="D131" s="3087" t="s">
        <v>2773</v>
      </c>
      <c r="E131" s="3113">
        <v>0.1</v>
      </c>
      <c r="F131" s="3113">
        <v>15</v>
      </c>
    </row>
    <row r="132" spans="1:6" ht="13.5">
      <c r="A132" s="3113">
        <v>60</v>
      </c>
      <c r="B132" s="3807" t="s">
        <v>2774</v>
      </c>
      <c r="C132" s="3113" t="s">
        <v>2775</v>
      </c>
      <c r="D132" s="3087" t="s">
        <v>2776</v>
      </c>
      <c r="E132" s="3113">
        <v>0.1</v>
      </c>
      <c r="F132" s="3113">
        <v>15</v>
      </c>
    </row>
    <row r="133" spans="1:6" ht="13.5">
      <c r="A133" s="3113">
        <v>61</v>
      </c>
      <c r="B133" s="3808"/>
      <c r="C133" s="3113" t="s">
        <v>2777</v>
      </c>
      <c r="D133" s="3087" t="s">
        <v>2778</v>
      </c>
      <c r="E133" s="3113">
        <v>0.1</v>
      </c>
      <c r="F133" s="3113">
        <v>15</v>
      </c>
    </row>
    <row r="134" spans="1:6" ht="24">
      <c r="A134" s="3113">
        <v>62</v>
      </c>
      <c r="B134" s="3113" t="s">
        <v>2779</v>
      </c>
      <c r="C134" s="3113" t="s">
        <v>2780</v>
      </c>
      <c r="D134" s="3087" t="s">
        <v>2781</v>
      </c>
      <c r="E134" s="3113">
        <v>0.1</v>
      </c>
      <c r="F134" s="3113">
        <v>15</v>
      </c>
    </row>
    <row r="135" spans="1:6" ht="13.5">
      <c r="A135" s="3113">
        <v>63</v>
      </c>
      <c r="B135" s="3806" t="s">
        <v>2782</v>
      </c>
      <c r="C135" s="3113" t="s">
        <v>2783</v>
      </c>
      <c r="D135" s="3087" t="s">
        <v>2784</v>
      </c>
      <c r="E135" s="3113">
        <v>0.1</v>
      </c>
      <c r="F135" s="3113">
        <v>15</v>
      </c>
    </row>
    <row r="136" spans="1:6" ht="13.5">
      <c r="A136" s="3113">
        <v>64</v>
      </c>
      <c r="B136" s="3806"/>
      <c r="C136" s="3113" t="s">
        <v>2785</v>
      </c>
      <c r="D136" s="3087" t="s">
        <v>2786</v>
      </c>
      <c r="E136" s="3113">
        <v>0.1</v>
      </c>
      <c r="F136" s="3113">
        <v>15</v>
      </c>
    </row>
    <row r="137" spans="1:6" ht="13.5">
      <c r="A137" s="3113">
        <v>65</v>
      </c>
      <c r="B137" s="3113" t="s">
        <v>2787</v>
      </c>
      <c r="C137" s="3113" t="s">
        <v>2788</v>
      </c>
      <c r="D137" s="3087" t="s">
        <v>2789</v>
      </c>
      <c r="E137" s="3113">
        <v>0.1</v>
      </c>
      <c r="F137" s="3113">
        <v>15</v>
      </c>
    </row>
    <row r="138" spans="1:6" ht="13.5">
      <c r="A138" s="3113"/>
      <c r="B138" s="3113"/>
      <c r="C138" s="3113"/>
      <c r="D138" s="3113"/>
      <c r="E138" s="3113" t="s">
        <v>2790</v>
      </c>
      <c r="F138" s="3113"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2791</v>
      </c>
      <c r="B1" s="3122"/>
      <c r="C1" s="3122"/>
      <c r="D1" s="3122"/>
      <c r="E1" s="3122"/>
      <c r="F1" s="3122"/>
      <c r="G1" s="3122"/>
      <c r="H1" s="3122"/>
      <c r="I1" s="3122"/>
      <c r="J1" s="3122"/>
      <c r="K1" s="3122"/>
      <c r="L1" s="3122"/>
      <c r="M1" s="3122"/>
      <c r="N1" s="748"/>
    </row>
    <row r="2" spans="1:20">
      <c r="A2" s="3123" t="s">
        <v>2792</v>
      </c>
      <c r="B2" s="3124" t="s">
        <v>2588</v>
      </c>
      <c r="C2" s="3124" t="s">
        <v>2589</v>
      </c>
      <c r="D2" s="3124" t="s">
        <v>2590</v>
      </c>
      <c r="E2" s="3124" t="s">
        <v>2591</v>
      </c>
      <c r="F2" s="3124" t="s">
        <v>2592</v>
      </c>
      <c r="G2" s="3124" t="s">
        <v>2593</v>
      </c>
      <c r="H2" s="3125" t="s">
        <v>2594</v>
      </c>
      <c r="I2" s="3125" t="s">
        <v>2595</v>
      </c>
      <c r="J2" s="3126" t="s">
        <v>2596</v>
      </c>
      <c r="K2" s="3126" t="s">
        <v>2597</v>
      </c>
      <c r="L2" s="3126" t="s">
        <v>2598</v>
      </c>
      <c r="M2" s="3127" t="s">
        <v>2599</v>
      </c>
      <c r="Q2" s="3137" t="s">
        <v>2797</v>
      </c>
      <c r="R2" s="3137" t="s">
        <v>2798</v>
      </c>
      <c r="S2" s="3137" t="s">
        <v>2799</v>
      </c>
      <c r="T2" s="3137" t="s">
        <v>2800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2793</v>
      </c>
      <c r="B93" s="3122"/>
      <c r="C93" s="3122"/>
      <c r="D93" s="3122"/>
      <c r="E93" s="3122"/>
      <c r="F93" s="3122"/>
      <c r="G93" s="3122"/>
      <c r="H93" s="3122"/>
      <c r="I93" s="3122"/>
      <c r="J93" s="3122"/>
      <c r="K93" s="3122"/>
      <c r="L93" s="3122"/>
      <c r="M93" s="3122"/>
    </row>
    <row r="94" spans="1:20">
      <c r="A94" s="3123" t="s">
        <v>2792</v>
      </c>
      <c r="B94" s="3124" t="s">
        <v>2588</v>
      </c>
      <c r="C94" s="3124" t="s">
        <v>2589</v>
      </c>
      <c r="D94" s="3124" t="s">
        <v>2590</v>
      </c>
      <c r="E94" s="3124" t="s">
        <v>2591</v>
      </c>
      <c r="F94" s="3124" t="s">
        <v>2592</v>
      </c>
      <c r="G94" s="3124" t="s">
        <v>2593</v>
      </c>
      <c r="H94" s="3125" t="s">
        <v>2594</v>
      </c>
      <c r="I94" s="3125" t="s">
        <v>2595</v>
      </c>
      <c r="J94" s="3126" t="s">
        <v>2596</v>
      </c>
      <c r="K94" s="3126" t="s">
        <v>2597</v>
      </c>
      <c r="L94" s="3126" t="s">
        <v>2598</v>
      </c>
      <c r="M94" s="3127" t="s">
        <v>2599</v>
      </c>
      <c r="N94" s="749">
        <f>SUMPRODUCT((A95:A184=ROUNDDOWN(基准地价修正!G3,1))*(B94:M94=基准地价修正!G2)*(B95:M184))</f>
        <v>1.2302</v>
      </c>
      <c r="Q94" s="3137" t="s">
        <v>2797</v>
      </c>
      <c r="R94" s="3137" t="s">
        <v>2798</v>
      </c>
      <c r="S94" s="3137" t="s">
        <v>2799</v>
      </c>
      <c r="T94" s="3137" t="s">
        <v>2800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2794</v>
      </c>
      <c r="B185" s="3122"/>
      <c r="C185" s="3122"/>
      <c r="D185" s="3122"/>
      <c r="E185" s="3122"/>
      <c r="F185" s="3122"/>
      <c r="G185" s="3122"/>
      <c r="H185" s="3122"/>
      <c r="I185" s="3122"/>
      <c r="J185" s="3122"/>
      <c r="K185" s="3122"/>
      <c r="L185" s="3122"/>
      <c r="M185" s="3122"/>
    </row>
    <row r="186" spans="1:20">
      <c r="A186" s="3123" t="s">
        <v>2792</v>
      </c>
      <c r="B186" s="3124" t="s">
        <v>2588</v>
      </c>
      <c r="C186" s="3124" t="s">
        <v>2589</v>
      </c>
      <c r="D186" s="3124" t="s">
        <v>2590</v>
      </c>
      <c r="E186" s="3124" t="s">
        <v>2591</v>
      </c>
      <c r="F186" s="3124" t="s">
        <v>2592</v>
      </c>
      <c r="G186" s="3124" t="s">
        <v>2593</v>
      </c>
      <c r="H186" s="3125" t="s">
        <v>2594</v>
      </c>
      <c r="I186" s="3125" t="s">
        <v>2595</v>
      </c>
      <c r="J186" s="3126" t="s">
        <v>2596</v>
      </c>
      <c r="K186" s="3126" t="s">
        <v>2597</v>
      </c>
      <c r="L186" s="3126" t="s">
        <v>2598</v>
      </c>
      <c r="M186" s="3127" t="s">
        <v>2599</v>
      </c>
      <c r="Q186" s="3137" t="s">
        <v>2797</v>
      </c>
      <c r="R186" s="3137" t="s">
        <v>2798</v>
      </c>
      <c r="S186" s="3137" t="s">
        <v>2799</v>
      </c>
      <c r="T186" s="3137" t="s">
        <v>2800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2795</v>
      </c>
      <c r="B277" s="3122"/>
      <c r="C277" s="3122"/>
      <c r="D277" s="3122"/>
      <c r="E277" s="3122"/>
      <c r="F277" s="3122"/>
      <c r="G277" s="3122"/>
      <c r="H277" s="3122"/>
      <c r="I277" s="3122"/>
      <c r="J277" s="3122"/>
      <c r="K277" s="3122"/>
      <c r="L277" s="3122"/>
      <c r="M277" s="3122"/>
    </row>
    <row r="278" spans="1:21">
      <c r="A278" s="3123" t="s">
        <v>2792</v>
      </c>
      <c r="B278" s="3124" t="s">
        <v>2588</v>
      </c>
      <c r="C278" s="3124" t="s">
        <v>2589</v>
      </c>
      <c r="D278" s="3124" t="s">
        <v>2590</v>
      </c>
      <c r="E278" s="3124" t="s">
        <v>2591</v>
      </c>
      <c r="F278" s="3124" t="s">
        <v>2592</v>
      </c>
      <c r="G278" s="3124" t="s">
        <v>2593</v>
      </c>
      <c r="H278" s="3125" t="s">
        <v>2594</v>
      </c>
      <c r="I278" s="3125" t="s">
        <v>2595</v>
      </c>
      <c r="J278" s="3126" t="s">
        <v>2596</v>
      </c>
      <c r="K278" s="3126" t="s">
        <v>2597</v>
      </c>
      <c r="L278" s="3126" t="s">
        <v>2598</v>
      </c>
      <c r="M278" s="3127" t="s">
        <v>2599</v>
      </c>
      <c r="Q278" s="3137" t="s">
        <v>2797</v>
      </c>
      <c r="R278" s="3137" t="s">
        <v>2798</v>
      </c>
      <c r="S278" s="3137" t="s">
        <v>2801</v>
      </c>
      <c r="T278" s="3137" t="s">
        <v>2802</v>
      </c>
      <c r="U278" s="3137" t="s">
        <v>2800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2796</v>
      </c>
      <c r="B369" s="3135"/>
      <c r="C369" s="3135"/>
      <c r="D369" s="3135"/>
      <c r="E369" s="3135"/>
      <c r="F369" s="3135"/>
      <c r="G369" s="3135"/>
      <c r="H369" s="3135"/>
      <c r="I369" s="3135"/>
      <c r="J369" s="3135"/>
      <c r="K369" s="3135"/>
      <c r="L369" s="3135"/>
      <c r="M369" s="3135"/>
    </row>
    <row r="370" spans="1:20">
      <c r="A370" s="3123" t="s">
        <v>2792</v>
      </c>
      <c r="B370" s="3124" t="s">
        <v>2588</v>
      </c>
      <c r="C370" s="3124" t="s">
        <v>2589</v>
      </c>
      <c r="D370" s="3124" t="s">
        <v>2590</v>
      </c>
      <c r="E370" s="3124" t="s">
        <v>2591</v>
      </c>
      <c r="F370" s="3124" t="s">
        <v>2592</v>
      </c>
      <c r="G370" s="3124" t="s">
        <v>2593</v>
      </c>
      <c r="H370" s="3125" t="s">
        <v>2594</v>
      </c>
      <c r="I370" s="3125" t="s">
        <v>2595</v>
      </c>
      <c r="J370" s="3126" t="s">
        <v>2596</v>
      </c>
      <c r="K370" s="3126" t="s">
        <v>2597</v>
      </c>
      <c r="L370" s="3126" t="s">
        <v>2598</v>
      </c>
      <c r="M370" s="3127" t="s">
        <v>2599</v>
      </c>
      <c r="N370" s="749">
        <f>SUMPRODUCT((A371:A460=ROUNDDOWN(基准地价修正!G3,1))*(B370:M370=基准地价修正!G2)*(B371:M460))</f>
        <v>1.1198999999999999</v>
      </c>
      <c r="Q370" s="3137" t="s">
        <v>2797</v>
      </c>
      <c r="R370" s="3137" t="s">
        <v>2798</v>
      </c>
      <c r="S370" s="3137" t="s">
        <v>2799</v>
      </c>
      <c r="T370" s="3137" t="s">
        <v>2800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91"/>
      <c r="B4" s="3498" t="s">
        <v>917</v>
      </c>
      <c r="C4" s="3498"/>
      <c r="D4" s="3498"/>
      <c r="E4" s="1491"/>
    </row>
    <row r="5" spans="1:5" ht="16.5" thickTop="1">
      <c r="A5" s="1489"/>
      <c r="B5" s="3496" t="s">
        <v>909</v>
      </c>
      <c r="C5" s="1492" t="s">
        <v>910</v>
      </c>
      <c r="D5" s="849">
        <f ca="1">结果表!H101</f>
        <v>48844</v>
      </c>
      <c r="E5" s="1489"/>
    </row>
    <row r="6" spans="1:5" ht="15.75">
      <c r="A6" s="1489"/>
      <c r="B6" s="3496"/>
      <c r="C6" s="1492" t="s">
        <v>911</v>
      </c>
      <c r="D6" s="849" t="str">
        <f ca="1">NUMBERSTRING(INT(D5*10000),2)&amp;"元整"</f>
        <v>肆亿捌仟捌佰肆拾肆万元整</v>
      </c>
      <c r="E6" s="1489"/>
    </row>
    <row r="7" spans="1:5" ht="15.75">
      <c r="A7" s="1489"/>
      <c r="B7" s="3501"/>
      <c r="C7" s="1493" t="s">
        <v>912</v>
      </c>
      <c r="D7" s="850">
        <f ca="1">结果表!H102</f>
        <v>14529</v>
      </c>
      <c r="E7" s="1489"/>
    </row>
    <row r="8" spans="1:5" ht="15.75">
      <c r="A8" s="1489"/>
      <c r="B8" s="3502" t="str">
        <f>结果表!E103</f>
        <v>2.估价师知悉的法定优先受偿款</v>
      </c>
      <c r="C8" s="1494" t="s">
        <v>913</v>
      </c>
      <c r="D8" s="850">
        <f>结果表!H103</f>
        <v>0</v>
      </c>
      <c r="E8" s="1489"/>
    </row>
    <row r="9" spans="1:5" ht="15.75">
      <c r="A9" s="1489"/>
      <c r="B9" s="3504"/>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95" t="str">
        <f>结果表!E107</f>
        <v>3.房地产抵押价值</v>
      </c>
      <c r="C13" s="1497" t="s">
        <v>910</v>
      </c>
      <c r="D13" s="852">
        <f ca="1">结果表!H107</f>
        <v>48844</v>
      </c>
      <c r="E13" s="1489"/>
    </row>
    <row r="14" spans="1:5" ht="15.75">
      <c r="A14" s="1489"/>
      <c r="B14" s="3496"/>
      <c r="C14" s="1492" t="s">
        <v>911</v>
      </c>
      <c r="D14" s="849" t="str">
        <f ca="1">NUMBERSTRING(INT(D13*10000),2)&amp;"元整"</f>
        <v>肆亿捌仟捌佰肆拾肆万元整</v>
      </c>
      <c r="E14" s="1489"/>
    </row>
    <row r="15" spans="1:5" ht="15">
      <c r="A15" s="1489"/>
      <c r="B15" s="3501"/>
      <c r="C15" s="1493" t="s">
        <v>921</v>
      </c>
      <c r="D15" s="858">
        <f ca="1">结果表!H108</f>
        <v>14529</v>
      </c>
      <c r="E15" s="1489"/>
    </row>
    <row r="16" spans="1:5" ht="15">
      <c r="A16" s="1489"/>
      <c r="B16" s="3502" t="str">
        <f>结果表!E109</f>
        <v>——</v>
      </c>
      <c r="C16" s="1497" t="s">
        <v>922</v>
      </c>
      <c r="D16" s="1498" t="str">
        <f>结果表!H109</f>
        <v>——</v>
      </c>
      <c r="E16" s="1489"/>
    </row>
    <row r="17" spans="1:5" ht="15.75">
      <c r="A17" s="1489"/>
      <c r="B17" s="3503"/>
      <c r="C17" s="1492" t="s">
        <v>923</v>
      </c>
      <c r="D17" s="849" t="e">
        <f>NUMBERSTRING(INT(D16*10000),2)&amp;"元整"</f>
        <v>#VALUE!</v>
      </c>
      <c r="E17" s="1489"/>
    </row>
    <row r="18" spans="1:5" ht="15">
      <c r="A18" s="1489"/>
      <c r="B18" s="3504"/>
      <c r="C18" s="1493" t="s">
        <v>912</v>
      </c>
      <c r="D18" s="858" t="str">
        <f>结果表!H110</f>
        <v>——</v>
      </c>
      <c r="E18" s="1489"/>
    </row>
    <row r="19" spans="1:5" ht="15.75">
      <c r="A19" s="1489"/>
      <c r="B19" s="3495" t="str">
        <f>结果表!E111</f>
        <v>——</v>
      </c>
      <c r="C19" s="1497" t="s">
        <v>910</v>
      </c>
      <c r="D19" s="850" t="str">
        <f>结果表!H111</f>
        <v>——</v>
      </c>
      <c r="E19" s="1489"/>
    </row>
    <row r="20" spans="1:5" ht="15.75">
      <c r="A20" s="1489"/>
      <c r="B20" s="3496"/>
      <c r="C20" s="1492" t="s">
        <v>923</v>
      </c>
      <c r="D20" s="849" t="e">
        <f>NUMBERSTRING(INT(D19*10000),2)&amp;"元整"</f>
        <v>#VALUE!</v>
      </c>
      <c r="E20" s="1489"/>
    </row>
    <row r="21" spans="1:5" ht="15.75" thickBot="1">
      <c r="A21" s="1489"/>
      <c r="B21" s="3497"/>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68826</v>
      </c>
      <c r="C2" s="2" t="s">
        <v>106</v>
      </c>
      <c r="D2" s="198"/>
      <c r="E2" s="198"/>
      <c r="F2" s="198"/>
      <c r="G2" s="198"/>
    </row>
    <row r="3" spans="1:7" s="199" customFormat="1" ht="18" customHeight="1" thickBot="1">
      <c r="A3" s="202" t="s">
        <v>58</v>
      </c>
      <c r="B3" s="203">
        <f ca="1">ROUND(B2*10000/'数据-汇总表'!E3,0)</f>
        <v>20473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80</v>
      </c>
      <c r="F9" s="220"/>
      <c r="G9" s="225"/>
    </row>
    <row r="10" spans="1:7" s="213" customFormat="1" ht="13.5" customHeight="1">
      <c r="A10" s="778" t="s">
        <v>356</v>
      </c>
      <c r="B10" s="223" t="s">
        <v>67</v>
      </c>
      <c r="C10" s="224">
        <f>ROUND(D10*E10/10000,0)</f>
        <v>269</v>
      </c>
      <c r="D10" s="844">
        <f>'数据-汇总表'!E6</f>
        <v>33618.589999999997</v>
      </c>
      <c r="E10" s="224">
        <f>'数据-取费表'!B28</f>
        <v>80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672</v>
      </c>
      <c r="D19" s="848">
        <f>'数据-汇总表'!E3</f>
        <v>33618.589999999997</v>
      </c>
      <c r="E19" s="210">
        <f>'数据-取费表'!B31</f>
        <v>200</v>
      </c>
      <c r="F19" s="230"/>
      <c r="G19" s="1" t="s">
        <v>436</v>
      </c>
    </row>
    <row r="20" spans="1:7" s="213" customFormat="1" ht="13.5" customHeight="1">
      <c r="A20" s="776" t="s">
        <v>419</v>
      </c>
      <c r="B20" s="209" t="s">
        <v>77</v>
      </c>
      <c r="C20" s="231">
        <f>ROUND((C5+C19)*F20,0)</f>
        <v>638</v>
      </c>
      <c r="D20" s="231"/>
      <c r="E20" s="231"/>
      <c r="F20" s="232">
        <f>'数据-取费表'!B37</f>
        <v>0.03</v>
      </c>
      <c r="G20" s="1066" t="s">
        <v>430</v>
      </c>
    </row>
    <row r="21" spans="1:7" s="213" customFormat="1" ht="13.5" customHeight="1">
      <c r="A21" s="776" t="s">
        <v>421</v>
      </c>
      <c r="B21" s="209" t="s">
        <v>78</v>
      </c>
      <c r="C21" s="234">
        <f>F21</f>
        <v>0.03</v>
      </c>
      <c r="D21" s="235" t="s">
        <v>99</v>
      </c>
      <c r="E21" s="231"/>
      <c r="F21" s="232">
        <f>'数据-取费表'!B38</f>
        <v>0.03</v>
      </c>
      <c r="G21" s="233" t="s">
        <v>79</v>
      </c>
    </row>
    <row r="22" spans="1:7" s="213" customFormat="1" ht="13.5" customHeight="1">
      <c r="A22" s="776" t="s">
        <v>341</v>
      </c>
      <c r="B22" s="209" t="s">
        <v>80</v>
      </c>
      <c r="C22" s="1103">
        <f ca="1">ROUND(SUM(C23:C25),0)</f>
        <v>1471</v>
      </c>
      <c r="D22" s="234">
        <f ca="1">C26</f>
        <v>1E-3</v>
      </c>
      <c r="E22" s="235" t="s">
        <v>99</v>
      </c>
      <c r="F22" s="236">
        <f ca="1">'数据-取费表'!B40</f>
        <v>3.3500000000000002E-2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46</v>
      </c>
      <c r="D24" s="237"/>
      <c r="E24" s="237"/>
      <c r="F24" s="238"/>
      <c r="G24" s="239" t="s">
        <v>82</v>
      </c>
    </row>
    <row r="25" spans="1:7" s="213" customFormat="1" ht="24">
      <c r="A25" s="779" t="s">
        <v>348</v>
      </c>
      <c r="B25" s="214" t="s">
        <v>420</v>
      </c>
      <c r="C25" s="1104">
        <f ca="1">ROUND(IF('数据-取费表'!B22&lt;=1,C20*F22*'数据-取费表'!B23/2,C20*(POWER((1+F22),'数据-取费表'!B23/2)-1)),0)</f>
        <v>21</v>
      </c>
      <c r="D25" s="237"/>
      <c r="E25" s="240"/>
      <c r="F25" s="238"/>
      <c r="G25" s="241" t="s">
        <v>83</v>
      </c>
    </row>
    <row r="26" spans="1:7" s="213" customFormat="1">
      <c r="A26" s="779" t="s">
        <v>350</v>
      </c>
      <c r="B26" s="214" t="s">
        <v>422</v>
      </c>
      <c r="C26" s="237">
        <f ca="1">ROUND(IF('数据-取费表'!B22&lt;=1,F21*F22*'数据-取费表'!B23/2,F21*(POWER((1+F22),'数据-取费表'!B23/2)-1)),4)</f>
        <v>1E-3</v>
      </c>
      <c r="D26" s="237"/>
      <c r="E26" s="240"/>
      <c r="F26" s="238"/>
      <c r="G26" s="242"/>
    </row>
    <row r="27" spans="1:7" s="213" customFormat="1" ht="24.75">
      <c r="A27" s="776" t="s">
        <v>342</v>
      </c>
      <c r="B27" s="243" t="s">
        <v>85</v>
      </c>
      <c r="C27" s="244">
        <f>C28</f>
        <v>3288</v>
      </c>
      <c r="D27" s="234">
        <f>C29</f>
        <v>4.4999999999999997E-3</v>
      </c>
      <c r="E27" s="235" t="s">
        <v>99</v>
      </c>
      <c r="F27" s="245">
        <f>'数据-取费表'!Q16</f>
        <v>0.15</v>
      </c>
      <c r="G27" s="246" t="s">
        <v>431</v>
      </c>
    </row>
    <row r="28" spans="1:7" s="213" customFormat="1" ht="13.5" customHeight="1">
      <c r="A28" s="779" t="s">
        <v>349</v>
      </c>
      <c r="B28" s="247" t="s">
        <v>424</v>
      </c>
      <c r="C28" s="248">
        <f>ROUND((C5+C19+C20)*F27*'数据-取费表'!B21/'数据-取费表'!B20,0)</f>
        <v>3288</v>
      </c>
      <c r="D28" s="234"/>
      <c r="E28" s="235"/>
      <c r="F28" s="245"/>
      <c r="G28" s="246"/>
    </row>
    <row r="29" spans="1:7" s="213" customFormat="1" ht="13.5" customHeight="1">
      <c r="A29" s="779" t="s">
        <v>347</v>
      </c>
      <c r="B29" s="247" t="s">
        <v>425</v>
      </c>
      <c r="C29" s="237">
        <f>ROUND(C21*F27*'数据-取费表'!B21/'数据-取费表'!B20,4)</f>
        <v>4.4999999999999997E-3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29249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30528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27903</v>
      </c>
      <c r="D34" s="216"/>
      <c r="E34" s="219"/>
      <c r="F34" s="256">
        <f>IF('数据-取费表'!B24=0,1,'数据-取费表'!N16)</f>
        <v>1</v>
      </c>
      <c r="G34" s="218" t="s">
        <v>89</v>
      </c>
    </row>
    <row r="35" spans="1:7" ht="13.5" customHeight="1">
      <c r="A35" s="779" t="s">
        <v>351</v>
      </c>
      <c r="B35" s="214" t="s">
        <v>33</v>
      </c>
      <c r="C35" s="219">
        <f>ROUND(C34*F35,0)</f>
        <v>1395</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672</v>
      </c>
      <c r="D37" s="216">
        <f>'数据-汇总表'!E3</f>
        <v>33618.589999999997</v>
      </c>
      <c r="E37" s="248">
        <f>'数据-取费表'!B35</f>
        <v>200</v>
      </c>
      <c r="F37" s="258"/>
      <c r="G37" s="260" t="s">
        <v>92</v>
      </c>
    </row>
    <row r="38" spans="1:7" ht="13.5" customHeight="1">
      <c r="A38" s="779" t="s">
        <v>354</v>
      </c>
      <c r="B38" s="214" t="s">
        <v>36</v>
      </c>
      <c r="C38" s="219">
        <f>ROUND(C34*F38,0)</f>
        <v>558</v>
      </c>
      <c r="D38" s="219"/>
      <c r="E38" s="219"/>
      <c r="F38" s="258">
        <f>'数据-取费表'!B36</f>
        <v>0.02</v>
      </c>
      <c r="G38" s="218" t="s">
        <v>90</v>
      </c>
    </row>
    <row r="39" spans="1:7" s="213" customFormat="1" ht="13.5" customHeight="1">
      <c r="A39" s="776" t="s">
        <v>338</v>
      </c>
      <c r="B39" s="209" t="s">
        <v>77</v>
      </c>
      <c r="C39" s="231">
        <f>ROUND(C33*F20,0)</f>
        <v>916</v>
      </c>
      <c r="D39" s="231"/>
      <c r="E39" s="231"/>
      <c r="F39" s="232"/>
      <c r="G39" s="1066" t="s">
        <v>433</v>
      </c>
    </row>
    <row r="40" spans="1:7" s="213" customFormat="1" ht="13.5" customHeight="1">
      <c r="A40" s="776" t="s">
        <v>339</v>
      </c>
      <c r="B40" s="209" t="s">
        <v>78</v>
      </c>
      <c r="C40" s="261">
        <f>F21</f>
        <v>0.03</v>
      </c>
      <c r="D40" s="235" t="s">
        <v>102</v>
      </c>
      <c r="E40" s="231"/>
      <c r="F40" s="232"/>
      <c r="G40" s="233" t="s">
        <v>93</v>
      </c>
    </row>
    <row r="41" spans="1:7" s="213" customFormat="1" ht="13.5" customHeight="1">
      <c r="A41" s="776" t="s">
        <v>340</v>
      </c>
      <c r="B41" s="209" t="s">
        <v>80</v>
      </c>
      <c r="C41" s="231">
        <f ca="1">ROUND(SUM(C42:C43),0)</f>
        <v>1054</v>
      </c>
      <c r="D41" s="234">
        <f ca="1">C44</f>
        <v>1E-3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1023</v>
      </c>
      <c r="D42" s="237"/>
      <c r="E42" s="237"/>
      <c r="F42" s="238"/>
      <c r="G42" s="3682" t="s">
        <v>94</v>
      </c>
    </row>
    <row r="43" spans="1:7" ht="13.5" customHeight="1">
      <c r="A43" s="779" t="s">
        <v>347</v>
      </c>
      <c r="B43" s="214" t="s">
        <v>426</v>
      </c>
      <c r="C43" s="237">
        <f ca="1">ROUND(IF('数据-取费表'!B22&lt;=1,C39*F22*'数据-取费表'!B21/2,C39*(POWER((1+F22),'数据-取费表'!B21/2)-1)),0)</f>
        <v>31</v>
      </c>
      <c r="D43" s="237"/>
      <c r="E43" s="237"/>
      <c r="F43" s="238"/>
      <c r="G43" s="3683"/>
    </row>
    <row r="44" spans="1:7" ht="13.5" customHeight="1">
      <c r="A44" s="779" t="s">
        <v>348</v>
      </c>
      <c r="B44" s="214" t="s">
        <v>428</v>
      </c>
      <c r="C44" s="237">
        <f ca="1">ROUND(IF('数据-取费表'!B22&lt;=1,C40*F22*'数据-取费表'!B21/2,C40*(POWER((1+F22),'数据-取费表'!B21/2)-1)),4)</f>
        <v>1E-3</v>
      </c>
      <c r="D44" s="237"/>
      <c r="E44" s="237"/>
      <c r="F44" s="238"/>
      <c r="G44" s="3684"/>
    </row>
    <row r="45" spans="1:7" s="213" customFormat="1" ht="13.5" customHeight="1">
      <c r="A45" s="776" t="s">
        <v>341</v>
      </c>
      <c r="B45" s="243" t="s">
        <v>85</v>
      </c>
      <c r="C45" s="244">
        <f>C46</f>
        <v>4717</v>
      </c>
      <c r="D45" s="234">
        <f>C47</f>
        <v>4.4999999999999997E-3</v>
      </c>
      <c r="E45" s="235" t="s">
        <v>102</v>
      </c>
      <c r="F45" s="245"/>
      <c r="G45" s="246" t="s">
        <v>434</v>
      </c>
    </row>
    <row r="46" spans="1:7" s="213" customFormat="1" ht="13.5" customHeight="1">
      <c r="A46" s="779" t="s">
        <v>349</v>
      </c>
      <c r="B46" s="247" t="s">
        <v>427</v>
      </c>
      <c r="C46" s="248">
        <f>ROUND((C33+C39)*F27,0)</f>
        <v>4717</v>
      </c>
      <c r="D46" s="262"/>
      <c r="E46" s="235"/>
      <c r="F46" s="245"/>
      <c r="G46" s="246"/>
    </row>
    <row r="47" spans="1:7" s="213" customFormat="1" ht="13.5" customHeight="1">
      <c r="A47" s="779" t="s">
        <v>347</v>
      </c>
      <c r="B47" s="247" t="s">
        <v>429</v>
      </c>
      <c r="C47" s="237">
        <f>ROUND(C40*F27,4)</f>
        <v>4.4999999999999997E-3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40801</v>
      </c>
      <c r="D49" s="231"/>
      <c r="E49" s="231"/>
      <c r="F49" s="263"/>
      <c r="G49" s="233" t="s">
        <v>435</v>
      </c>
    </row>
    <row r="50" spans="1:7" s="257" customFormat="1" ht="24">
      <c r="A50" s="776" t="s">
        <v>344</v>
      </c>
      <c r="B50" s="209" t="s">
        <v>97</v>
      </c>
      <c r="C50" s="231"/>
      <c r="D50" s="231"/>
      <c r="E50" s="231"/>
      <c r="F50" s="263">
        <f>IF('数据-取费表'!B24=0,'数据-取费表'!N16,1)</f>
        <v>0.97</v>
      </c>
      <c r="G50" s="246" t="s">
        <v>98</v>
      </c>
    </row>
    <row r="51" spans="1:7" ht="16.5" customHeight="1">
      <c r="A51" s="776" t="s">
        <v>345</v>
      </c>
      <c r="B51" s="209" t="s">
        <v>105</v>
      </c>
      <c r="C51" s="231">
        <f ca="1">ROUND(C49*F50,0)</f>
        <v>39577</v>
      </c>
      <c r="D51" s="231"/>
      <c r="E51" s="231"/>
      <c r="F51" s="263"/>
      <c r="G51" s="233" t="s">
        <v>37</v>
      </c>
    </row>
    <row r="52" spans="1:7" s="207" customFormat="1" ht="16.5" thickBot="1">
      <c r="A52" s="264" t="s">
        <v>38</v>
      </c>
      <c r="B52" s="265"/>
      <c r="C52" s="266">
        <f ca="1">C31+C51</f>
        <v>68826</v>
      </c>
      <c r="D52" s="265"/>
      <c r="E52" s="265"/>
      <c r="F52" s="265"/>
      <c r="G52" s="267"/>
    </row>
    <row r="55" spans="1:7" ht="15">
      <c r="B55" s="269" t="s">
        <v>39</v>
      </c>
      <c r="C55" s="270"/>
    </row>
    <row r="56" spans="1:7">
      <c r="B56" s="272" t="s">
        <v>40</v>
      </c>
      <c r="C56" s="273">
        <f ca="1">ROUND(C51/C52,3)</f>
        <v>0.57499999999999996</v>
      </c>
    </row>
    <row r="57" spans="1:7">
      <c r="B57" s="272" t="s">
        <v>41</v>
      </c>
      <c r="C57" s="274">
        <f ca="1">1-C56</f>
        <v>0.42500000000000004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0" t="s">
        <v>2832</v>
      </c>
      <c r="B1" s="3820"/>
      <c r="C1" s="3820"/>
      <c r="D1" s="3820"/>
      <c r="E1" s="3820"/>
      <c r="F1" s="3820"/>
      <c r="G1" s="3821"/>
      <c r="I1" s="3218" t="s">
        <v>2833</v>
      </c>
      <c r="J1" s="3219" t="s">
        <v>2834</v>
      </c>
      <c r="K1" s="3219" t="s">
        <v>2835</v>
      </c>
      <c r="L1" s="3219" t="s">
        <v>2836</v>
      </c>
      <c r="M1" s="3219" t="s">
        <v>2837</v>
      </c>
      <c r="N1" s="3219" t="s">
        <v>2838</v>
      </c>
      <c r="O1" s="3219" t="s">
        <v>2839</v>
      </c>
      <c r="P1" s="3219" t="s">
        <v>2840</v>
      </c>
      <c r="Q1" s="3219" t="s">
        <v>2841</v>
      </c>
      <c r="R1" s="3219" t="s">
        <v>2842</v>
      </c>
      <c r="S1" s="3219" t="s">
        <v>2843</v>
      </c>
      <c r="T1" s="3220" t="s">
        <v>2844</v>
      </c>
    </row>
    <row r="2" spans="1:20" ht="12" thickBot="1">
      <c r="A2" s="3222" t="s">
        <v>2845</v>
      </c>
      <c r="B2" s="3222"/>
      <c r="C2" s="3222"/>
      <c r="D2" s="3222"/>
      <c r="E2" s="3222"/>
      <c r="F2" s="3222"/>
      <c r="G2" s="3223" t="s">
        <v>2846</v>
      </c>
      <c r="I2" s="3224" t="s">
        <v>2847</v>
      </c>
      <c r="J2" s="3224" t="s">
        <v>2848</v>
      </c>
      <c r="K2" s="3224" t="s">
        <v>2849</v>
      </c>
      <c r="L2" s="3224" t="s">
        <v>2850</v>
      </c>
      <c r="M2" s="3224" t="s">
        <v>2851</v>
      </c>
      <c r="N2" s="3224" t="s">
        <v>2852</v>
      </c>
      <c r="O2" s="3224" t="s">
        <v>2853</v>
      </c>
      <c r="P2" s="3224" t="s">
        <v>2854</v>
      </c>
      <c r="Q2" s="3224" t="s">
        <v>2855</v>
      </c>
      <c r="R2" s="3224" t="s">
        <v>2856</v>
      </c>
      <c r="S2" s="3224" t="s">
        <v>2857</v>
      </c>
      <c r="T2" s="3224" t="s">
        <v>2858</v>
      </c>
    </row>
    <row r="3" spans="1:20" s="3230" customFormat="1">
      <c r="A3" s="3818" t="s">
        <v>2859</v>
      </c>
      <c r="B3" s="3225"/>
      <c r="C3" s="3226" t="s">
        <v>2804</v>
      </c>
      <c r="D3" s="3226" t="s">
        <v>2860</v>
      </c>
      <c r="E3" s="3226" t="s">
        <v>2806</v>
      </c>
      <c r="F3" s="3226" t="s">
        <v>2861</v>
      </c>
      <c r="G3" s="3226" t="s">
        <v>2624</v>
      </c>
      <c r="H3" s="3227"/>
      <c r="I3" s="3228" t="s">
        <v>2862</v>
      </c>
      <c r="J3" s="3229" t="s">
        <v>128</v>
      </c>
      <c r="K3" s="3229" t="s">
        <v>129</v>
      </c>
      <c r="L3" s="3228" t="s">
        <v>130</v>
      </c>
      <c r="M3" s="3228" t="s">
        <v>131</v>
      </c>
      <c r="N3" s="3228" t="s">
        <v>132</v>
      </c>
      <c r="O3" s="3228" t="s">
        <v>133</v>
      </c>
      <c r="P3" s="3228" t="s">
        <v>134</v>
      </c>
      <c r="Q3" s="3228" t="s">
        <v>135</v>
      </c>
      <c r="R3" s="3228" t="s">
        <v>136</v>
      </c>
      <c r="S3" s="3228" t="s">
        <v>2863</v>
      </c>
      <c r="T3" s="3228" t="s">
        <v>2864</v>
      </c>
    </row>
    <row r="4" spans="1:20" s="3230" customFormat="1" ht="12" thickBot="1">
      <c r="A4" s="3819"/>
      <c r="B4" s="3231" t="s">
        <v>2865</v>
      </c>
      <c r="C4" s="3231" t="s">
        <v>2866</v>
      </c>
      <c r="D4" s="3231" t="s">
        <v>2866</v>
      </c>
      <c r="E4" s="3231" t="s">
        <v>2866</v>
      </c>
      <c r="F4" s="3232" t="s">
        <v>2866</v>
      </c>
      <c r="G4" s="3232" t="s">
        <v>2866</v>
      </c>
      <c r="H4" s="3227"/>
      <c r="I4" s="3229" t="s">
        <v>137</v>
      </c>
      <c r="J4" s="3229" t="s">
        <v>111</v>
      </c>
      <c r="K4" s="3229" t="s">
        <v>138</v>
      </c>
      <c r="L4" s="3228" t="s">
        <v>139</v>
      </c>
      <c r="M4" s="3228" t="s">
        <v>140</v>
      </c>
      <c r="N4" s="3228" t="s">
        <v>141</v>
      </c>
      <c r="O4" s="3228" t="s">
        <v>142</v>
      </c>
      <c r="P4" s="3228" t="s">
        <v>143</v>
      </c>
      <c r="Q4" s="3228" t="s">
        <v>2867</v>
      </c>
      <c r="R4" s="3228" t="s">
        <v>2868</v>
      </c>
      <c r="S4" s="3228" t="s">
        <v>2869</v>
      </c>
      <c r="T4" s="3228" t="s">
        <v>2870</v>
      </c>
    </row>
    <row r="5" spans="1:20">
      <c r="A5" s="3233" t="s">
        <v>2833</v>
      </c>
      <c r="B5" s="3224" t="s">
        <v>2847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2871</v>
      </c>
      <c r="R5" s="3228" t="s">
        <v>2872</v>
      </c>
      <c r="S5" s="3228" t="s">
        <v>153</v>
      </c>
      <c r="T5" s="3228" t="s">
        <v>2873</v>
      </c>
    </row>
    <row r="6" spans="1:20" ht="12" thickBot="1">
      <c r="A6" s="3228" t="s">
        <v>144</v>
      </c>
      <c r="B6" s="3228" t="s">
        <v>2862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2874</v>
      </c>
      <c r="Q6" s="3228" t="s">
        <v>2875</v>
      </c>
      <c r="R6" s="3228" t="s">
        <v>161</v>
      </c>
      <c r="S6" s="3228" t="s">
        <v>2876</v>
      </c>
      <c r="T6" s="3228" t="s">
        <v>2877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2878</v>
      </c>
      <c r="Q7" s="3228" t="s">
        <v>2879</v>
      </c>
      <c r="R7" s="3228" t="s">
        <v>2880</v>
      </c>
      <c r="S7" s="3228" t="s">
        <v>2881</v>
      </c>
      <c r="T7" s="3228" t="s">
        <v>2882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2883</v>
      </c>
      <c r="Q8" s="3228" t="s">
        <v>174</v>
      </c>
      <c r="R8" s="3228" t="s">
        <v>2884</v>
      </c>
      <c r="S8" s="3228" t="s">
        <v>2885</v>
      </c>
      <c r="T8" s="3235" t="s">
        <v>2886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2887</v>
      </c>
      <c r="Q9" s="3228" t="s">
        <v>182</v>
      </c>
      <c r="R9" s="3228" t="s">
        <v>183</v>
      </c>
      <c r="S9" s="3228" t="s">
        <v>200</v>
      </c>
    </row>
    <row r="10" spans="1:20">
      <c r="A10" s="3233" t="s">
        <v>184</v>
      </c>
      <c r="B10" s="3224" t="s">
        <v>2848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2889</v>
      </c>
      <c r="P11" s="3228" t="s">
        <v>191</v>
      </c>
      <c r="Q11" s="3228" t="s">
        <v>199</v>
      </c>
      <c r="R11" s="3228" t="s">
        <v>2890</v>
      </c>
      <c r="S11" s="3228" t="s">
        <v>2891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2892</v>
      </c>
      <c r="P12" s="3228" t="s">
        <v>2893</v>
      </c>
      <c r="Q12" s="3228" t="s">
        <v>2894</v>
      </c>
      <c r="R12" s="3228" t="s">
        <v>2895</v>
      </c>
      <c r="S12" s="3228" t="s">
        <v>2896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2898</v>
      </c>
      <c r="K14" s="3229" t="s">
        <v>215</v>
      </c>
      <c r="L14" s="3228" t="s">
        <v>216</v>
      </c>
      <c r="M14" s="3228" t="s">
        <v>217</v>
      </c>
      <c r="N14" s="3228" t="s">
        <v>218</v>
      </c>
      <c r="O14" s="3228" t="s">
        <v>240</v>
      </c>
      <c r="P14" s="3228" t="s">
        <v>213</v>
      </c>
      <c r="Q14" s="3228" t="s">
        <v>2899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2900</v>
      </c>
      <c r="P15" s="3228" t="s">
        <v>2901</v>
      </c>
      <c r="Q15" s="3228" t="s">
        <v>242</v>
      </c>
      <c r="R15" s="3228" t="s">
        <v>2902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2903</v>
      </c>
      <c r="P16" s="3228" t="s">
        <v>227</v>
      </c>
      <c r="Q16" s="3228" t="s">
        <v>250</v>
      </c>
      <c r="R16" s="3228" t="s">
        <v>207</v>
      </c>
      <c r="S16" s="3228" t="s">
        <v>2904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2905</v>
      </c>
      <c r="P17" s="3228" t="s">
        <v>2906</v>
      </c>
      <c r="Q17" s="3228" t="s">
        <v>256</v>
      </c>
      <c r="R17" s="3228" t="s">
        <v>2907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2908</v>
      </c>
      <c r="P18" s="3228" t="s">
        <v>241</v>
      </c>
      <c r="Q18" s="3228" t="s">
        <v>2909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2910</v>
      </c>
      <c r="P19" s="3228" t="s">
        <v>249</v>
      </c>
      <c r="Q19" s="3228" t="s">
        <v>2911</v>
      </c>
      <c r="R19" s="3228" t="s">
        <v>265</v>
      </c>
      <c r="S19" s="3228" t="s">
        <v>2912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2913</v>
      </c>
      <c r="P20" s="3228" t="s">
        <v>2914</v>
      </c>
      <c r="Q20" s="3228" t="s">
        <v>290</v>
      </c>
      <c r="R20" s="3228" t="s">
        <v>2915</v>
      </c>
      <c r="S20" s="3228" t="s">
        <v>277</v>
      </c>
    </row>
    <row r="21" spans="1:19" ht="14.25" customHeight="1" thickBot="1">
      <c r="A21" s="3228" t="s">
        <v>184</v>
      </c>
      <c r="B21" s="3229" t="s">
        <v>208</v>
      </c>
      <c r="C21" s="3228">
        <v>32370</v>
      </c>
      <c r="D21" s="3228">
        <v>26730</v>
      </c>
      <c r="E21" s="3228">
        <v>26640</v>
      </c>
      <c r="F21" s="3228"/>
      <c r="G21" s="3228">
        <v>19440</v>
      </c>
      <c r="J21" s="3235" t="s">
        <v>2916</v>
      </c>
      <c r="K21" s="3229" t="s">
        <v>267</v>
      </c>
      <c r="L21" s="3228" t="s">
        <v>268</v>
      </c>
      <c r="M21" s="3228" t="s">
        <v>269</v>
      </c>
      <c r="N21" s="3228" t="s">
        <v>270</v>
      </c>
      <c r="O21" s="3228" t="s">
        <v>264</v>
      </c>
      <c r="P21" s="3228" t="s">
        <v>283</v>
      </c>
      <c r="Q21" s="3228" t="s">
        <v>293</v>
      </c>
      <c r="R21" s="3228" t="s">
        <v>2917</v>
      </c>
      <c r="S21" s="3235" t="s">
        <v>2918</v>
      </c>
    </row>
    <row r="22" spans="1:19" ht="14.25" customHeight="1">
      <c r="A22" s="3228" t="s">
        <v>184</v>
      </c>
      <c r="B22" s="3229" t="s">
        <v>2898</v>
      </c>
      <c r="C22" s="3228">
        <v>29830</v>
      </c>
      <c r="D22" s="3228">
        <v>27600</v>
      </c>
      <c r="E22" s="3228">
        <v>28150</v>
      </c>
      <c r="F22" s="3228"/>
      <c r="G22" s="3228">
        <v>20080</v>
      </c>
      <c r="K22" s="3229" t="s">
        <v>2919</v>
      </c>
      <c r="L22" s="3228" t="s">
        <v>272</v>
      </c>
      <c r="M22" s="3228" t="s">
        <v>273</v>
      </c>
      <c r="N22" s="3228" t="s">
        <v>274</v>
      </c>
      <c r="O22" s="3228" t="s">
        <v>2920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2921</v>
      </c>
      <c r="L23" s="3228" t="s">
        <v>278</v>
      </c>
      <c r="M23" s="3228" t="s">
        <v>279</v>
      </c>
      <c r="N23" s="3228" t="s">
        <v>2922</v>
      </c>
      <c r="O23" s="3228" t="s">
        <v>2923</v>
      </c>
      <c r="P23" s="3228" t="s">
        <v>289</v>
      </c>
      <c r="Q23" s="3228" t="s">
        <v>298</v>
      </c>
      <c r="R23" s="3228" t="s">
        <v>2924</v>
      </c>
    </row>
    <row r="24" spans="1:19" ht="14.25" customHeight="1">
      <c r="A24" s="3228" t="s">
        <v>184</v>
      </c>
      <c r="B24" s="3229" t="s">
        <v>230</v>
      </c>
      <c r="C24" s="3228">
        <v>27930</v>
      </c>
      <c r="D24" s="3228">
        <v>32260</v>
      </c>
      <c r="E24" s="3228">
        <v>32120</v>
      </c>
      <c r="F24" s="3228"/>
      <c r="G24" s="3228">
        <v>23470</v>
      </c>
      <c r="K24" s="3229" t="s">
        <v>2925</v>
      </c>
      <c r="L24" s="3228" t="s">
        <v>281</v>
      </c>
      <c r="M24" s="3228" t="s">
        <v>282</v>
      </c>
      <c r="N24" s="3228" t="s">
        <v>2926</v>
      </c>
      <c r="O24" s="3228" t="s">
        <v>285</v>
      </c>
      <c r="P24" s="3228" t="s">
        <v>2927</v>
      </c>
      <c r="Q24" s="3237" t="s">
        <v>2928</v>
      </c>
      <c r="R24" s="3228" t="s">
        <v>2929</v>
      </c>
    </row>
    <row r="25" spans="1:19" ht="14.25" customHeight="1">
      <c r="A25" s="3228" t="s">
        <v>184</v>
      </c>
      <c r="B25" s="3229" t="s">
        <v>235</v>
      </c>
      <c r="C25" s="3228">
        <v>32230</v>
      </c>
      <c r="D25" s="3228">
        <v>29640</v>
      </c>
      <c r="E25" s="3228">
        <v>29510</v>
      </c>
      <c r="F25" s="3228"/>
      <c r="G25" s="3228">
        <v>21560</v>
      </c>
      <c r="K25" s="3229" t="s">
        <v>2930</v>
      </c>
      <c r="L25" s="3228" t="s">
        <v>2931</v>
      </c>
      <c r="M25" s="3228" t="s">
        <v>284</v>
      </c>
      <c r="N25" s="3228" t="s">
        <v>292</v>
      </c>
      <c r="O25" s="3228" t="s">
        <v>288</v>
      </c>
      <c r="P25" s="3228" t="s">
        <v>275</v>
      </c>
      <c r="Q25" s="3237" t="s">
        <v>271</v>
      </c>
      <c r="R25" s="3228" t="s">
        <v>2932</v>
      </c>
    </row>
    <row r="26" spans="1:19" ht="14.25" customHeight="1" thickBot="1">
      <c r="A26" s="3228" t="s">
        <v>184</v>
      </c>
      <c r="B26" s="3229" t="s">
        <v>244</v>
      </c>
      <c r="C26" s="3228">
        <v>31690</v>
      </c>
      <c r="D26" s="3228">
        <v>27650</v>
      </c>
      <c r="E26" s="3228">
        <v>28200</v>
      </c>
      <c r="F26" s="3228"/>
      <c r="G26" s="3228">
        <v>20110</v>
      </c>
      <c r="K26" s="3234" t="s">
        <v>2933</v>
      </c>
      <c r="L26" s="3228" t="s">
        <v>2934</v>
      </c>
      <c r="M26" s="3228" t="s">
        <v>287</v>
      </c>
      <c r="N26" s="3228" t="s">
        <v>294</v>
      </c>
      <c r="O26" s="3228" t="s">
        <v>2935</v>
      </c>
      <c r="P26" s="3228" t="s">
        <v>2936</v>
      </c>
      <c r="Q26" s="3237" t="s">
        <v>276</v>
      </c>
      <c r="R26" s="3228" t="s">
        <v>2937</v>
      </c>
    </row>
    <row r="27" spans="1:19" ht="14.25" customHeight="1">
      <c r="A27" s="3228" t="s">
        <v>184</v>
      </c>
      <c r="B27" s="3229" t="s">
        <v>251</v>
      </c>
      <c r="C27" s="3228">
        <v>29610</v>
      </c>
      <c r="D27" s="3228">
        <v>27770</v>
      </c>
      <c r="E27" s="3228">
        <v>28300</v>
      </c>
      <c r="F27" s="3228"/>
      <c r="G27" s="3228">
        <v>20210</v>
      </c>
      <c r="L27" s="3228" t="s">
        <v>2938</v>
      </c>
      <c r="M27" s="3228" t="s">
        <v>291</v>
      </c>
      <c r="N27" s="3228" t="s">
        <v>297</v>
      </c>
      <c r="O27" s="3228" t="s">
        <v>2939</v>
      </c>
      <c r="P27" s="3228" t="s">
        <v>2940</v>
      </c>
      <c r="Q27" s="3228" t="s">
        <v>2941</v>
      </c>
      <c r="R27" s="3228" t="s">
        <v>2942</v>
      </c>
    </row>
    <row r="28" spans="1:19" ht="14.25" customHeight="1">
      <c r="A28" s="3228" t="s">
        <v>184</v>
      </c>
      <c r="B28" s="3229" t="s">
        <v>259</v>
      </c>
      <c r="C28" s="3228"/>
      <c r="D28" s="3228">
        <v>31520</v>
      </c>
      <c r="E28" s="3228">
        <v>31410</v>
      </c>
      <c r="F28" s="3228"/>
      <c r="G28" s="3228">
        <v>22940</v>
      </c>
      <c r="L28" s="3228" t="s">
        <v>2943</v>
      </c>
      <c r="M28" s="3228" t="s">
        <v>2944</v>
      </c>
      <c r="N28" s="3228" t="s">
        <v>2945</v>
      </c>
      <c r="O28" s="3228" t="s">
        <v>2946</v>
      </c>
      <c r="P28" s="3228" t="s">
        <v>2947</v>
      </c>
      <c r="Q28" s="3228" t="s">
        <v>2948</v>
      </c>
      <c r="R28" s="3228" t="s">
        <v>2949</v>
      </c>
    </row>
    <row r="29" spans="1:19" ht="14.25" customHeight="1" thickBot="1">
      <c r="A29" s="3236" t="s">
        <v>184</v>
      </c>
      <c r="B29" s="3238" t="s">
        <v>2916</v>
      </c>
      <c r="C29" s="3239"/>
      <c r="D29" s="3239">
        <v>29460</v>
      </c>
      <c r="E29" s="3239">
        <v>28640</v>
      </c>
      <c r="F29" s="3239"/>
      <c r="G29" s="3239">
        <v>21430</v>
      </c>
      <c r="L29" s="3228" t="s">
        <v>2950</v>
      </c>
      <c r="M29" s="3228" t="s">
        <v>2951</v>
      </c>
      <c r="N29" s="3228" t="s">
        <v>2952</v>
      </c>
      <c r="O29" s="3228" t="s">
        <v>2953</v>
      </c>
      <c r="P29" s="3228" t="s">
        <v>2954</v>
      </c>
      <c r="Q29" s="3228" t="s">
        <v>2955</v>
      </c>
      <c r="R29" s="3228" t="s">
        <v>280</v>
      </c>
    </row>
    <row r="30" spans="1:19" ht="14.25" customHeight="1">
      <c r="A30" s="3233" t="s">
        <v>296</v>
      </c>
      <c r="B30" s="3224" t="s">
        <v>2849</v>
      </c>
      <c r="C30" s="3224">
        <v>26890</v>
      </c>
      <c r="D30" s="3224">
        <v>26770</v>
      </c>
      <c r="E30" s="3224">
        <v>25700</v>
      </c>
      <c r="F30" s="3224">
        <v>8180</v>
      </c>
      <c r="G30" s="3240">
        <v>18740</v>
      </c>
      <c r="L30" s="3228" t="s">
        <v>2956</v>
      </c>
      <c r="M30" s="3228" t="s">
        <v>2957</v>
      </c>
      <c r="N30" s="3228" t="s">
        <v>2958</v>
      </c>
      <c r="O30" s="3228" t="s">
        <v>2959</v>
      </c>
      <c r="P30" s="3228" t="s">
        <v>2960</v>
      </c>
      <c r="Q30" s="3228" t="s">
        <v>2961</v>
      </c>
      <c r="R30" s="3228" t="s">
        <v>2962</v>
      </c>
    </row>
    <row r="31" spans="1:19" ht="14.25" customHeight="1">
      <c r="A31" s="3228" t="s">
        <v>296</v>
      </c>
      <c r="B31" s="3229" t="s">
        <v>129</v>
      </c>
      <c r="C31" s="3228">
        <v>24550</v>
      </c>
      <c r="D31" s="3228">
        <v>23990</v>
      </c>
      <c r="E31" s="3228">
        <v>22930</v>
      </c>
      <c r="F31" s="3228">
        <v>7470</v>
      </c>
      <c r="G31" s="3241">
        <v>16790</v>
      </c>
      <c r="L31" s="3228" t="s">
        <v>2963</v>
      </c>
      <c r="M31" s="3228" t="s">
        <v>2964</v>
      </c>
      <c r="N31" s="3228" t="s">
        <v>2965</v>
      </c>
      <c r="O31" s="3228" t="s">
        <v>2966</v>
      </c>
      <c r="P31" s="3228" t="s">
        <v>2967</v>
      </c>
      <c r="Q31" s="3228" t="s">
        <v>2968</v>
      </c>
      <c r="R31" s="3228" t="s">
        <v>2969</v>
      </c>
    </row>
    <row r="32" spans="1:19" ht="14.25" customHeight="1" thickBot="1">
      <c r="A32" s="3228" t="s">
        <v>296</v>
      </c>
      <c r="B32" s="3229" t="s">
        <v>138</v>
      </c>
      <c r="C32" s="3228">
        <v>27210</v>
      </c>
      <c r="D32" s="3228">
        <v>23240</v>
      </c>
      <c r="E32" s="3228">
        <v>23260</v>
      </c>
      <c r="F32" s="3228">
        <v>7130</v>
      </c>
      <c r="G32" s="3241">
        <v>16270</v>
      </c>
      <c r="L32" s="3228" t="s">
        <v>2970</v>
      </c>
      <c r="M32" s="3228" t="s">
        <v>2971</v>
      </c>
      <c r="N32" s="3228" t="s">
        <v>300</v>
      </c>
      <c r="O32" s="3228" t="s">
        <v>2972</v>
      </c>
      <c r="P32" s="3228" t="s">
        <v>299</v>
      </c>
      <c r="Q32" s="3228" t="s">
        <v>2973</v>
      </c>
      <c r="R32" s="3235" t="s">
        <v>2974</v>
      </c>
    </row>
    <row r="33" spans="1:17" ht="14.25" customHeight="1" thickBot="1">
      <c r="A33" s="3228" t="s">
        <v>296</v>
      </c>
      <c r="B33" s="3229" t="s">
        <v>147</v>
      </c>
      <c r="C33" s="3228">
        <v>27300</v>
      </c>
      <c r="D33" s="3228">
        <v>22980</v>
      </c>
      <c r="E33" s="3228">
        <v>24260</v>
      </c>
      <c r="F33" s="3228">
        <v>5860</v>
      </c>
      <c r="G33" s="3241">
        <v>16090</v>
      </c>
      <c r="L33" s="3235" t="s">
        <v>2975</v>
      </c>
      <c r="M33" s="3228" t="s">
        <v>2976</v>
      </c>
      <c r="N33" s="3228" t="s">
        <v>301</v>
      </c>
      <c r="O33" s="3228" t="s">
        <v>2977</v>
      </c>
      <c r="P33" s="3228" t="s">
        <v>2978</v>
      </c>
      <c r="Q33" s="3228" t="s">
        <v>2979</v>
      </c>
    </row>
    <row r="34" spans="1:17" ht="14.25" customHeight="1">
      <c r="A34" s="3228" t="s">
        <v>296</v>
      </c>
      <c r="B34" s="3229" t="s">
        <v>156</v>
      </c>
      <c r="C34" s="3228">
        <v>23090</v>
      </c>
      <c r="D34" s="3228">
        <v>23390</v>
      </c>
      <c r="E34" s="3228">
        <v>23510</v>
      </c>
      <c r="F34" s="3228">
        <v>6700</v>
      </c>
      <c r="G34" s="3241">
        <v>16370</v>
      </c>
      <c r="M34" s="3228" t="s">
        <v>2980</v>
      </c>
      <c r="N34" s="3228" t="s">
        <v>302</v>
      </c>
      <c r="O34" s="3228" t="s">
        <v>2981</v>
      </c>
      <c r="P34" s="3228" t="s">
        <v>2982</v>
      </c>
      <c r="Q34" s="3228" t="s">
        <v>2983</v>
      </c>
    </row>
    <row r="35" spans="1:17" ht="14.25" customHeight="1">
      <c r="A35" s="3228" t="s">
        <v>296</v>
      </c>
      <c r="B35" s="3229" t="s">
        <v>163</v>
      </c>
      <c r="C35" s="3228">
        <v>27270</v>
      </c>
      <c r="D35" s="3228">
        <v>24270</v>
      </c>
      <c r="E35" s="3228">
        <v>24950</v>
      </c>
      <c r="F35" s="3228">
        <v>6600</v>
      </c>
      <c r="G35" s="3241">
        <v>16990</v>
      </c>
      <c r="M35" s="3228" t="s">
        <v>2984</v>
      </c>
      <c r="N35" s="3228" t="s">
        <v>2985</v>
      </c>
      <c r="O35" s="3228" t="s">
        <v>2986</v>
      </c>
      <c r="P35" s="3228" t="s">
        <v>2987</v>
      </c>
      <c r="Q35" s="3228" t="s">
        <v>2988</v>
      </c>
    </row>
    <row r="36" spans="1:17" ht="14.25" customHeight="1">
      <c r="A36" s="3228" t="s">
        <v>296</v>
      </c>
      <c r="B36" s="3229" t="s">
        <v>169</v>
      </c>
      <c r="C36" s="3228">
        <v>23490</v>
      </c>
      <c r="D36" s="3228">
        <v>23020</v>
      </c>
      <c r="E36" s="3228">
        <v>25230</v>
      </c>
      <c r="F36" s="3228">
        <v>6780</v>
      </c>
      <c r="G36" s="3241">
        <v>16120</v>
      </c>
      <c r="M36" s="3228" t="s">
        <v>2989</v>
      </c>
      <c r="N36" s="3228" t="s">
        <v>2990</v>
      </c>
      <c r="O36" s="3228" t="s">
        <v>2991</v>
      </c>
      <c r="P36" s="3228" t="s">
        <v>2992</v>
      </c>
      <c r="Q36" s="3228" t="s">
        <v>2993</v>
      </c>
    </row>
    <row r="37" spans="1:17" ht="14.25" customHeight="1">
      <c r="A37" s="3228" t="s">
        <v>296</v>
      </c>
      <c r="B37" s="3229" t="s">
        <v>176</v>
      </c>
      <c r="C37" s="3228">
        <v>24380</v>
      </c>
      <c r="D37" s="3228">
        <v>22240</v>
      </c>
      <c r="E37" s="3228">
        <v>25980</v>
      </c>
      <c r="F37" s="3228">
        <v>8160</v>
      </c>
      <c r="G37" s="3241">
        <v>15570</v>
      </c>
      <c r="M37" s="3228" t="s">
        <v>2994</v>
      </c>
      <c r="N37" s="3228" t="s">
        <v>2995</v>
      </c>
      <c r="O37" s="3228" t="s">
        <v>2996</v>
      </c>
      <c r="P37" s="3228" t="s">
        <v>2997</v>
      </c>
      <c r="Q37" s="3228" t="s">
        <v>2998</v>
      </c>
    </row>
    <row r="38" spans="1:17" ht="14.25" customHeight="1">
      <c r="A38" s="3228" t="s">
        <v>296</v>
      </c>
      <c r="B38" s="3229" t="s">
        <v>186</v>
      </c>
      <c r="C38" s="3228">
        <v>23120</v>
      </c>
      <c r="D38" s="3228">
        <v>24630</v>
      </c>
      <c r="E38" s="3228">
        <v>25030</v>
      </c>
      <c r="F38" s="3228">
        <v>7710</v>
      </c>
      <c r="G38" s="3241">
        <v>17240</v>
      </c>
      <c r="M38" s="3228" t="s">
        <v>2999</v>
      </c>
      <c r="N38" s="3228" t="s">
        <v>3000</v>
      </c>
      <c r="O38" s="3228" t="s">
        <v>3001</v>
      </c>
      <c r="P38" s="3228" t="s">
        <v>3002</v>
      </c>
      <c r="Q38" s="3228" t="s">
        <v>3003</v>
      </c>
    </row>
    <row r="39" spans="1:17" ht="14.25" customHeight="1">
      <c r="A39" s="3228" t="s">
        <v>296</v>
      </c>
      <c r="B39" s="3229" t="s">
        <v>195</v>
      </c>
      <c r="C39" s="3228">
        <v>22330</v>
      </c>
      <c r="D39" s="3228">
        <v>21140</v>
      </c>
      <c r="E39" s="3228">
        <v>23970</v>
      </c>
      <c r="F39" s="3228">
        <v>7940</v>
      </c>
      <c r="G39" s="3241">
        <v>14790</v>
      </c>
      <c r="M39" s="3228" t="s">
        <v>3004</v>
      </c>
      <c r="N39" s="3228" t="s">
        <v>3005</v>
      </c>
      <c r="O39" s="3228" t="s">
        <v>3006</v>
      </c>
      <c r="P39" s="3228" t="s">
        <v>3007</v>
      </c>
      <c r="Q39" s="3228" t="s">
        <v>3008</v>
      </c>
    </row>
    <row r="40" spans="1:17" ht="14.25" customHeight="1">
      <c r="A40" s="3228" t="s">
        <v>296</v>
      </c>
      <c r="B40" s="3229" t="s">
        <v>202</v>
      </c>
      <c r="C40" s="3228">
        <v>24740</v>
      </c>
      <c r="D40" s="3228">
        <v>24690</v>
      </c>
      <c r="E40" s="3228">
        <v>22610</v>
      </c>
      <c r="F40" s="3228"/>
      <c r="G40" s="3241">
        <v>17280</v>
      </c>
      <c r="M40" s="3228" t="s">
        <v>3009</v>
      </c>
      <c r="N40" s="3228" t="s">
        <v>3010</v>
      </c>
      <c r="O40" s="3228" t="s">
        <v>3011</v>
      </c>
      <c r="P40" s="3228" t="s">
        <v>3012</v>
      </c>
      <c r="Q40" s="3228" t="s">
        <v>3013</v>
      </c>
    </row>
    <row r="41" spans="1:17" ht="14.25" customHeight="1" thickBot="1">
      <c r="A41" s="3228" t="s">
        <v>296</v>
      </c>
      <c r="B41" s="3229" t="s">
        <v>209</v>
      </c>
      <c r="C41" s="3228">
        <v>21220</v>
      </c>
      <c r="D41" s="3228">
        <v>21120</v>
      </c>
      <c r="E41" s="3228">
        <v>22590</v>
      </c>
      <c r="F41" s="3228"/>
      <c r="G41" s="3241">
        <v>14780</v>
      </c>
      <c r="M41" s="3235" t="s">
        <v>3014</v>
      </c>
      <c r="N41" s="3228" t="s">
        <v>3015</v>
      </c>
      <c r="O41" s="3228" t="s">
        <v>3016</v>
      </c>
      <c r="P41" s="3228" t="s">
        <v>3017</v>
      </c>
      <c r="Q41" s="3228" t="s">
        <v>3018</v>
      </c>
    </row>
    <row r="42" spans="1:17" ht="14.25" customHeight="1">
      <c r="A42" s="3228" t="s">
        <v>296</v>
      </c>
      <c r="B42" s="3229" t="s">
        <v>215</v>
      </c>
      <c r="C42" s="3228">
        <v>24800</v>
      </c>
      <c r="D42" s="3228">
        <v>22280</v>
      </c>
      <c r="E42" s="3228">
        <v>24350</v>
      </c>
      <c r="F42" s="3228"/>
      <c r="G42" s="3241">
        <v>15590</v>
      </c>
      <c r="N42" s="3228" t="s">
        <v>3019</v>
      </c>
      <c r="O42" s="3228" t="s">
        <v>3020</v>
      </c>
      <c r="P42" s="3228" t="s">
        <v>3021</v>
      </c>
      <c r="Q42" s="3228" t="s">
        <v>3022</v>
      </c>
    </row>
    <row r="43" spans="1:17" ht="14.25" customHeight="1">
      <c r="A43" s="3228" t="s">
        <v>3023</v>
      </c>
      <c r="B43" s="3229" t="s">
        <v>223</v>
      </c>
      <c r="C43" s="3228">
        <v>21210</v>
      </c>
      <c r="D43" s="3228">
        <v>21160</v>
      </c>
      <c r="E43" s="3228">
        <v>22650</v>
      </c>
      <c r="F43" s="3228"/>
      <c r="G43" s="3241">
        <v>14800</v>
      </c>
      <c r="N43" s="3228" t="s">
        <v>3024</v>
      </c>
      <c r="O43" s="3228" t="s">
        <v>3025</v>
      </c>
      <c r="P43" s="3228" t="s">
        <v>3026</v>
      </c>
      <c r="Q43" s="3228" t="s">
        <v>3027</v>
      </c>
    </row>
    <row r="44" spans="1:17" ht="14.25" customHeight="1" thickBot="1">
      <c r="A44" s="3228" t="s">
        <v>296</v>
      </c>
      <c r="B44" s="3229" t="s">
        <v>231</v>
      </c>
      <c r="C44" s="3228">
        <v>22370</v>
      </c>
      <c r="D44" s="3228">
        <v>23140</v>
      </c>
      <c r="E44" s="3228">
        <v>25090</v>
      </c>
      <c r="F44" s="3228"/>
      <c r="G44" s="3241">
        <v>16190</v>
      </c>
      <c r="N44" s="3228" t="s">
        <v>3028</v>
      </c>
      <c r="O44" s="3228" t="s">
        <v>3029</v>
      </c>
      <c r="P44" s="3235" t="s">
        <v>3030</v>
      </c>
      <c r="Q44" s="3228" t="s">
        <v>3031</v>
      </c>
    </row>
    <row r="45" spans="1:17" ht="14.25" customHeight="1" thickBot="1">
      <c r="A45" s="3228" t="s">
        <v>296</v>
      </c>
      <c r="B45" s="3229" t="s">
        <v>236</v>
      </c>
      <c r="C45" s="3228">
        <v>21240</v>
      </c>
      <c r="D45" s="3228">
        <v>27050</v>
      </c>
      <c r="E45" s="3228">
        <v>28000</v>
      </c>
      <c r="F45" s="3228"/>
      <c r="G45" s="3241">
        <v>18940</v>
      </c>
      <c r="N45" s="3228" t="s">
        <v>3032</v>
      </c>
      <c r="O45" s="3235" t="s">
        <v>3033</v>
      </c>
      <c r="Q45" s="3228" t="s">
        <v>3034</v>
      </c>
    </row>
    <row r="46" spans="1:17" ht="14.25" customHeight="1">
      <c r="A46" s="3228" t="s">
        <v>296</v>
      </c>
      <c r="B46" s="3229" t="s">
        <v>245</v>
      </c>
      <c r="C46" s="3228">
        <v>23240</v>
      </c>
      <c r="D46" s="3228">
        <v>23000</v>
      </c>
      <c r="E46" s="3228">
        <v>24980</v>
      </c>
      <c r="F46" s="3228"/>
      <c r="G46" s="3241">
        <v>16100</v>
      </c>
      <c r="N46" s="3228" t="s">
        <v>3035</v>
      </c>
      <c r="Q46" s="3228" t="s">
        <v>3036</v>
      </c>
    </row>
    <row r="47" spans="1:17" ht="14.25" customHeight="1">
      <c r="A47" s="3228" t="s">
        <v>296</v>
      </c>
      <c r="B47" s="3229" t="s">
        <v>252</v>
      </c>
      <c r="C47" s="3228">
        <v>27150</v>
      </c>
      <c r="D47" s="3228">
        <v>23310</v>
      </c>
      <c r="E47" s="3228">
        <v>25150</v>
      </c>
      <c r="F47" s="3228"/>
      <c r="G47" s="3241">
        <v>16310</v>
      </c>
      <c r="N47" s="3228" t="s">
        <v>3037</v>
      </c>
      <c r="Q47" s="3228" t="s">
        <v>3038</v>
      </c>
    </row>
    <row r="48" spans="1:17" ht="14.25" customHeight="1">
      <c r="A48" s="3228" t="s">
        <v>296</v>
      </c>
      <c r="B48" s="3229" t="s">
        <v>260</v>
      </c>
      <c r="C48" s="3228">
        <v>23100</v>
      </c>
      <c r="D48" s="3228">
        <v>21110</v>
      </c>
      <c r="E48" s="3228">
        <v>23080</v>
      </c>
      <c r="F48" s="3228"/>
      <c r="G48" s="3241">
        <v>14780</v>
      </c>
      <c r="N48" s="3228" t="s">
        <v>3039</v>
      </c>
      <c r="Q48" s="3228" t="s">
        <v>3040</v>
      </c>
    </row>
    <row r="49" spans="1:17" ht="14.25" customHeight="1">
      <c r="A49" s="3228" t="s">
        <v>296</v>
      </c>
      <c r="B49" s="3229" t="s">
        <v>267</v>
      </c>
      <c r="C49" s="3228">
        <v>23400</v>
      </c>
      <c r="D49" s="3228">
        <v>22920</v>
      </c>
      <c r="E49" s="3228">
        <v>24900</v>
      </c>
      <c r="F49" s="3228"/>
      <c r="G49" s="3241">
        <v>16040</v>
      </c>
      <c r="N49" s="3228" t="s">
        <v>3041</v>
      </c>
      <c r="Q49" s="3228" t="s">
        <v>3042</v>
      </c>
    </row>
    <row r="50" spans="1:17" ht="14.25" customHeight="1">
      <c r="A50" s="3228" t="s">
        <v>296</v>
      </c>
      <c r="B50" s="3229" t="s">
        <v>2919</v>
      </c>
      <c r="C50" s="3228">
        <v>21200</v>
      </c>
      <c r="D50" s="3228">
        <v>26540</v>
      </c>
      <c r="E50" s="3228">
        <v>23200</v>
      </c>
      <c r="F50" s="3228"/>
      <c r="G50" s="3241">
        <v>18580</v>
      </c>
      <c r="N50" s="3228" t="s">
        <v>3043</v>
      </c>
      <c r="Q50" s="3229" t="s">
        <v>3044</v>
      </c>
    </row>
    <row r="51" spans="1:17" ht="14.25" customHeight="1" thickBot="1">
      <c r="A51" s="3228" t="s">
        <v>296</v>
      </c>
      <c r="B51" s="3229" t="s">
        <v>2921</v>
      </c>
      <c r="C51" s="3228">
        <v>23000</v>
      </c>
      <c r="D51" s="3228">
        <v>23460</v>
      </c>
      <c r="E51" s="3228">
        <v>25290</v>
      </c>
      <c r="F51" s="3228"/>
      <c r="G51" s="3241">
        <v>16420</v>
      </c>
      <c r="N51" s="3228" t="s">
        <v>3045</v>
      </c>
      <c r="Q51" s="3235" t="s">
        <v>3046</v>
      </c>
    </row>
    <row r="52" spans="1:17" ht="14.25" customHeight="1">
      <c r="A52" s="3228" t="s">
        <v>296</v>
      </c>
      <c r="B52" s="3229" t="s">
        <v>2925</v>
      </c>
      <c r="C52" s="3228">
        <v>26660</v>
      </c>
      <c r="D52" s="3228">
        <v>22350</v>
      </c>
      <c r="E52" s="3228">
        <v>22920</v>
      </c>
      <c r="F52" s="3228"/>
      <c r="G52" s="3241">
        <v>15640</v>
      </c>
      <c r="N52" s="3228" t="s">
        <v>3047</v>
      </c>
    </row>
    <row r="53" spans="1:17" ht="14.25" customHeight="1">
      <c r="A53" s="3228" t="s">
        <v>296</v>
      </c>
      <c r="B53" s="3229" t="s">
        <v>2930</v>
      </c>
      <c r="C53" s="3228">
        <v>23580</v>
      </c>
      <c r="D53" s="3228"/>
      <c r="E53" s="3228">
        <v>24280</v>
      </c>
      <c r="F53" s="3228"/>
      <c r="G53" s="3241"/>
      <c r="N53" s="3228" t="s">
        <v>3048</v>
      </c>
    </row>
    <row r="54" spans="1:17" ht="14.25" customHeight="1" thickBot="1">
      <c r="A54" s="3242" t="s">
        <v>296</v>
      </c>
      <c r="B54" s="3234" t="s">
        <v>2933</v>
      </c>
      <c r="C54" s="3235">
        <v>22460</v>
      </c>
      <c r="D54" s="3235"/>
      <c r="E54" s="3235"/>
      <c r="F54" s="3235"/>
      <c r="G54" s="3243"/>
      <c r="N54" s="3228" t="s">
        <v>3049</v>
      </c>
    </row>
    <row r="55" spans="1:17" ht="14.25" customHeight="1">
      <c r="A55" s="3233" t="s">
        <v>110</v>
      </c>
      <c r="B55" s="3224" t="s">
        <v>3050</v>
      </c>
      <c r="C55" s="3228">
        <v>21970</v>
      </c>
      <c r="D55" s="3228">
        <v>20370</v>
      </c>
      <c r="E55" s="3228">
        <v>20180</v>
      </c>
      <c r="F55" s="3228">
        <v>5730</v>
      </c>
      <c r="G55" s="3228">
        <v>13820</v>
      </c>
      <c r="N55" s="3228" t="s">
        <v>3051</v>
      </c>
    </row>
    <row r="56" spans="1:17" ht="14.25" customHeight="1">
      <c r="A56" s="3228" t="s">
        <v>110</v>
      </c>
      <c r="B56" s="3228" t="s">
        <v>130</v>
      </c>
      <c r="C56" s="3228">
        <v>20470</v>
      </c>
      <c r="D56" s="3228">
        <v>20700</v>
      </c>
      <c r="E56" s="3228">
        <v>20380</v>
      </c>
      <c r="F56" s="3228">
        <v>4760</v>
      </c>
      <c r="G56" s="3228">
        <v>14050</v>
      </c>
      <c r="N56" s="3228" t="s">
        <v>3052</v>
      </c>
    </row>
    <row r="57" spans="1:17" ht="14.25" customHeight="1">
      <c r="A57" s="3228" t="s">
        <v>110</v>
      </c>
      <c r="B57" s="3228" t="s">
        <v>139</v>
      </c>
      <c r="C57" s="3228">
        <v>20790</v>
      </c>
      <c r="D57" s="3228">
        <v>21370</v>
      </c>
      <c r="E57" s="3228">
        <v>20890</v>
      </c>
      <c r="F57" s="3228">
        <v>4910</v>
      </c>
      <c r="G57" s="3228">
        <v>14510</v>
      </c>
      <c r="N57" s="3228" t="s">
        <v>3053</v>
      </c>
    </row>
    <row r="58" spans="1:17" ht="14.25" customHeight="1">
      <c r="A58" s="3228" t="s">
        <v>110</v>
      </c>
      <c r="B58" s="3228" t="s">
        <v>148</v>
      </c>
      <c r="C58" s="3228">
        <v>21460</v>
      </c>
      <c r="D58" s="3228">
        <v>20920</v>
      </c>
      <c r="E58" s="3228">
        <v>23410</v>
      </c>
      <c r="F58" s="3228">
        <v>5100</v>
      </c>
      <c r="G58" s="3228">
        <v>14200</v>
      </c>
      <c r="N58" s="3228" t="s">
        <v>3054</v>
      </c>
    </row>
    <row r="59" spans="1:17" ht="14.25" customHeight="1">
      <c r="A59" s="3228" t="s">
        <v>110</v>
      </c>
      <c r="B59" s="3228" t="s">
        <v>157</v>
      </c>
      <c r="C59" s="3228">
        <v>21000</v>
      </c>
      <c r="D59" s="3228">
        <v>21550</v>
      </c>
      <c r="E59" s="3228">
        <v>21150</v>
      </c>
      <c r="F59" s="3228">
        <v>5250</v>
      </c>
      <c r="G59" s="3228">
        <v>14630</v>
      </c>
      <c r="N59" s="3228" t="s">
        <v>3055</v>
      </c>
    </row>
    <row r="60" spans="1:17" ht="14.25" customHeight="1">
      <c r="A60" s="3228" t="s">
        <v>110</v>
      </c>
      <c r="B60" s="3228" t="s">
        <v>164</v>
      </c>
      <c r="C60" s="3228">
        <v>21640</v>
      </c>
      <c r="D60" s="3228">
        <v>21260</v>
      </c>
      <c r="E60" s="3228">
        <v>24040</v>
      </c>
      <c r="F60" s="3228">
        <v>4470</v>
      </c>
      <c r="G60" s="3228">
        <v>14430</v>
      </c>
      <c r="N60" s="3228" t="s">
        <v>3056</v>
      </c>
    </row>
    <row r="61" spans="1:17" ht="14.25" customHeight="1">
      <c r="A61" s="3228" t="s">
        <v>110</v>
      </c>
      <c r="B61" s="3228" t="s">
        <v>170</v>
      </c>
      <c r="C61" s="3228">
        <v>21330</v>
      </c>
      <c r="D61" s="3228">
        <v>18640</v>
      </c>
      <c r="E61" s="3228">
        <v>21190</v>
      </c>
      <c r="F61" s="3228">
        <v>4180</v>
      </c>
      <c r="G61" s="3228">
        <v>12650</v>
      </c>
      <c r="N61" s="3228" t="s">
        <v>3057</v>
      </c>
    </row>
    <row r="62" spans="1:17" ht="14.25" customHeight="1">
      <c r="A62" s="3228" t="s">
        <v>110</v>
      </c>
      <c r="B62" s="3228" t="s">
        <v>177</v>
      </c>
      <c r="C62" s="3228">
        <v>18710</v>
      </c>
      <c r="D62" s="3228">
        <v>19400</v>
      </c>
      <c r="E62" s="3228">
        <v>23750</v>
      </c>
      <c r="F62" s="3228">
        <v>4860</v>
      </c>
      <c r="G62" s="3228">
        <v>13170</v>
      </c>
      <c r="N62" s="3228" t="s">
        <v>3058</v>
      </c>
    </row>
    <row r="63" spans="1:17" ht="14.25" customHeight="1">
      <c r="A63" s="3228" t="s">
        <v>110</v>
      </c>
      <c r="B63" s="3228" t="s">
        <v>187</v>
      </c>
      <c r="C63" s="3228">
        <v>19480</v>
      </c>
      <c r="D63" s="3228">
        <v>16830</v>
      </c>
      <c r="E63" s="3228">
        <v>21590</v>
      </c>
      <c r="F63" s="3228">
        <v>4560</v>
      </c>
      <c r="G63" s="3228">
        <v>11420</v>
      </c>
      <c r="N63" s="3228" t="s">
        <v>3059</v>
      </c>
    </row>
    <row r="64" spans="1:17" ht="14.25" customHeight="1" thickBot="1">
      <c r="A64" s="3228" t="s">
        <v>110</v>
      </c>
      <c r="B64" s="3228" t="s">
        <v>196</v>
      </c>
      <c r="C64" s="3228">
        <v>16920</v>
      </c>
      <c r="D64" s="3228">
        <v>19190</v>
      </c>
      <c r="E64" s="3228">
        <v>22200</v>
      </c>
      <c r="F64" s="3228">
        <v>4390</v>
      </c>
      <c r="G64" s="3228">
        <v>13030</v>
      </c>
      <c r="N64" s="3235" t="s">
        <v>3060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2931</v>
      </c>
      <c r="C78" s="3228">
        <v>19820</v>
      </c>
      <c r="D78" s="3228">
        <v>19780</v>
      </c>
      <c r="E78" s="3228">
        <v>18560</v>
      </c>
      <c r="F78" s="3228"/>
      <c r="G78" s="3228">
        <v>13430</v>
      </c>
    </row>
    <row r="79" spans="1:7" s="3217" customFormat="1" ht="14.25" customHeight="1">
      <c r="A79" s="3228" t="s">
        <v>110</v>
      </c>
      <c r="B79" s="3228" t="s">
        <v>2934</v>
      </c>
      <c r="C79" s="3228">
        <v>21660</v>
      </c>
      <c r="D79" s="3228">
        <v>18000</v>
      </c>
      <c r="E79" s="3228">
        <v>22570</v>
      </c>
      <c r="F79" s="3228"/>
      <c r="G79" s="3228">
        <v>12220</v>
      </c>
    </row>
    <row r="80" spans="1:7" s="3217" customFormat="1" ht="14.25" customHeight="1">
      <c r="A80" s="3228" t="s">
        <v>110</v>
      </c>
      <c r="B80" s="3228" t="s">
        <v>2938</v>
      </c>
      <c r="C80" s="3228">
        <v>19850</v>
      </c>
      <c r="D80" s="3228"/>
      <c r="E80" s="3228">
        <v>21700</v>
      </c>
      <c r="F80" s="3228"/>
      <c r="G80" s="3228"/>
    </row>
    <row r="81" spans="1:7" s="3217" customFormat="1" ht="14.25" customHeight="1">
      <c r="A81" s="3228" t="s">
        <v>110</v>
      </c>
      <c r="B81" s="3228" t="s">
        <v>2943</v>
      </c>
      <c r="C81" s="3228">
        <v>18080</v>
      </c>
      <c r="D81" s="3228"/>
      <c r="E81" s="3228">
        <v>20900</v>
      </c>
      <c r="F81" s="3228"/>
      <c r="G81" s="3228"/>
    </row>
    <row r="82" spans="1:7" s="3217" customFormat="1" ht="14.25" customHeight="1">
      <c r="A82" s="3228" t="s">
        <v>110</v>
      </c>
      <c r="B82" s="3228" t="s">
        <v>2950</v>
      </c>
      <c r="C82" s="3228"/>
      <c r="D82" s="3228"/>
      <c r="E82" s="3228">
        <v>20840</v>
      </c>
      <c r="F82" s="3228"/>
      <c r="G82" s="3228"/>
    </row>
    <row r="83" spans="1:7" s="3217" customFormat="1" ht="14.25" customHeight="1">
      <c r="A83" s="3228" t="s">
        <v>110</v>
      </c>
      <c r="B83" s="3228" t="s">
        <v>3061</v>
      </c>
      <c r="C83" s="3228"/>
      <c r="D83" s="3228"/>
      <c r="E83" s="3228"/>
      <c r="F83" s="3228">
        <v>4770</v>
      </c>
      <c r="G83" s="3228"/>
    </row>
    <row r="84" spans="1:7" s="3217" customFormat="1" ht="14.25" customHeight="1">
      <c r="A84" s="3228" t="s">
        <v>110</v>
      </c>
      <c r="B84" s="3228" t="s">
        <v>3062</v>
      </c>
      <c r="C84" s="3228"/>
      <c r="D84" s="3228"/>
      <c r="E84" s="3228"/>
      <c r="F84" s="3228">
        <v>4600</v>
      </c>
      <c r="G84" s="3228"/>
    </row>
    <row r="85" spans="1:7" s="3217" customFormat="1" ht="14.25" customHeight="1">
      <c r="A85" s="3228" t="s">
        <v>110</v>
      </c>
      <c r="B85" s="3228" t="s">
        <v>3063</v>
      </c>
      <c r="C85" s="3228"/>
      <c r="D85" s="3228"/>
      <c r="E85" s="3228"/>
      <c r="F85" s="3228">
        <v>4680</v>
      </c>
      <c r="G85" s="3228"/>
    </row>
    <row r="86" spans="1:7" s="3217" customFormat="1" ht="14.25" customHeight="1" thickBot="1">
      <c r="A86" s="3236" t="s">
        <v>110</v>
      </c>
      <c r="B86" s="3238" t="s">
        <v>3064</v>
      </c>
      <c r="C86" s="3239">
        <v>16610</v>
      </c>
      <c r="D86" s="3239">
        <v>16540</v>
      </c>
      <c r="E86" s="3239">
        <v>18850</v>
      </c>
      <c r="F86" s="3239"/>
      <c r="G86" s="3239">
        <v>11220</v>
      </c>
    </row>
    <row r="87" spans="1:7" s="3217" customFormat="1" ht="14.25" customHeight="1">
      <c r="A87" s="3233" t="s">
        <v>303</v>
      </c>
      <c r="B87" s="3224" t="s">
        <v>3065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2944</v>
      </c>
      <c r="C113" s="3228">
        <v>15520</v>
      </c>
      <c r="D113" s="3228">
        <v>15450</v>
      </c>
      <c r="E113" s="3228"/>
      <c r="F113" s="3228"/>
      <c r="G113" s="3241">
        <v>10210</v>
      </c>
    </row>
    <row r="114" spans="1:7" s="3217" customFormat="1" ht="14.25" customHeight="1">
      <c r="A114" s="3228" t="s">
        <v>303</v>
      </c>
      <c r="B114" s="3228" t="s">
        <v>2951</v>
      </c>
      <c r="C114" s="3228">
        <v>13110</v>
      </c>
      <c r="D114" s="3228">
        <v>13050</v>
      </c>
      <c r="E114" s="3228"/>
      <c r="F114" s="3228"/>
      <c r="G114" s="3241">
        <v>8620</v>
      </c>
    </row>
    <row r="115" spans="1:7" s="3217" customFormat="1" ht="14.25" customHeight="1">
      <c r="A115" s="3228" t="s">
        <v>303</v>
      </c>
      <c r="B115" s="3228" t="s">
        <v>2957</v>
      </c>
      <c r="C115" s="3228">
        <v>12460</v>
      </c>
      <c r="D115" s="3228">
        <v>12390</v>
      </c>
      <c r="E115" s="3228"/>
      <c r="F115" s="3228"/>
      <c r="G115" s="3241">
        <v>8190</v>
      </c>
    </row>
    <row r="116" spans="1:7" s="3217" customFormat="1" ht="14.25" customHeight="1">
      <c r="A116" s="3228" t="s">
        <v>303</v>
      </c>
      <c r="B116" s="3228" t="s">
        <v>2964</v>
      </c>
      <c r="C116" s="3228">
        <v>13580</v>
      </c>
      <c r="D116" s="3228">
        <v>13520</v>
      </c>
      <c r="E116" s="3228"/>
      <c r="F116" s="3228"/>
      <c r="G116" s="3241">
        <v>8930</v>
      </c>
    </row>
    <row r="117" spans="1:7" s="3217" customFormat="1" ht="14.25" customHeight="1">
      <c r="A117" s="3228" t="s">
        <v>303</v>
      </c>
      <c r="B117" s="3228" t="s">
        <v>2971</v>
      </c>
      <c r="C117" s="3228">
        <v>17120</v>
      </c>
      <c r="D117" s="3228">
        <v>17040</v>
      </c>
      <c r="E117" s="3228"/>
      <c r="F117" s="3228"/>
      <c r="G117" s="3241">
        <v>11260</v>
      </c>
    </row>
    <row r="118" spans="1:7" s="3217" customFormat="1" ht="14.25" customHeight="1">
      <c r="A118" s="3228" t="s">
        <v>303</v>
      </c>
      <c r="B118" s="3228" t="s">
        <v>2976</v>
      </c>
      <c r="C118" s="3228">
        <v>14860</v>
      </c>
      <c r="D118" s="3228">
        <v>14790</v>
      </c>
      <c r="E118" s="3228"/>
      <c r="F118" s="3228"/>
      <c r="G118" s="3241">
        <v>9780</v>
      </c>
    </row>
    <row r="119" spans="1:7" s="3217" customFormat="1" ht="14.25" customHeight="1">
      <c r="A119" s="3228" t="s">
        <v>303</v>
      </c>
      <c r="B119" s="3228" t="s">
        <v>2980</v>
      </c>
      <c r="C119" s="3228">
        <v>16470</v>
      </c>
      <c r="D119" s="3228">
        <v>16400</v>
      </c>
      <c r="E119" s="3228"/>
      <c r="F119" s="3228"/>
      <c r="G119" s="3241">
        <v>10840</v>
      </c>
    </row>
    <row r="120" spans="1:7" s="3217" customFormat="1" ht="14.25" customHeight="1">
      <c r="A120" s="3228" t="s">
        <v>303</v>
      </c>
      <c r="B120" s="3228" t="s">
        <v>3066</v>
      </c>
      <c r="C120" s="3228"/>
      <c r="D120" s="3228"/>
      <c r="E120" s="3228"/>
      <c r="F120" s="3228">
        <v>4160</v>
      </c>
      <c r="G120" s="3241"/>
    </row>
    <row r="121" spans="1:7" s="3217" customFormat="1" ht="14.25" customHeight="1">
      <c r="A121" s="3228" t="s">
        <v>303</v>
      </c>
      <c r="B121" s="3228" t="s">
        <v>3067</v>
      </c>
      <c r="C121" s="3228"/>
      <c r="D121" s="3228"/>
      <c r="E121" s="3228"/>
      <c r="F121" s="3228">
        <v>3880</v>
      </c>
      <c r="G121" s="3241"/>
    </row>
    <row r="122" spans="1:7" s="3217" customFormat="1" ht="14.25" customHeight="1">
      <c r="A122" s="3228" t="s">
        <v>303</v>
      </c>
      <c r="B122" s="3228" t="s">
        <v>3068</v>
      </c>
      <c r="C122" s="3228">
        <v>13750</v>
      </c>
      <c r="D122" s="3228">
        <v>13680</v>
      </c>
      <c r="E122" s="3228">
        <v>16460</v>
      </c>
      <c r="F122" s="3228">
        <v>2880</v>
      </c>
      <c r="G122" s="3241">
        <v>9040</v>
      </c>
    </row>
    <row r="123" spans="1:7" s="3217" customFormat="1" ht="14.25" customHeight="1">
      <c r="A123" s="3228" t="s">
        <v>303</v>
      </c>
      <c r="B123" s="3228" t="s">
        <v>2999</v>
      </c>
      <c r="C123" s="3228">
        <v>13590</v>
      </c>
      <c r="D123" s="3228">
        <v>13520</v>
      </c>
      <c r="E123" s="3228">
        <v>16290</v>
      </c>
      <c r="F123" s="3228">
        <v>2790</v>
      </c>
      <c r="G123" s="3241">
        <v>8930</v>
      </c>
    </row>
    <row r="124" spans="1:7" s="3217" customFormat="1" ht="14.25" customHeight="1">
      <c r="A124" s="3228" t="s">
        <v>303</v>
      </c>
      <c r="B124" s="3228" t="s">
        <v>3004</v>
      </c>
      <c r="C124" s="3228">
        <v>13400</v>
      </c>
      <c r="D124" s="3228">
        <v>13320</v>
      </c>
      <c r="E124" s="3228">
        <v>16100</v>
      </c>
      <c r="F124" s="3228">
        <v>2320</v>
      </c>
      <c r="G124" s="3241">
        <v>8800</v>
      </c>
    </row>
    <row r="125" spans="1:7" s="3217" customFormat="1" ht="14.25" customHeight="1">
      <c r="A125" s="3228" t="s">
        <v>303</v>
      </c>
      <c r="B125" s="3228" t="s">
        <v>3009</v>
      </c>
      <c r="C125" s="3228">
        <v>12860</v>
      </c>
      <c r="D125" s="3228">
        <v>12790</v>
      </c>
      <c r="E125" s="3228">
        <v>15370</v>
      </c>
      <c r="F125" s="3228">
        <v>2280</v>
      </c>
      <c r="G125" s="3241">
        <v>8450</v>
      </c>
    </row>
    <row r="126" spans="1:7" s="3217" customFormat="1" ht="14.25" customHeight="1" thickBot="1">
      <c r="A126" s="3242" t="s">
        <v>303</v>
      </c>
      <c r="B126" s="3235" t="s">
        <v>3014</v>
      </c>
      <c r="C126" s="3235">
        <v>12960</v>
      </c>
      <c r="D126" s="3235">
        <v>12890</v>
      </c>
      <c r="E126" s="3235">
        <v>15530</v>
      </c>
      <c r="F126" s="3235">
        <v>2910</v>
      </c>
      <c r="G126" s="3243">
        <v>8520</v>
      </c>
    </row>
    <row r="127" spans="1:7" s="3217" customFormat="1" ht="14.25" customHeight="1">
      <c r="A127" s="3233" t="s">
        <v>29</v>
      </c>
      <c r="B127" s="3224" t="s">
        <v>3069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3070</v>
      </c>
      <c r="C148" s="3228">
        <v>10370</v>
      </c>
      <c r="D148" s="3228">
        <v>10310</v>
      </c>
      <c r="E148" s="3228">
        <v>12970</v>
      </c>
      <c r="F148" s="3228"/>
      <c r="G148" s="3228">
        <v>6630</v>
      </c>
    </row>
    <row r="149" spans="1:7" s="3217" customFormat="1" ht="14.25" customHeight="1">
      <c r="A149" s="3228" t="s">
        <v>29</v>
      </c>
      <c r="B149" s="3228" t="s">
        <v>3071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2945</v>
      </c>
      <c r="C153" s="3228">
        <v>10880</v>
      </c>
      <c r="D153" s="3228">
        <v>10820</v>
      </c>
      <c r="E153" s="3228">
        <v>13660</v>
      </c>
      <c r="F153" s="3228">
        <v>2260</v>
      </c>
      <c r="G153" s="3228">
        <v>6970</v>
      </c>
    </row>
    <row r="154" spans="1:7" s="3217" customFormat="1" ht="14.25" customHeight="1">
      <c r="A154" s="3228" t="s">
        <v>29</v>
      </c>
      <c r="B154" s="3228" t="s">
        <v>3072</v>
      </c>
      <c r="C154" s="3228">
        <v>11220</v>
      </c>
      <c r="D154" s="3228">
        <v>11160</v>
      </c>
      <c r="E154" s="3228">
        <v>14130</v>
      </c>
      <c r="F154" s="3228">
        <v>2230</v>
      </c>
      <c r="G154" s="3228">
        <v>7180</v>
      </c>
    </row>
    <row r="155" spans="1:7" s="3217" customFormat="1" ht="14.25" customHeight="1">
      <c r="A155" s="3228" t="s">
        <v>29</v>
      </c>
      <c r="B155" s="3228" t="s">
        <v>2958</v>
      </c>
      <c r="C155" s="3228">
        <v>10430</v>
      </c>
      <c r="D155" s="3228">
        <v>10380</v>
      </c>
      <c r="E155" s="3228">
        <v>13140</v>
      </c>
      <c r="F155" s="3228">
        <v>2080</v>
      </c>
      <c r="G155" s="3228">
        <v>6650</v>
      </c>
    </row>
    <row r="156" spans="1:7" s="3217" customFormat="1" ht="14.25" customHeight="1">
      <c r="A156" s="3228" t="s">
        <v>29</v>
      </c>
      <c r="B156" s="3228" t="s">
        <v>3073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3074</v>
      </c>
      <c r="C160" s="3228">
        <v>11180</v>
      </c>
      <c r="D160" s="3228">
        <v>11140</v>
      </c>
      <c r="E160" s="3228">
        <v>14050</v>
      </c>
      <c r="F160" s="3228">
        <v>2270</v>
      </c>
      <c r="G160" s="3228">
        <v>7170</v>
      </c>
    </row>
    <row r="161" spans="1:7" s="3217" customFormat="1" ht="14.25" customHeight="1">
      <c r="A161" s="3228" t="s">
        <v>29</v>
      </c>
      <c r="B161" s="3228" t="s">
        <v>2990</v>
      </c>
      <c r="C161" s="3228">
        <v>11160</v>
      </c>
      <c r="D161" s="3228">
        <v>11120</v>
      </c>
      <c r="E161" s="3228">
        <v>14020</v>
      </c>
      <c r="F161" s="3228">
        <v>2150</v>
      </c>
      <c r="G161" s="3228">
        <v>7160</v>
      </c>
    </row>
    <row r="162" spans="1:7" s="3217" customFormat="1" ht="14.25" customHeight="1">
      <c r="A162" s="3228" t="s">
        <v>29</v>
      </c>
      <c r="B162" s="3228" t="s">
        <v>2995</v>
      </c>
      <c r="C162" s="3228">
        <v>9620</v>
      </c>
      <c r="D162" s="3228">
        <v>9570</v>
      </c>
      <c r="E162" s="3228">
        <v>12320</v>
      </c>
      <c r="F162" s="3228">
        <v>2010</v>
      </c>
      <c r="G162" s="3228">
        <v>6160</v>
      </c>
    </row>
    <row r="163" spans="1:7" s="3217" customFormat="1" ht="14.25" customHeight="1">
      <c r="A163" s="3228" t="s">
        <v>29</v>
      </c>
      <c r="B163" s="3228" t="s">
        <v>3000</v>
      </c>
      <c r="C163" s="3228">
        <v>9320</v>
      </c>
      <c r="D163" s="3228">
        <v>9270</v>
      </c>
      <c r="E163" s="3228">
        <v>11790</v>
      </c>
      <c r="F163" s="3228">
        <v>1920</v>
      </c>
      <c r="G163" s="3228">
        <v>5960</v>
      </c>
    </row>
    <row r="164" spans="1:7" s="3217" customFormat="1" ht="14.25" customHeight="1">
      <c r="A164" s="3228" t="s">
        <v>29</v>
      </c>
      <c r="B164" s="3228" t="s">
        <v>3005</v>
      </c>
      <c r="C164" s="3228"/>
      <c r="D164" s="3228"/>
      <c r="E164" s="3228"/>
      <c r="F164" s="3228">
        <v>1980</v>
      </c>
      <c r="G164" s="3228"/>
    </row>
    <row r="165" spans="1:7" s="3217" customFormat="1" ht="14.25" customHeight="1">
      <c r="A165" s="3228" t="s">
        <v>29</v>
      </c>
      <c r="B165" s="3228" t="s">
        <v>3075</v>
      </c>
      <c r="C165" s="3228">
        <v>11060</v>
      </c>
      <c r="D165" s="3228">
        <v>11030</v>
      </c>
      <c r="E165" s="3228">
        <v>13850</v>
      </c>
      <c r="F165" s="3228">
        <v>2170</v>
      </c>
      <c r="G165" s="3228">
        <v>7090</v>
      </c>
    </row>
    <row r="166" spans="1:7" s="3217" customFormat="1" ht="14.25" customHeight="1">
      <c r="A166" s="3228" t="s">
        <v>29</v>
      </c>
      <c r="B166" s="3228" t="s">
        <v>3015</v>
      </c>
      <c r="C166" s="3228">
        <v>11050</v>
      </c>
      <c r="D166" s="3228">
        <v>11010</v>
      </c>
      <c r="E166" s="3228">
        <v>13920</v>
      </c>
      <c r="F166" s="3228">
        <v>2140</v>
      </c>
      <c r="G166" s="3228">
        <v>7080</v>
      </c>
    </row>
    <row r="167" spans="1:7" s="3217" customFormat="1" ht="14.25" customHeight="1">
      <c r="A167" s="3228" t="s">
        <v>29</v>
      </c>
      <c r="B167" s="3228" t="s">
        <v>3019</v>
      </c>
      <c r="C167" s="3228">
        <v>10930</v>
      </c>
      <c r="D167" s="3228">
        <v>10890</v>
      </c>
      <c r="E167" s="3228">
        <v>13790</v>
      </c>
      <c r="F167" s="3228">
        <v>2010</v>
      </c>
      <c r="G167" s="3228">
        <v>7000</v>
      </c>
    </row>
    <row r="168" spans="1:7" s="3217" customFormat="1" ht="14.25" customHeight="1">
      <c r="A168" s="3228" t="s">
        <v>29</v>
      </c>
      <c r="B168" s="3228" t="s">
        <v>3024</v>
      </c>
      <c r="C168" s="3228">
        <v>9420</v>
      </c>
      <c r="D168" s="3228">
        <v>9380</v>
      </c>
      <c r="E168" s="3228">
        <v>11970</v>
      </c>
      <c r="F168" s="3228"/>
      <c r="G168" s="3228">
        <v>6040</v>
      </c>
    </row>
    <row r="169" spans="1:7" s="3217" customFormat="1" ht="14.25" customHeight="1">
      <c r="A169" s="3228" t="s">
        <v>29</v>
      </c>
      <c r="B169" s="3228" t="s">
        <v>3076</v>
      </c>
      <c r="C169" s="3228"/>
      <c r="D169" s="3228"/>
      <c r="E169" s="3228"/>
      <c r="F169" s="3228">
        <v>2880</v>
      </c>
      <c r="G169" s="3228"/>
    </row>
    <row r="170" spans="1:7" s="3217" customFormat="1" ht="14.25" customHeight="1">
      <c r="A170" s="3228" t="s">
        <v>29</v>
      </c>
      <c r="B170" s="3228" t="s">
        <v>3032</v>
      </c>
      <c r="C170" s="3228"/>
      <c r="D170" s="3228"/>
      <c r="E170" s="3228"/>
      <c r="F170" s="3228">
        <v>2880</v>
      </c>
      <c r="G170" s="3228"/>
    </row>
    <row r="171" spans="1:7" s="3217" customFormat="1" ht="14.25" customHeight="1">
      <c r="A171" s="3228" t="s">
        <v>29</v>
      </c>
      <c r="B171" s="3228" t="s">
        <v>3035</v>
      </c>
      <c r="C171" s="3228"/>
      <c r="D171" s="3228"/>
      <c r="E171" s="3228"/>
      <c r="F171" s="3228">
        <v>2880</v>
      </c>
      <c r="G171" s="3228"/>
    </row>
    <row r="172" spans="1:7" s="3217" customFormat="1" ht="14.25" customHeight="1">
      <c r="A172" s="3228" t="s">
        <v>29</v>
      </c>
      <c r="B172" s="3228" t="s">
        <v>3037</v>
      </c>
      <c r="C172" s="3228"/>
      <c r="D172" s="3228"/>
      <c r="E172" s="3228"/>
      <c r="F172" s="3228">
        <v>2880</v>
      </c>
      <c r="G172" s="3228"/>
    </row>
    <row r="173" spans="1:7" s="3217" customFormat="1" ht="14.25" customHeight="1">
      <c r="A173" s="3228" t="s">
        <v>29</v>
      </c>
      <c r="B173" s="3228" t="s">
        <v>3039</v>
      </c>
      <c r="C173" s="3228"/>
      <c r="D173" s="3228"/>
      <c r="E173" s="3228"/>
      <c r="F173" s="3228">
        <v>2150</v>
      </c>
      <c r="G173" s="3228"/>
    </row>
    <row r="174" spans="1:7" s="3217" customFormat="1" ht="14.25" customHeight="1">
      <c r="A174" s="3228" t="s">
        <v>29</v>
      </c>
      <c r="B174" s="3228" t="s">
        <v>3041</v>
      </c>
      <c r="C174" s="3228"/>
      <c r="D174" s="3228"/>
      <c r="E174" s="3228"/>
      <c r="F174" s="3228">
        <v>2030</v>
      </c>
      <c r="G174" s="3228"/>
    </row>
    <row r="175" spans="1:7" s="3217" customFormat="1" ht="14.25" customHeight="1">
      <c r="A175" s="3228" t="s">
        <v>29</v>
      </c>
      <c r="B175" s="3228" t="s">
        <v>3043</v>
      </c>
      <c r="C175" s="3228"/>
      <c r="D175" s="3228"/>
      <c r="E175" s="3228"/>
      <c r="F175" s="3228">
        <v>2780</v>
      </c>
      <c r="G175" s="3228"/>
    </row>
    <row r="176" spans="1:7" s="3217" customFormat="1" ht="14.25" customHeight="1">
      <c r="A176" s="3228" t="s">
        <v>29</v>
      </c>
      <c r="B176" s="3228" t="s">
        <v>3045</v>
      </c>
      <c r="C176" s="3228"/>
      <c r="D176" s="3228"/>
      <c r="E176" s="3228"/>
      <c r="F176" s="3228">
        <v>2780</v>
      </c>
      <c r="G176" s="3228"/>
    </row>
    <row r="177" spans="1:7" s="3217" customFormat="1" ht="14.25" customHeight="1">
      <c r="A177" s="3228" t="s">
        <v>29</v>
      </c>
      <c r="B177" s="3228" t="s">
        <v>3077</v>
      </c>
      <c r="C177" s="3228"/>
      <c r="D177" s="3228"/>
      <c r="E177" s="3228"/>
      <c r="F177" s="3228">
        <v>2780</v>
      </c>
      <c r="G177" s="3228"/>
    </row>
    <row r="178" spans="1:7" s="3217" customFormat="1" ht="14.25" customHeight="1">
      <c r="A178" s="3228" t="s">
        <v>29</v>
      </c>
      <c r="B178" s="3228" t="s">
        <v>3078</v>
      </c>
      <c r="C178" s="3228"/>
      <c r="D178" s="3228"/>
      <c r="E178" s="3228"/>
      <c r="F178" s="3228">
        <v>2060</v>
      </c>
      <c r="G178" s="3228"/>
    </row>
    <row r="179" spans="1:7" s="3217" customFormat="1" ht="14.25" customHeight="1">
      <c r="A179" s="3228" t="s">
        <v>29</v>
      </c>
      <c r="B179" s="3228" t="s">
        <v>3079</v>
      </c>
      <c r="C179" s="3228"/>
      <c r="D179" s="3228"/>
      <c r="E179" s="3228"/>
      <c r="F179" s="3228">
        <v>2120</v>
      </c>
      <c r="G179" s="3228"/>
    </row>
    <row r="180" spans="1:7" s="3217" customFormat="1" ht="14.25" customHeight="1">
      <c r="A180" s="3228" t="s">
        <v>29</v>
      </c>
      <c r="B180" s="3228" t="s">
        <v>3051</v>
      </c>
      <c r="C180" s="3228"/>
      <c r="D180" s="3228"/>
      <c r="E180" s="3228"/>
      <c r="F180" s="3228">
        <v>2340</v>
      </c>
      <c r="G180" s="3228"/>
    </row>
    <row r="181" spans="1:7" s="3217" customFormat="1" ht="14.25" customHeight="1">
      <c r="A181" s="3228" t="s">
        <v>29</v>
      </c>
      <c r="B181" s="3228" t="s">
        <v>3052</v>
      </c>
      <c r="C181" s="3228"/>
      <c r="D181" s="3228"/>
      <c r="E181" s="3228"/>
      <c r="F181" s="3228">
        <v>2340</v>
      </c>
      <c r="G181" s="3228"/>
    </row>
    <row r="182" spans="1:7" s="3217" customFormat="1" ht="14.25" customHeight="1">
      <c r="A182" s="3228" t="s">
        <v>29</v>
      </c>
      <c r="B182" s="3228" t="s">
        <v>3053</v>
      </c>
      <c r="C182" s="3228"/>
      <c r="D182" s="3228"/>
      <c r="E182" s="3228"/>
      <c r="F182" s="3228">
        <v>2340</v>
      </c>
      <c r="G182" s="3228"/>
    </row>
    <row r="183" spans="1:7" s="3217" customFormat="1" ht="14.25" customHeight="1">
      <c r="A183" s="3228" t="s">
        <v>29</v>
      </c>
      <c r="B183" s="3228" t="s">
        <v>3054</v>
      </c>
      <c r="C183" s="3228"/>
      <c r="D183" s="3228"/>
      <c r="E183" s="3228"/>
      <c r="F183" s="3228">
        <v>2340</v>
      </c>
      <c r="G183" s="3228"/>
    </row>
    <row r="184" spans="1:7" s="3217" customFormat="1" ht="14.25" customHeight="1">
      <c r="A184" s="3228" t="s">
        <v>29</v>
      </c>
      <c r="B184" s="3228" t="s">
        <v>3055</v>
      </c>
      <c r="C184" s="3228"/>
      <c r="D184" s="3228"/>
      <c r="E184" s="3228"/>
      <c r="F184" s="3228">
        <v>2340</v>
      </c>
      <c r="G184" s="3228"/>
    </row>
    <row r="185" spans="1:7" s="3217" customFormat="1" ht="14.25" customHeight="1">
      <c r="A185" s="3228" t="s">
        <v>29</v>
      </c>
      <c r="B185" s="3228" t="s">
        <v>3056</v>
      </c>
      <c r="C185" s="3228"/>
      <c r="D185" s="3228"/>
      <c r="E185" s="3228"/>
      <c r="F185" s="3228">
        <v>2530</v>
      </c>
      <c r="G185" s="3228"/>
    </row>
    <row r="186" spans="1:7" s="3217" customFormat="1" ht="14.25" customHeight="1">
      <c r="A186" s="3228" t="s">
        <v>29</v>
      </c>
      <c r="B186" s="3228" t="s">
        <v>3057</v>
      </c>
      <c r="C186" s="3228"/>
      <c r="D186" s="3228"/>
      <c r="E186" s="3228"/>
      <c r="F186" s="3228">
        <v>2550</v>
      </c>
      <c r="G186" s="3228"/>
    </row>
    <row r="187" spans="1:7" s="3217" customFormat="1" ht="14.25" customHeight="1">
      <c r="A187" s="3228" t="s">
        <v>29</v>
      </c>
      <c r="B187" s="3228" t="s">
        <v>3058</v>
      </c>
      <c r="C187" s="3228"/>
      <c r="D187" s="3228"/>
      <c r="E187" s="3228"/>
      <c r="F187" s="3228">
        <v>2070</v>
      </c>
      <c r="G187" s="3228"/>
    </row>
    <row r="188" spans="1:7" s="3217" customFormat="1" ht="14.25" customHeight="1">
      <c r="A188" s="3228" t="s">
        <v>29</v>
      </c>
      <c r="B188" s="3228" t="s">
        <v>3059</v>
      </c>
      <c r="C188" s="3228"/>
      <c r="D188" s="3228"/>
      <c r="E188" s="3228"/>
      <c r="F188" s="3228">
        <v>2340</v>
      </c>
      <c r="G188" s="3228"/>
    </row>
    <row r="189" spans="1:7" s="3217" customFormat="1" ht="14.25" customHeight="1" thickBot="1">
      <c r="A189" s="3236" t="s">
        <v>29</v>
      </c>
      <c r="B189" s="3239" t="s">
        <v>3060</v>
      </c>
      <c r="C189" s="3239"/>
      <c r="D189" s="3239"/>
      <c r="E189" s="3239"/>
      <c r="F189" s="3239">
        <v>2050</v>
      </c>
      <c r="G189" s="3239"/>
    </row>
    <row r="190" spans="1:7" s="3217" customFormat="1" ht="14.25" customHeight="1">
      <c r="A190" s="3233" t="s">
        <v>304</v>
      </c>
      <c r="B190" s="3224" t="s">
        <v>3080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3081</v>
      </c>
      <c r="C199" s="3228">
        <v>8690</v>
      </c>
      <c r="D199" s="3228">
        <v>8630</v>
      </c>
      <c r="E199" s="3228">
        <v>11350</v>
      </c>
      <c r="F199" s="3228">
        <v>1600</v>
      </c>
      <c r="G199" s="3241">
        <v>5450</v>
      </c>
    </row>
    <row r="200" spans="1:7" s="3217" customFormat="1" ht="14.25" customHeight="1">
      <c r="A200" s="3228" t="s">
        <v>304</v>
      </c>
      <c r="B200" s="3228" t="s">
        <v>2892</v>
      </c>
      <c r="C200" s="3228"/>
      <c r="D200" s="3228"/>
      <c r="E200" s="3228"/>
      <c r="F200" s="3228">
        <v>1510</v>
      </c>
      <c r="G200" s="3241"/>
    </row>
    <row r="201" spans="1:7" s="3217" customFormat="1" ht="14.25" customHeight="1">
      <c r="A201" s="3228" t="s">
        <v>304</v>
      </c>
      <c r="B201" s="3228" t="s">
        <v>3082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3083</v>
      </c>
      <c r="C203" s="3228">
        <v>8130</v>
      </c>
      <c r="D203" s="3228">
        <v>8070</v>
      </c>
      <c r="E203" s="3228">
        <v>10820</v>
      </c>
      <c r="F203" s="3228">
        <v>1690</v>
      </c>
      <c r="G203" s="3241">
        <v>5100</v>
      </c>
    </row>
    <row r="204" spans="1:7" s="3217" customFormat="1" ht="14.25" customHeight="1">
      <c r="A204" s="3228" t="s">
        <v>304</v>
      </c>
      <c r="B204" s="3228" t="s">
        <v>2903</v>
      </c>
      <c r="C204" s="3228">
        <v>8350</v>
      </c>
      <c r="D204" s="3228">
        <v>8290</v>
      </c>
      <c r="E204" s="3228">
        <v>11080</v>
      </c>
      <c r="F204" s="3228">
        <v>1450</v>
      </c>
      <c r="G204" s="3241">
        <v>5240</v>
      </c>
    </row>
    <row r="205" spans="1:7" s="3217" customFormat="1" ht="14.25" customHeight="1">
      <c r="A205" s="3228" t="s">
        <v>304</v>
      </c>
      <c r="B205" s="3228" t="s">
        <v>2905</v>
      </c>
      <c r="C205" s="3228">
        <v>7190</v>
      </c>
      <c r="D205" s="3228">
        <v>7130</v>
      </c>
      <c r="E205" s="3228">
        <v>9490</v>
      </c>
      <c r="F205" s="3228">
        <v>1470</v>
      </c>
      <c r="G205" s="3241">
        <v>4510</v>
      </c>
    </row>
    <row r="206" spans="1:7" s="3217" customFormat="1" ht="14.25" customHeight="1">
      <c r="A206" s="3228" t="s">
        <v>304</v>
      </c>
      <c r="B206" s="3228" t="s">
        <v>2908</v>
      </c>
      <c r="C206" s="3228">
        <v>7000</v>
      </c>
      <c r="D206" s="3228">
        <v>6950</v>
      </c>
      <c r="E206" s="3228">
        <v>9170</v>
      </c>
      <c r="F206" s="3228">
        <v>1400</v>
      </c>
      <c r="G206" s="3241">
        <v>4380</v>
      </c>
    </row>
    <row r="207" spans="1:7" s="3217" customFormat="1" ht="14.25" customHeight="1">
      <c r="A207" s="3228" t="s">
        <v>304</v>
      </c>
      <c r="B207" s="3228" t="s">
        <v>2910</v>
      </c>
      <c r="C207" s="3228">
        <v>6950</v>
      </c>
      <c r="D207" s="3228">
        <v>6900</v>
      </c>
      <c r="E207" s="3228">
        <v>9110</v>
      </c>
      <c r="F207" s="3228">
        <v>1790</v>
      </c>
      <c r="G207" s="3241">
        <v>4360</v>
      </c>
    </row>
    <row r="208" spans="1:7" s="3217" customFormat="1" ht="14.25" customHeight="1">
      <c r="A208" s="3228" t="s">
        <v>304</v>
      </c>
      <c r="B208" s="3228" t="s">
        <v>3084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2920</v>
      </c>
      <c r="C210" s="3228">
        <v>8710</v>
      </c>
      <c r="D210" s="3228">
        <v>8660</v>
      </c>
      <c r="E210" s="3228">
        <v>11440</v>
      </c>
      <c r="F210" s="3228">
        <v>1740</v>
      </c>
      <c r="G210" s="3241">
        <v>5470</v>
      </c>
    </row>
    <row r="211" spans="1:7" s="3217" customFormat="1" ht="14.25" customHeight="1">
      <c r="A211" s="3228" t="s">
        <v>304</v>
      </c>
      <c r="B211" s="3228" t="s">
        <v>3085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3086</v>
      </c>
      <c r="C214" s="3228">
        <v>8090</v>
      </c>
      <c r="D214" s="3228">
        <v>8030</v>
      </c>
      <c r="E214" s="3228">
        <v>10780</v>
      </c>
      <c r="F214" s="3228">
        <v>1570</v>
      </c>
      <c r="G214" s="3241">
        <v>5070</v>
      </c>
    </row>
    <row r="215" spans="1:7" s="3217" customFormat="1" ht="14.25" customHeight="1">
      <c r="A215" s="3228" t="s">
        <v>304</v>
      </c>
      <c r="B215" s="3228" t="s">
        <v>3087</v>
      </c>
      <c r="C215" s="3228">
        <v>7950</v>
      </c>
      <c r="D215" s="3228">
        <v>7900</v>
      </c>
      <c r="E215" s="3228">
        <v>10560</v>
      </c>
      <c r="F215" s="3228">
        <v>1630</v>
      </c>
      <c r="G215" s="3241">
        <v>4990</v>
      </c>
    </row>
    <row r="216" spans="1:7" s="3217" customFormat="1" ht="14.25" customHeight="1">
      <c r="A216" s="3228" t="s">
        <v>304</v>
      </c>
      <c r="B216" s="3228" t="s">
        <v>3088</v>
      </c>
      <c r="C216" s="3228">
        <v>8490</v>
      </c>
      <c r="D216" s="3228">
        <v>8440</v>
      </c>
      <c r="E216" s="3228">
        <v>11260</v>
      </c>
      <c r="F216" s="3228">
        <v>1690</v>
      </c>
      <c r="G216" s="3241">
        <v>5330</v>
      </c>
    </row>
    <row r="217" spans="1:7" s="3217" customFormat="1" ht="14.25" customHeight="1">
      <c r="A217" s="3228" t="s">
        <v>304</v>
      </c>
      <c r="B217" s="3228" t="s">
        <v>2953</v>
      </c>
      <c r="C217" s="3228">
        <v>8200</v>
      </c>
      <c r="D217" s="3228">
        <v>8150</v>
      </c>
      <c r="E217" s="3228">
        <v>10910</v>
      </c>
      <c r="F217" s="3228">
        <v>1670</v>
      </c>
      <c r="G217" s="3241">
        <v>5150</v>
      </c>
    </row>
    <row r="218" spans="1:7" s="3217" customFormat="1" ht="14.25" customHeight="1">
      <c r="A218" s="3228" t="s">
        <v>304</v>
      </c>
      <c r="B218" s="3228" t="s">
        <v>3089</v>
      </c>
      <c r="C218" s="3228"/>
      <c r="D218" s="3228"/>
      <c r="E218" s="3228"/>
      <c r="F218" s="3228">
        <v>2040</v>
      </c>
      <c r="G218" s="3241"/>
    </row>
    <row r="219" spans="1:7" s="3217" customFormat="1" ht="14.25" customHeight="1">
      <c r="A219" s="3228" t="s">
        <v>304</v>
      </c>
      <c r="B219" s="3228" t="s">
        <v>3090</v>
      </c>
      <c r="C219" s="3228"/>
      <c r="D219" s="3228"/>
      <c r="E219" s="3228"/>
      <c r="F219" s="3228">
        <v>2040</v>
      </c>
      <c r="G219" s="3241"/>
    </row>
    <row r="220" spans="1:7" s="3217" customFormat="1" ht="14.25" customHeight="1">
      <c r="A220" s="3228" t="s">
        <v>304</v>
      </c>
      <c r="B220" s="3228" t="s">
        <v>3091</v>
      </c>
      <c r="C220" s="3228"/>
      <c r="D220" s="3228"/>
      <c r="E220" s="3228"/>
      <c r="F220" s="3228">
        <v>2040</v>
      </c>
      <c r="G220" s="3241"/>
    </row>
    <row r="221" spans="1:7" s="3217" customFormat="1" ht="14.25" customHeight="1">
      <c r="A221" s="3228" t="s">
        <v>304</v>
      </c>
      <c r="B221" s="3228" t="s">
        <v>3092</v>
      </c>
      <c r="C221" s="3228"/>
      <c r="D221" s="3228"/>
      <c r="E221" s="3228"/>
      <c r="F221" s="3228">
        <v>2040</v>
      </c>
      <c r="G221" s="3241"/>
    </row>
    <row r="222" spans="1:7" s="3217" customFormat="1" ht="14.25" customHeight="1">
      <c r="A222" s="3228" t="s">
        <v>304</v>
      </c>
      <c r="B222" s="3228" t="s">
        <v>3093</v>
      </c>
      <c r="C222" s="3228"/>
      <c r="D222" s="3228"/>
      <c r="E222" s="3228"/>
      <c r="F222" s="3228">
        <v>2040</v>
      </c>
      <c r="G222" s="3241"/>
    </row>
    <row r="223" spans="1:7" s="3217" customFormat="1" ht="14.25" customHeight="1">
      <c r="A223" s="3228" t="s">
        <v>304</v>
      </c>
      <c r="B223" s="3228" t="s">
        <v>3094</v>
      </c>
      <c r="C223" s="3228"/>
      <c r="D223" s="3228"/>
      <c r="E223" s="3228"/>
      <c r="F223" s="3228">
        <v>1930</v>
      </c>
      <c r="G223" s="3241"/>
    </row>
    <row r="224" spans="1:7" s="3217" customFormat="1" ht="14.25" customHeight="1">
      <c r="A224" s="3228" t="s">
        <v>304</v>
      </c>
      <c r="B224" s="3228" t="s">
        <v>3095</v>
      </c>
      <c r="C224" s="3228"/>
      <c r="D224" s="3228"/>
      <c r="E224" s="3228"/>
      <c r="F224" s="3228">
        <v>1930</v>
      </c>
      <c r="G224" s="3241"/>
    </row>
    <row r="225" spans="1:7" s="3217" customFormat="1" ht="14.25" customHeight="1">
      <c r="A225" s="3228" t="s">
        <v>304</v>
      </c>
      <c r="B225" s="3228" t="s">
        <v>3096</v>
      </c>
      <c r="C225" s="3228"/>
      <c r="D225" s="3228"/>
      <c r="E225" s="3228"/>
      <c r="F225" s="3228">
        <v>1930</v>
      </c>
      <c r="G225" s="3241"/>
    </row>
    <row r="226" spans="1:7" s="3217" customFormat="1" ht="14.25" customHeight="1">
      <c r="A226" s="3228" t="s">
        <v>304</v>
      </c>
      <c r="B226" s="3228" t="s">
        <v>3097</v>
      </c>
      <c r="C226" s="3228"/>
      <c r="D226" s="3228"/>
      <c r="E226" s="3228"/>
      <c r="F226" s="3228">
        <v>1700</v>
      </c>
      <c r="G226" s="3241"/>
    </row>
    <row r="227" spans="1:7" s="3217" customFormat="1" ht="14.25" customHeight="1">
      <c r="A227" s="3228" t="s">
        <v>304</v>
      </c>
      <c r="B227" s="3228" t="s">
        <v>3098</v>
      </c>
      <c r="C227" s="3228"/>
      <c r="D227" s="3228"/>
      <c r="E227" s="3228"/>
      <c r="F227" s="3228">
        <v>1520</v>
      </c>
      <c r="G227" s="3241"/>
    </row>
    <row r="228" spans="1:7" s="3217" customFormat="1" ht="14.25" customHeight="1">
      <c r="A228" s="3228" t="s">
        <v>304</v>
      </c>
      <c r="B228" s="3228" t="s">
        <v>3099</v>
      </c>
      <c r="C228" s="3228"/>
      <c r="D228" s="3228"/>
      <c r="E228" s="3228"/>
      <c r="F228" s="3228">
        <v>1520</v>
      </c>
      <c r="G228" s="3241"/>
    </row>
    <row r="229" spans="1:7" s="3217" customFormat="1" ht="14.25" customHeight="1">
      <c r="A229" s="3228" t="s">
        <v>304</v>
      </c>
      <c r="B229" s="3228" t="s">
        <v>3016</v>
      </c>
      <c r="C229" s="3228"/>
      <c r="D229" s="3228"/>
      <c r="E229" s="3228"/>
      <c r="F229" s="3228">
        <v>1520</v>
      </c>
      <c r="G229" s="3241"/>
    </row>
    <row r="230" spans="1:7" s="3217" customFormat="1" ht="14.25" customHeight="1">
      <c r="A230" s="3228" t="s">
        <v>304</v>
      </c>
      <c r="B230" s="3228" t="s">
        <v>3100</v>
      </c>
      <c r="C230" s="3228"/>
      <c r="D230" s="3228"/>
      <c r="E230" s="3228"/>
      <c r="F230" s="3228">
        <v>1820</v>
      </c>
      <c r="G230" s="3241"/>
    </row>
    <row r="231" spans="1:7" s="3217" customFormat="1" ht="14.25" customHeight="1">
      <c r="A231" s="3228" t="s">
        <v>304</v>
      </c>
      <c r="B231" s="3228" t="s">
        <v>3101</v>
      </c>
      <c r="C231" s="3228"/>
      <c r="D231" s="3228"/>
      <c r="E231" s="3228"/>
      <c r="F231" s="3228">
        <v>1760</v>
      </c>
      <c r="G231" s="3241"/>
    </row>
    <row r="232" spans="1:7" s="3217" customFormat="1" ht="14.25" customHeight="1">
      <c r="A232" s="3228" t="s">
        <v>304</v>
      </c>
      <c r="B232" s="3228" t="s">
        <v>3102</v>
      </c>
      <c r="C232" s="3228"/>
      <c r="D232" s="3228"/>
      <c r="E232" s="3228"/>
      <c r="F232" s="3228">
        <v>1840</v>
      </c>
      <c r="G232" s="3241"/>
    </row>
    <row r="233" spans="1:7" s="3217" customFormat="1" ht="14.25" customHeight="1" thickBot="1">
      <c r="A233" s="3242" t="s">
        <v>304</v>
      </c>
      <c r="B233" s="3235" t="s">
        <v>3033</v>
      </c>
      <c r="C233" s="3235"/>
      <c r="D233" s="3235"/>
      <c r="E233" s="3235"/>
      <c r="F233" s="3235">
        <v>1770</v>
      </c>
      <c r="G233" s="3243"/>
    </row>
    <row r="234" spans="1:7" s="3217" customFormat="1" ht="14.25" customHeight="1">
      <c r="A234" s="3233" t="s">
        <v>305</v>
      </c>
      <c r="B234" s="3224" t="s">
        <v>3103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2874</v>
      </c>
      <c r="C238" s="3228">
        <v>6920</v>
      </c>
      <c r="D238" s="3228">
        <v>6890</v>
      </c>
      <c r="E238" s="3228">
        <v>8640</v>
      </c>
      <c r="F238" s="3228">
        <v>1310</v>
      </c>
      <c r="G238" s="3228">
        <v>4230</v>
      </c>
    </row>
    <row r="239" spans="1:7" s="3217" customFormat="1" ht="14.25" customHeight="1">
      <c r="A239" s="3228" t="s">
        <v>305</v>
      </c>
      <c r="B239" s="3228" t="s">
        <v>3104</v>
      </c>
      <c r="C239" s="3228">
        <v>6780</v>
      </c>
      <c r="D239" s="3228">
        <v>6750</v>
      </c>
      <c r="E239" s="3228">
        <v>8440</v>
      </c>
      <c r="F239" s="3228">
        <v>1160</v>
      </c>
      <c r="G239" s="3228">
        <v>4140</v>
      </c>
    </row>
    <row r="240" spans="1:7" s="3217" customFormat="1" ht="14.25" customHeight="1">
      <c r="A240" s="3228" t="s">
        <v>305</v>
      </c>
      <c r="B240" s="3228" t="s">
        <v>3105</v>
      </c>
      <c r="C240" s="3228">
        <v>5420</v>
      </c>
      <c r="D240" s="3228">
        <v>5380</v>
      </c>
      <c r="E240" s="3228">
        <v>6640</v>
      </c>
      <c r="F240" s="3228">
        <v>1020</v>
      </c>
      <c r="G240" s="3228">
        <v>3300</v>
      </c>
    </row>
    <row r="241" spans="1:7" s="3217" customFormat="1" ht="14.25" customHeight="1">
      <c r="A241" s="3228" t="s">
        <v>305</v>
      </c>
      <c r="B241" s="3228" t="s">
        <v>3106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3109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2936</v>
      </c>
      <c r="C258" s="3228">
        <v>6190</v>
      </c>
      <c r="D258" s="3228">
        <v>6160</v>
      </c>
      <c r="E258" s="3228">
        <v>7680</v>
      </c>
      <c r="F258" s="3228">
        <v>1170</v>
      </c>
      <c r="G258" s="3228">
        <v>3780</v>
      </c>
    </row>
    <row r="259" spans="1:7" s="3217" customFormat="1" ht="14.25" customHeight="1">
      <c r="A259" s="3228" t="s">
        <v>305</v>
      </c>
      <c r="B259" s="3228" t="s">
        <v>3112</v>
      </c>
      <c r="C259" s="3228">
        <v>7610</v>
      </c>
      <c r="D259" s="3228">
        <v>7570</v>
      </c>
      <c r="E259" s="3228">
        <v>9350</v>
      </c>
      <c r="F259" s="3228">
        <v>1350</v>
      </c>
      <c r="G259" s="3228">
        <v>4650</v>
      </c>
    </row>
    <row r="260" spans="1:7" s="3217" customFormat="1" ht="14.25" customHeight="1">
      <c r="A260" s="3228" t="s">
        <v>305</v>
      </c>
      <c r="B260" s="3228" t="s">
        <v>3113</v>
      </c>
      <c r="C260" s="3228">
        <v>6920</v>
      </c>
      <c r="D260" s="3228">
        <v>6880</v>
      </c>
      <c r="E260" s="3228">
        <v>8380</v>
      </c>
      <c r="F260" s="3228">
        <v>1160</v>
      </c>
      <c r="G260" s="3228">
        <v>4220</v>
      </c>
    </row>
    <row r="261" spans="1:7" s="3217" customFormat="1" ht="14.25" customHeight="1">
      <c r="A261" s="3228" t="s">
        <v>305</v>
      </c>
      <c r="B261" s="3228" t="s">
        <v>3114</v>
      </c>
      <c r="C261" s="3228">
        <v>6850</v>
      </c>
      <c r="D261" s="3228">
        <v>6810</v>
      </c>
      <c r="E261" s="3228">
        <v>8290</v>
      </c>
      <c r="F261" s="3228">
        <v>1130</v>
      </c>
      <c r="G261" s="3228">
        <v>4180</v>
      </c>
    </row>
    <row r="262" spans="1:7" s="3217" customFormat="1" ht="14.25" customHeight="1">
      <c r="A262" s="3228" t="s">
        <v>305</v>
      </c>
      <c r="B262" s="3228" t="s">
        <v>3115</v>
      </c>
      <c r="C262" s="3228">
        <v>5860</v>
      </c>
      <c r="D262" s="3228">
        <v>5820</v>
      </c>
      <c r="E262" s="3228">
        <v>7640</v>
      </c>
      <c r="F262" s="3228">
        <v>1070</v>
      </c>
      <c r="G262" s="3228">
        <v>3570</v>
      </c>
    </row>
    <row r="263" spans="1:7" s="3217" customFormat="1" ht="14.25" customHeight="1">
      <c r="A263" s="3228" t="s">
        <v>305</v>
      </c>
      <c r="B263" s="3228" t="s">
        <v>3116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3117</v>
      </c>
      <c r="C265" s="3228"/>
      <c r="D265" s="3228"/>
      <c r="E265" s="3228"/>
      <c r="F265" s="3228">
        <v>1500</v>
      </c>
      <c r="G265" s="3228"/>
    </row>
    <row r="266" spans="1:7" s="3217" customFormat="1" ht="14.25" customHeight="1">
      <c r="A266" s="3228" t="s">
        <v>305</v>
      </c>
      <c r="B266" s="3228" t="s">
        <v>3118</v>
      </c>
      <c r="C266" s="3228"/>
      <c r="D266" s="3228"/>
      <c r="E266" s="3228"/>
      <c r="F266" s="3228">
        <v>1500</v>
      </c>
      <c r="G266" s="3228"/>
    </row>
    <row r="267" spans="1:7" s="3217" customFormat="1" ht="14.25" customHeight="1">
      <c r="A267" s="3228" t="s">
        <v>305</v>
      </c>
      <c r="B267" s="3228" t="s">
        <v>3119</v>
      </c>
      <c r="C267" s="3228"/>
      <c r="D267" s="3228"/>
      <c r="E267" s="3228"/>
      <c r="F267" s="3228">
        <v>1500</v>
      </c>
      <c r="G267" s="3228"/>
    </row>
    <row r="268" spans="1:7" s="3217" customFormat="1" ht="14.25" customHeight="1">
      <c r="A268" s="3228" t="s">
        <v>305</v>
      </c>
      <c r="B268" s="3228" t="s">
        <v>3120</v>
      </c>
      <c r="C268" s="3228"/>
      <c r="D268" s="3228"/>
      <c r="E268" s="3228"/>
      <c r="F268" s="3228">
        <v>1290</v>
      </c>
      <c r="G268" s="3228"/>
    </row>
    <row r="269" spans="1:7" s="3217" customFormat="1" ht="14.25" customHeight="1">
      <c r="A269" s="3228" t="s">
        <v>305</v>
      </c>
      <c r="B269" s="3228" t="s">
        <v>3121</v>
      </c>
      <c r="C269" s="3228"/>
      <c r="D269" s="3228"/>
      <c r="E269" s="3228"/>
      <c r="F269" s="3228">
        <v>1150</v>
      </c>
      <c r="G269" s="3228"/>
    </row>
    <row r="270" spans="1:7" s="3217" customFormat="1" ht="14.25" customHeight="1">
      <c r="A270" s="3228" t="s">
        <v>305</v>
      </c>
      <c r="B270" s="3228" t="s">
        <v>3122</v>
      </c>
      <c r="C270" s="3228"/>
      <c r="D270" s="3228"/>
      <c r="E270" s="3228"/>
      <c r="F270" s="3228">
        <v>1380</v>
      </c>
      <c r="G270" s="3228"/>
    </row>
    <row r="271" spans="1:7" s="3217" customFormat="1" ht="14.25" customHeight="1">
      <c r="A271" s="3228" t="s">
        <v>305</v>
      </c>
      <c r="B271" s="3228" t="s">
        <v>3123</v>
      </c>
      <c r="C271" s="3228"/>
      <c r="D271" s="3228"/>
      <c r="E271" s="3228"/>
      <c r="F271" s="3228">
        <v>1460</v>
      </c>
      <c r="G271" s="3228"/>
    </row>
    <row r="272" spans="1:7" s="3217" customFormat="1" ht="14.25" customHeight="1">
      <c r="A272" s="3228" t="s">
        <v>305</v>
      </c>
      <c r="B272" s="3228" t="s">
        <v>3124</v>
      </c>
      <c r="C272" s="3228"/>
      <c r="D272" s="3228"/>
      <c r="E272" s="3228"/>
      <c r="F272" s="3228">
        <v>1460</v>
      </c>
      <c r="G272" s="3228"/>
    </row>
    <row r="273" spans="1:7" s="3217" customFormat="1" ht="14.25" customHeight="1">
      <c r="A273" s="3228" t="s">
        <v>305</v>
      </c>
      <c r="B273" s="3228" t="s">
        <v>3017</v>
      </c>
      <c r="C273" s="3228"/>
      <c r="D273" s="3228"/>
      <c r="E273" s="3228"/>
      <c r="F273" s="3228">
        <v>1490</v>
      </c>
      <c r="G273" s="3228"/>
    </row>
    <row r="274" spans="1:7" s="3217" customFormat="1" ht="14.25" customHeight="1">
      <c r="A274" s="3228" t="s">
        <v>305</v>
      </c>
      <c r="B274" s="3228" t="s">
        <v>3125</v>
      </c>
      <c r="C274" s="3228"/>
      <c r="D274" s="3228"/>
      <c r="E274" s="3228"/>
      <c r="F274" s="3228">
        <v>1490</v>
      </c>
      <c r="G274" s="3228"/>
    </row>
    <row r="275" spans="1:7" s="3217" customFormat="1" ht="14.25" customHeight="1">
      <c r="A275" s="3228" t="s">
        <v>305</v>
      </c>
      <c r="B275" s="3228" t="s">
        <v>3126</v>
      </c>
      <c r="C275" s="3228"/>
      <c r="D275" s="3228"/>
      <c r="E275" s="3228"/>
      <c r="F275" s="3228">
        <v>1220</v>
      </c>
      <c r="G275" s="3228"/>
    </row>
    <row r="276" spans="1:7" s="3217" customFormat="1" ht="14.25" customHeight="1" thickBot="1">
      <c r="A276" s="3236" t="s">
        <v>305</v>
      </c>
      <c r="B276" s="3238" t="s">
        <v>3127</v>
      </c>
      <c r="C276" s="3239"/>
      <c r="D276" s="3239"/>
      <c r="E276" s="3239"/>
      <c r="F276" s="3239">
        <v>1380</v>
      </c>
      <c r="G276" s="3239"/>
    </row>
    <row r="277" spans="1:7" s="3217" customFormat="1" ht="14.25" customHeight="1">
      <c r="A277" s="3233" t="s">
        <v>306</v>
      </c>
      <c r="B277" s="3224" t="s">
        <v>3128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3129</v>
      </c>
      <c r="C279" s="3228">
        <v>4760</v>
      </c>
      <c r="D279" s="3228">
        <v>4720</v>
      </c>
      <c r="E279" s="3228">
        <v>5540</v>
      </c>
      <c r="F279" s="3228">
        <v>810</v>
      </c>
      <c r="G279" s="3241">
        <v>2850</v>
      </c>
    </row>
    <row r="280" spans="1:7" s="3217" customFormat="1" ht="14.25" customHeight="1">
      <c r="A280" s="3228" t="s">
        <v>306</v>
      </c>
      <c r="B280" s="3228" t="s">
        <v>3130</v>
      </c>
      <c r="C280" s="3228">
        <v>4010</v>
      </c>
      <c r="D280" s="3228">
        <v>3950</v>
      </c>
      <c r="E280" s="3228">
        <v>4710</v>
      </c>
      <c r="F280" s="3228">
        <v>800</v>
      </c>
      <c r="G280" s="3241">
        <v>2390</v>
      </c>
    </row>
    <row r="281" spans="1:7" s="3217" customFormat="1" ht="14.25" customHeight="1">
      <c r="A281" s="3228" t="s">
        <v>306</v>
      </c>
      <c r="B281" s="3228" t="s">
        <v>3131</v>
      </c>
      <c r="C281" s="3228">
        <v>4480</v>
      </c>
      <c r="D281" s="3228">
        <v>4420</v>
      </c>
      <c r="E281" s="3228">
        <v>5230</v>
      </c>
      <c r="F281" s="3228">
        <v>870</v>
      </c>
      <c r="G281" s="3241">
        <v>2660</v>
      </c>
    </row>
    <row r="282" spans="1:7" s="3217" customFormat="1" ht="14.25" customHeight="1">
      <c r="A282" s="3228" t="s">
        <v>306</v>
      </c>
      <c r="B282" s="3228" t="s">
        <v>3132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2909</v>
      </c>
      <c r="C293" s="3228">
        <v>5320</v>
      </c>
      <c r="D293" s="3228">
        <v>5270</v>
      </c>
      <c r="E293" s="3228">
        <v>6160</v>
      </c>
      <c r="F293" s="3228">
        <v>990</v>
      </c>
      <c r="G293" s="3241">
        <v>3170</v>
      </c>
    </row>
    <row r="294" spans="1:7" s="3217" customFormat="1" ht="14.25" customHeight="1">
      <c r="A294" s="3228" t="s">
        <v>306</v>
      </c>
      <c r="B294" s="3228" t="s">
        <v>3135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3136</v>
      </c>
      <c r="C302" s="3228">
        <v>5520</v>
      </c>
      <c r="D302" s="3228">
        <v>5470</v>
      </c>
      <c r="E302" s="3228">
        <v>6410</v>
      </c>
      <c r="F302" s="3228">
        <v>950</v>
      </c>
      <c r="G302" s="3241">
        <v>3300</v>
      </c>
    </row>
    <row r="303" spans="1:7" s="3217" customFormat="1" ht="14.25" customHeight="1">
      <c r="A303" s="3228" t="s">
        <v>306</v>
      </c>
      <c r="B303" s="3228" t="s">
        <v>2948</v>
      </c>
      <c r="C303" s="3228">
        <v>5630</v>
      </c>
      <c r="D303" s="3228">
        <v>5590</v>
      </c>
      <c r="E303" s="3228">
        <v>6550</v>
      </c>
      <c r="F303" s="3228">
        <v>1010</v>
      </c>
      <c r="G303" s="3241">
        <v>3370</v>
      </c>
    </row>
    <row r="304" spans="1:7" s="3217" customFormat="1" ht="14.25" customHeight="1">
      <c r="A304" s="3228" t="s">
        <v>306</v>
      </c>
      <c r="B304" s="3228" t="s">
        <v>2955</v>
      </c>
      <c r="C304" s="3228">
        <v>5680</v>
      </c>
      <c r="D304" s="3228">
        <v>5620</v>
      </c>
      <c r="E304" s="3228">
        <v>6620</v>
      </c>
      <c r="F304" s="3228">
        <v>1050</v>
      </c>
      <c r="G304" s="3241">
        <v>3390</v>
      </c>
    </row>
    <row r="305" spans="1:7" s="3217" customFormat="1" ht="14.25" customHeight="1">
      <c r="A305" s="3228" t="s">
        <v>306</v>
      </c>
      <c r="B305" s="3228" t="s">
        <v>2961</v>
      </c>
      <c r="C305" s="3228">
        <v>5590</v>
      </c>
      <c r="D305" s="3228">
        <v>5530</v>
      </c>
      <c r="E305" s="3228">
        <v>6460</v>
      </c>
      <c r="F305" s="3228">
        <v>900</v>
      </c>
      <c r="G305" s="3241">
        <v>3340</v>
      </c>
    </row>
    <row r="306" spans="1:7" s="3217" customFormat="1" ht="14.25" customHeight="1">
      <c r="A306" s="3228" t="s">
        <v>306</v>
      </c>
      <c r="B306" s="3228" t="s">
        <v>3137</v>
      </c>
      <c r="C306" s="3228">
        <v>5560</v>
      </c>
      <c r="D306" s="3228">
        <v>5510</v>
      </c>
      <c r="E306" s="3228">
        <v>6440</v>
      </c>
      <c r="F306" s="3228">
        <v>900</v>
      </c>
      <c r="G306" s="3241">
        <v>3320</v>
      </c>
    </row>
    <row r="307" spans="1:7" s="3217" customFormat="1" ht="14.25" customHeight="1">
      <c r="A307" s="3228" t="s">
        <v>306</v>
      </c>
      <c r="B307" s="3228" t="s">
        <v>2973</v>
      </c>
      <c r="C307" s="3228">
        <v>5650</v>
      </c>
      <c r="D307" s="3228">
        <v>5600</v>
      </c>
      <c r="E307" s="3228">
        <v>6590</v>
      </c>
      <c r="F307" s="3228">
        <v>930</v>
      </c>
      <c r="G307" s="3241">
        <v>3380</v>
      </c>
    </row>
    <row r="308" spans="1:7" s="3217" customFormat="1" ht="14.25" customHeight="1">
      <c r="A308" s="3228" t="s">
        <v>306</v>
      </c>
      <c r="B308" s="3228" t="s">
        <v>3138</v>
      </c>
      <c r="C308" s="3228">
        <v>5620</v>
      </c>
      <c r="D308" s="3228">
        <v>5580</v>
      </c>
      <c r="E308" s="3228">
        <v>6540</v>
      </c>
      <c r="F308" s="3228">
        <v>910</v>
      </c>
      <c r="G308" s="3241">
        <v>3370</v>
      </c>
    </row>
    <row r="309" spans="1:7" s="3217" customFormat="1" ht="14.25" customHeight="1">
      <c r="A309" s="3228" t="s">
        <v>306</v>
      </c>
      <c r="B309" s="3228" t="s">
        <v>3139</v>
      </c>
      <c r="C309" s="3228">
        <v>5060</v>
      </c>
      <c r="D309" s="3228">
        <v>5020</v>
      </c>
      <c r="E309" s="3228">
        <v>6370</v>
      </c>
      <c r="F309" s="3228">
        <v>800</v>
      </c>
      <c r="G309" s="3241">
        <v>3020</v>
      </c>
    </row>
    <row r="310" spans="1:7" s="3217" customFormat="1" ht="14.25" customHeight="1">
      <c r="A310" s="3228" t="s">
        <v>306</v>
      </c>
      <c r="B310" s="3228" t="s">
        <v>2988</v>
      </c>
      <c r="C310" s="3228">
        <v>5150</v>
      </c>
      <c r="D310" s="3228">
        <v>5110</v>
      </c>
      <c r="E310" s="3228">
        <v>6500</v>
      </c>
      <c r="F310" s="3228">
        <v>880</v>
      </c>
      <c r="G310" s="3241">
        <v>3080</v>
      </c>
    </row>
    <row r="311" spans="1:7" s="3217" customFormat="1" ht="14.25" customHeight="1">
      <c r="A311" s="3228" t="s">
        <v>306</v>
      </c>
      <c r="B311" s="3228" t="s">
        <v>3140</v>
      </c>
      <c r="C311" s="3228">
        <v>4750</v>
      </c>
      <c r="D311" s="3228">
        <v>4710</v>
      </c>
      <c r="E311" s="3228">
        <v>5510</v>
      </c>
      <c r="F311" s="3228">
        <v>880</v>
      </c>
      <c r="G311" s="3241">
        <v>2840</v>
      </c>
    </row>
    <row r="312" spans="1:7" s="3217" customFormat="1" ht="14.25" customHeight="1">
      <c r="A312" s="3228" t="s">
        <v>306</v>
      </c>
      <c r="B312" s="3228" t="s">
        <v>2998</v>
      </c>
      <c r="C312" s="3228">
        <v>4690</v>
      </c>
      <c r="D312" s="3228">
        <v>4640</v>
      </c>
      <c r="E312" s="3228">
        <v>5420</v>
      </c>
      <c r="F312" s="3228">
        <v>800</v>
      </c>
      <c r="G312" s="3241">
        <v>2800</v>
      </c>
    </row>
    <row r="313" spans="1:7" s="3217" customFormat="1" ht="14.25" customHeight="1">
      <c r="A313" s="3228" t="s">
        <v>306</v>
      </c>
      <c r="B313" s="3228" t="s">
        <v>3003</v>
      </c>
      <c r="C313" s="3228">
        <v>4810</v>
      </c>
      <c r="D313" s="3228">
        <v>4760</v>
      </c>
      <c r="E313" s="3228">
        <v>5550</v>
      </c>
      <c r="F313" s="3228">
        <v>920</v>
      </c>
      <c r="G313" s="3241">
        <v>2870</v>
      </c>
    </row>
    <row r="314" spans="1:7" s="3217" customFormat="1" ht="14.25" customHeight="1">
      <c r="A314" s="3228" t="s">
        <v>306</v>
      </c>
      <c r="B314" s="3228" t="s">
        <v>3141</v>
      </c>
      <c r="C314" s="3228"/>
      <c r="D314" s="3228"/>
      <c r="E314" s="3228"/>
      <c r="F314" s="3228">
        <v>1020</v>
      </c>
      <c r="G314" s="3241"/>
    </row>
    <row r="315" spans="1:7" s="3217" customFormat="1" ht="14.25" customHeight="1">
      <c r="A315" s="3228" t="s">
        <v>306</v>
      </c>
      <c r="B315" s="3228" t="s">
        <v>3142</v>
      </c>
      <c r="C315" s="3228"/>
      <c r="D315" s="3228"/>
      <c r="E315" s="3228"/>
      <c r="F315" s="3228">
        <v>1050</v>
      </c>
      <c r="G315" s="3241"/>
    </row>
    <row r="316" spans="1:7" s="3217" customFormat="1" ht="14.25" customHeight="1">
      <c r="A316" s="3228" t="s">
        <v>306</v>
      </c>
      <c r="B316" s="3228" t="s">
        <v>3018</v>
      </c>
      <c r="C316" s="3228"/>
      <c r="D316" s="3228"/>
      <c r="E316" s="3228"/>
      <c r="F316" s="3228">
        <v>900</v>
      </c>
      <c r="G316" s="3241"/>
    </row>
    <row r="317" spans="1:7" s="3217" customFormat="1" ht="14.25" customHeight="1">
      <c r="A317" s="3228" t="s">
        <v>306</v>
      </c>
      <c r="B317" s="3228" t="s">
        <v>3143</v>
      </c>
      <c r="C317" s="3228"/>
      <c r="D317" s="3228"/>
      <c r="E317" s="3228"/>
      <c r="F317" s="3228">
        <v>920</v>
      </c>
      <c r="G317" s="3241"/>
    </row>
    <row r="318" spans="1:7" s="3217" customFormat="1" ht="14.25" customHeight="1">
      <c r="A318" s="3228" t="s">
        <v>306</v>
      </c>
      <c r="B318" s="3228" t="s">
        <v>3144</v>
      </c>
      <c r="C318" s="3228"/>
      <c r="D318" s="3228"/>
      <c r="E318" s="3228"/>
      <c r="F318" s="3228">
        <v>1080</v>
      </c>
      <c r="G318" s="3241"/>
    </row>
    <row r="319" spans="1:7" s="3217" customFormat="1" ht="14.25" customHeight="1">
      <c r="A319" s="3228" t="s">
        <v>306</v>
      </c>
      <c r="B319" s="3228" t="s">
        <v>3031</v>
      </c>
      <c r="C319" s="3228"/>
      <c r="D319" s="3228"/>
      <c r="E319" s="3228"/>
      <c r="F319" s="3228">
        <v>1020</v>
      </c>
      <c r="G319" s="3241"/>
    </row>
    <row r="320" spans="1:7" s="3217" customFormat="1" ht="14.25" customHeight="1">
      <c r="A320" s="3228" t="s">
        <v>306</v>
      </c>
      <c r="B320" s="3228" t="s">
        <v>3034</v>
      </c>
      <c r="C320" s="3228"/>
      <c r="D320" s="3228"/>
      <c r="E320" s="3228"/>
      <c r="F320" s="3228">
        <v>1050</v>
      </c>
      <c r="G320" s="3241"/>
    </row>
    <row r="321" spans="1:7" s="3217" customFormat="1" ht="14.25" customHeight="1">
      <c r="A321" s="3228" t="s">
        <v>306</v>
      </c>
      <c r="B321" s="3228" t="s">
        <v>3036</v>
      </c>
      <c r="C321" s="3228"/>
      <c r="D321" s="3228"/>
      <c r="E321" s="3228"/>
      <c r="F321" s="3228">
        <v>960</v>
      </c>
      <c r="G321" s="3241"/>
    </row>
    <row r="322" spans="1:7" s="3217" customFormat="1" ht="14.25" customHeight="1">
      <c r="A322" s="3228" t="s">
        <v>306</v>
      </c>
      <c r="B322" s="3228" t="s">
        <v>3038</v>
      </c>
      <c r="C322" s="3228"/>
      <c r="D322" s="3228"/>
      <c r="E322" s="3228"/>
      <c r="F322" s="3228">
        <v>960</v>
      </c>
      <c r="G322" s="3241"/>
    </row>
    <row r="323" spans="1:7" s="3217" customFormat="1" ht="14.25" customHeight="1">
      <c r="A323" s="3228" t="s">
        <v>306</v>
      </c>
      <c r="B323" s="3228" t="s">
        <v>3040</v>
      </c>
      <c r="C323" s="3228"/>
      <c r="D323" s="3228"/>
      <c r="E323" s="3228"/>
      <c r="F323" s="3228">
        <v>880</v>
      </c>
      <c r="G323" s="3241"/>
    </row>
    <row r="324" spans="1:7" s="3217" customFormat="1" ht="14.25" customHeight="1">
      <c r="A324" s="3228" t="s">
        <v>306</v>
      </c>
      <c r="B324" s="3228" t="s">
        <v>3042</v>
      </c>
      <c r="C324" s="3228"/>
      <c r="D324" s="3228"/>
      <c r="E324" s="3228"/>
      <c r="F324" s="3228">
        <v>930</v>
      </c>
      <c r="G324" s="3241"/>
    </row>
    <row r="325" spans="1:7" s="3217" customFormat="1" ht="14.25" customHeight="1">
      <c r="A325" s="3228" t="s">
        <v>306</v>
      </c>
      <c r="B325" s="3229" t="s">
        <v>3044</v>
      </c>
      <c r="C325" s="3228"/>
      <c r="D325" s="3228"/>
      <c r="E325" s="3228"/>
      <c r="F325" s="3228">
        <v>900</v>
      </c>
      <c r="G325" s="3241"/>
    </row>
    <row r="326" spans="1:7" s="3217" customFormat="1" ht="14.25" customHeight="1" thickBot="1">
      <c r="A326" s="3242" t="s">
        <v>306</v>
      </c>
      <c r="B326" s="3235" t="s">
        <v>3046</v>
      </c>
      <c r="C326" s="3235"/>
      <c r="D326" s="3235"/>
      <c r="E326" s="3235"/>
      <c r="F326" s="3235">
        <v>790</v>
      </c>
      <c r="G326" s="3243"/>
    </row>
    <row r="327" spans="1:7" s="3217" customFormat="1" ht="14.25" customHeight="1">
      <c r="A327" s="3233" t="s">
        <v>307</v>
      </c>
      <c r="B327" s="3224" t="s">
        <v>3145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3146</v>
      </c>
      <c r="C329" s="3228">
        <v>2730</v>
      </c>
      <c r="D329" s="3228">
        <v>2690</v>
      </c>
      <c r="E329" s="3228">
        <v>3100</v>
      </c>
      <c r="F329" s="3228">
        <v>660</v>
      </c>
      <c r="G329" s="3228">
        <v>1610</v>
      </c>
    </row>
    <row r="330" spans="1:7" s="3217" customFormat="1" ht="14.25" customHeight="1">
      <c r="A330" s="3228" t="s">
        <v>307</v>
      </c>
      <c r="B330" s="3228" t="s">
        <v>3147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2880</v>
      </c>
      <c r="C332" s="3228">
        <v>3520</v>
      </c>
      <c r="D332" s="3228">
        <v>3480</v>
      </c>
      <c r="E332" s="3228">
        <v>3830</v>
      </c>
      <c r="F332" s="3228">
        <v>720</v>
      </c>
      <c r="G332" s="3228">
        <v>2090</v>
      </c>
    </row>
    <row r="333" spans="1:7" s="3217" customFormat="1" ht="14.25" customHeight="1">
      <c r="A333" s="3228" t="s">
        <v>307</v>
      </c>
      <c r="B333" s="3228" t="s">
        <v>3148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2890</v>
      </c>
      <c r="C336" s="3228">
        <v>3570</v>
      </c>
      <c r="D336" s="3228">
        <v>3530</v>
      </c>
      <c r="E336" s="3228">
        <v>3880</v>
      </c>
      <c r="F336" s="3228">
        <v>770</v>
      </c>
      <c r="G336" s="3228">
        <v>2110</v>
      </c>
    </row>
    <row r="337" spans="1:10" s="3217" customFormat="1" ht="14.25" customHeight="1">
      <c r="A337" s="3228" t="s">
        <v>307</v>
      </c>
      <c r="B337" s="3228" t="s">
        <v>3149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2915</v>
      </c>
      <c r="C345" s="3228">
        <v>3190</v>
      </c>
      <c r="D345" s="3228">
        <v>3140</v>
      </c>
      <c r="E345" s="3228">
        <v>3450</v>
      </c>
      <c r="F345" s="3228">
        <v>720</v>
      </c>
      <c r="G345" s="3228">
        <v>1880</v>
      </c>
      <c r="J345" s="3217"/>
    </row>
    <row r="346" spans="1:10">
      <c r="A346" s="3228" t="s">
        <v>307</v>
      </c>
      <c r="B346" s="3228" t="s">
        <v>3152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2924</v>
      </c>
      <c r="C348" s="3228">
        <v>4000</v>
      </c>
      <c r="D348" s="3228">
        <v>3950</v>
      </c>
      <c r="E348" s="3228">
        <v>4430</v>
      </c>
      <c r="F348" s="3228">
        <v>760</v>
      </c>
      <c r="G348" s="3228">
        <v>2360</v>
      </c>
      <c r="J348" s="3217"/>
    </row>
    <row r="349" spans="1:10">
      <c r="A349" s="3228" t="s">
        <v>307</v>
      </c>
      <c r="B349" s="3228" t="s">
        <v>2929</v>
      </c>
      <c r="C349" s="3228">
        <v>3820</v>
      </c>
      <c r="D349" s="3228">
        <v>3780</v>
      </c>
      <c r="E349" s="3228">
        <v>4170</v>
      </c>
      <c r="F349" s="3228">
        <v>710</v>
      </c>
      <c r="G349" s="3228">
        <v>2260</v>
      </c>
      <c r="J349" s="3217"/>
    </row>
    <row r="350" spans="1:10">
      <c r="A350" s="3228" t="s">
        <v>307</v>
      </c>
      <c r="B350" s="3228" t="s">
        <v>3153</v>
      </c>
      <c r="C350" s="3228">
        <v>3760</v>
      </c>
      <c r="D350" s="3228">
        <v>3730</v>
      </c>
      <c r="E350" s="3228">
        <v>4100</v>
      </c>
      <c r="F350" s="3228">
        <v>800</v>
      </c>
      <c r="G350" s="3228">
        <v>2230</v>
      </c>
      <c r="J350" s="3217"/>
    </row>
    <row r="351" spans="1:10">
      <c r="A351" s="3228" t="s">
        <v>307</v>
      </c>
      <c r="B351" s="3228" t="s">
        <v>2937</v>
      </c>
      <c r="C351" s="3228">
        <v>3610</v>
      </c>
      <c r="D351" s="3228">
        <v>3580</v>
      </c>
      <c r="E351" s="3228">
        <v>3930</v>
      </c>
      <c r="F351" s="3228">
        <v>700</v>
      </c>
      <c r="G351" s="3228">
        <v>2140</v>
      </c>
      <c r="J351" s="3217"/>
    </row>
    <row r="352" spans="1:10">
      <c r="A352" s="3228" t="s">
        <v>307</v>
      </c>
      <c r="B352" s="3228" t="s">
        <v>2942</v>
      </c>
      <c r="C352" s="3228">
        <v>3670</v>
      </c>
      <c r="D352" s="3228">
        <v>3630</v>
      </c>
      <c r="E352" s="3228">
        <v>4000</v>
      </c>
      <c r="F352" s="3228">
        <v>750</v>
      </c>
      <c r="G352" s="3228">
        <v>2180</v>
      </c>
    </row>
    <row r="353" spans="1:7" s="3221" customFormat="1">
      <c r="A353" s="3228" t="s">
        <v>307</v>
      </c>
      <c r="B353" s="3228" t="s">
        <v>3154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2962</v>
      </c>
      <c r="C355" s="3228">
        <v>3650</v>
      </c>
      <c r="D355" s="3228">
        <v>3610</v>
      </c>
      <c r="E355" s="3228">
        <v>4200</v>
      </c>
      <c r="F355" s="3228">
        <v>640</v>
      </c>
      <c r="G355" s="3228">
        <v>2160</v>
      </c>
    </row>
    <row r="356" spans="1:7" s="3221" customFormat="1">
      <c r="A356" s="3228" t="s">
        <v>307</v>
      </c>
      <c r="B356" s="3228" t="s">
        <v>2969</v>
      </c>
      <c r="C356" s="3228">
        <v>3260</v>
      </c>
      <c r="D356" s="3228">
        <v>3230</v>
      </c>
      <c r="E356" s="3228">
        <v>3740</v>
      </c>
      <c r="F356" s="3228">
        <v>600</v>
      </c>
      <c r="G356" s="3228">
        <v>1930</v>
      </c>
    </row>
    <row r="357" spans="1:7" s="3221" customFormat="1" ht="12" thickBot="1">
      <c r="A357" s="3236" t="s">
        <v>307</v>
      </c>
      <c r="B357" s="3239" t="s">
        <v>3155</v>
      </c>
      <c r="C357" s="3239">
        <v>3690</v>
      </c>
      <c r="D357" s="3239">
        <v>3650</v>
      </c>
      <c r="E357" s="3239">
        <v>4020</v>
      </c>
      <c r="F357" s="3239">
        <v>700</v>
      </c>
      <c r="G357" s="3239">
        <v>2190</v>
      </c>
    </row>
    <row r="358" spans="1:7" s="3221" customFormat="1">
      <c r="A358" s="3233" t="s">
        <v>3156</v>
      </c>
      <c r="B358" s="3224" t="s">
        <v>3157</v>
      </c>
      <c r="C358" s="3224">
        <v>2080</v>
      </c>
      <c r="D358" s="3224">
        <v>2040</v>
      </c>
      <c r="E358" s="3224">
        <v>2010</v>
      </c>
      <c r="F358" s="3224">
        <v>530</v>
      </c>
      <c r="G358" s="3240">
        <v>1230</v>
      </c>
    </row>
    <row r="359" spans="1:7" s="3221" customFormat="1">
      <c r="A359" s="3228" t="s">
        <v>3156</v>
      </c>
      <c r="B359" s="3228" t="s">
        <v>3158</v>
      </c>
      <c r="C359" s="3228">
        <v>1850</v>
      </c>
      <c r="D359" s="3228">
        <v>1820</v>
      </c>
      <c r="E359" s="3228">
        <v>1780</v>
      </c>
      <c r="F359" s="3228">
        <v>520</v>
      </c>
      <c r="G359" s="3241">
        <v>1100</v>
      </c>
    </row>
    <row r="360" spans="1:7" s="3221" customFormat="1">
      <c r="A360" s="3228" t="s">
        <v>3156</v>
      </c>
      <c r="B360" s="3228" t="s">
        <v>3159</v>
      </c>
      <c r="C360" s="3228">
        <v>2020</v>
      </c>
      <c r="D360" s="3228">
        <v>1990</v>
      </c>
      <c r="E360" s="3228">
        <v>1950</v>
      </c>
      <c r="F360" s="3228">
        <v>500</v>
      </c>
      <c r="G360" s="3241">
        <v>1200</v>
      </c>
    </row>
    <row r="361" spans="1:7" s="3221" customFormat="1">
      <c r="A361" s="3228" t="s">
        <v>3156</v>
      </c>
      <c r="B361" s="3228" t="s">
        <v>153</v>
      </c>
      <c r="C361" s="3228">
        <v>2260</v>
      </c>
      <c r="D361" s="3228">
        <v>2220</v>
      </c>
      <c r="E361" s="3228">
        <v>2180</v>
      </c>
      <c r="F361" s="3228">
        <v>580</v>
      </c>
      <c r="G361" s="3241">
        <v>1340</v>
      </c>
    </row>
    <row r="362" spans="1:7" s="3221" customFormat="1">
      <c r="A362" s="3228" t="s">
        <v>3156</v>
      </c>
      <c r="B362" s="3228" t="s">
        <v>3160</v>
      </c>
      <c r="C362" s="3228">
        <v>2650</v>
      </c>
      <c r="D362" s="3228">
        <v>2610</v>
      </c>
      <c r="E362" s="3228">
        <v>2570</v>
      </c>
      <c r="F362" s="3228">
        <v>630</v>
      </c>
      <c r="G362" s="3241">
        <v>1570</v>
      </c>
    </row>
    <row r="363" spans="1:7" s="3221" customFormat="1">
      <c r="A363" s="3228" t="s">
        <v>3156</v>
      </c>
      <c r="B363" s="3228" t="s">
        <v>2881</v>
      </c>
      <c r="C363" s="3228">
        <v>2390</v>
      </c>
      <c r="D363" s="3228">
        <v>2360</v>
      </c>
      <c r="E363" s="3228">
        <v>2320</v>
      </c>
      <c r="F363" s="3228">
        <v>600</v>
      </c>
      <c r="G363" s="3241">
        <v>1420</v>
      </c>
    </row>
    <row r="364" spans="1:7" s="3221" customFormat="1">
      <c r="A364" s="3228" t="s">
        <v>3156</v>
      </c>
      <c r="B364" s="3228" t="s">
        <v>3161</v>
      </c>
      <c r="C364" s="3228">
        <v>2050</v>
      </c>
      <c r="D364" s="3228">
        <v>2030</v>
      </c>
      <c r="E364" s="3228">
        <v>1990</v>
      </c>
      <c r="F364" s="3228">
        <v>550</v>
      </c>
      <c r="G364" s="3241">
        <v>1220</v>
      </c>
    </row>
    <row r="365" spans="1:7" s="3221" customFormat="1">
      <c r="A365" s="3228" t="s">
        <v>3156</v>
      </c>
      <c r="B365" s="3228" t="s">
        <v>200</v>
      </c>
      <c r="C365" s="3228">
        <v>2140</v>
      </c>
      <c r="D365" s="3228">
        <v>2100</v>
      </c>
      <c r="E365" s="3228">
        <v>2060</v>
      </c>
      <c r="F365" s="3228">
        <v>540</v>
      </c>
      <c r="G365" s="3241">
        <v>1270</v>
      </c>
    </row>
    <row r="366" spans="1:7" s="3221" customFormat="1">
      <c r="A366" s="3228" t="s">
        <v>3156</v>
      </c>
      <c r="B366" s="3228" t="s">
        <v>2888</v>
      </c>
      <c r="C366" s="3228">
        <v>2410</v>
      </c>
      <c r="D366" s="3228">
        <v>2370</v>
      </c>
      <c r="E366" s="3228">
        <v>2330</v>
      </c>
      <c r="F366" s="3228">
        <v>570</v>
      </c>
      <c r="G366" s="3241">
        <v>1440</v>
      </c>
    </row>
    <row r="367" spans="1:7" s="3221" customFormat="1">
      <c r="A367" s="3228" t="s">
        <v>3156</v>
      </c>
      <c r="B367" s="3228" t="s">
        <v>3162</v>
      </c>
      <c r="C367" s="3228">
        <v>2300</v>
      </c>
      <c r="D367" s="3228">
        <v>2260</v>
      </c>
      <c r="E367" s="3228">
        <v>2220</v>
      </c>
      <c r="F367" s="3228">
        <v>560</v>
      </c>
      <c r="G367" s="3241">
        <v>1370</v>
      </c>
    </row>
    <row r="368" spans="1:7" s="3221" customFormat="1">
      <c r="A368" s="3228" t="s">
        <v>3156</v>
      </c>
      <c r="B368" s="3228" t="s">
        <v>3163</v>
      </c>
      <c r="C368" s="3228">
        <v>2430</v>
      </c>
      <c r="D368" s="3228">
        <v>2390</v>
      </c>
      <c r="E368" s="3228">
        <v>2350</v>
      </c>
      <c r="F368" s="3228">
        <v>570</v>
      </c>
      <c r="G368" s="3241">
        <v>1450</v>
      </c>
    </row>
    <row r="369" spans="1:7" s="3221" customFormat="1">
      <c r="A369" s="3228" t="s">
        <v>3156</v>
      </c>
      <c r="B369" s="3228" t="s">
        <v>214</v>
      </c>
      <c r="C369" s="3228">
        <v>2320</v>
      </c>
      <c r="D369" s="3228">
        <v>2290</v>
      </c>
      <c r="E369" s="3228">
        <v>2250</v>
      </c>
      <c r="F369" s="3228">
        <v>550</v>
      </c>
      <c r="G369" s="3241">
        <v>1380</v>
      </c>
    </row>
    <row r="370" spans="1:7" s="3221" customFormat="1">
      <c r="A370" s="3228" t="s">
        <v>3156</v>
      </c>
      <c r="B370" s="3228" t="s">
        <v>221</v>
      </c>
      <c r="C370" s="3228">
        <v>2190</v>
      </c>
      <c r="D370" s="3228">
        <v>2170</v>
      </c>
      <c r="E370" s="3228">
        <v>2130</v>
      </c>
      <c r="F370" s="3228">
        <v>530</v>
      </c>
      <c r="G370" s="3241">
        <v>1310</v>
      </c>
    </row>
    <row r="371" spans="1:7" s="3221" customFormat="1">
      <c r="A371" s="3228" t="s">
        <v>3156</v>
      </c>
      <c r="B371" s="3228" t="s">
        <v>229</v>
      </c>
      <c r="C371" s="3228">
        <v>2460</v>
      </c>
      <c r="D371" s="3228">
        <v>2420</v>
      </c>
      <c r="E371" s="3228">
        <v>2370</v>
      </c>
      <c r="F371" s="3228">
        <v>560</v>
      </c>
      <c r="G371" s="3241">
        <v>1470</v>
      </c>
    </row>
    <row r="372" spans="1:7" s="3221" customFormat="1">
      <c r="A372" s="3228" t="s">
        <v>3156</v>
      </c>
      <c r="B372" s="3228" t="s">
        <v>3164</v>
      </c>
      <c r="C372" s="3228">
        <v>2250</v>
      </c>
      <c r="D372" s="3228">
        <v>2210</v>
      </c>
      <c r="E372" s="3228">
        <v>2180</v>
      </c>
      <c r="F372" s="3228">
        <v>550</v>
      </c>
      <c r="G372" s="3241">
        <v>1340</v>
      </c>
    </row>
    <row r="373" spans="1:7" s="3221" customFormat="1">
      <c r="A373" s="3228" t="s">
        <v>3156</v>
      </c>
      <c r="B373" s="3228" t="s">
        <v>258</v>
      </c>
      <c r="C373" s="3228">
        <v>2210</v>
      </c>
      <c r="D373" s="3228">
        <v>2190</v>
      </c>
      <c r="E373" s="3228">
        <v>2150</v>
      </c>
      <c r="F373" s="3228">
        <v>530</v>
      </c>
      <c r="G373" s="3241">
        <v>1320</v>
      </c>
    </row>
    <row r="374" spans="1:7" s="3221" customFormat="1">
      <c r="A374" s="3228" t="s">
        <v>3156</v>
      </c>
      <c r="B374" s="3228" t="s">
        <v>266</v>
      </c>
      <c r="C374" s="3228">
        <v>2320</v>
      </c>
      <c r="D374" s="3228">
        <v>2280</v>
      </c>
      <c r="E374" s="3228">
        <v>2230</v>
      </c>
      <c r="F374" s="3228">
        <v>580</v>
      </c>
      <c r="G374" s="3241">
        <v>1380</v>
      </c>
    </row>
    <row r="375" spans="1:7" s="3221" customFormat="1">
      <c r="A375" s="3228" t="s">
        <v>3156</v>
      </c>
      <c r="B375" s="3228" t="s">
        <v>3165</v>
      </c>
      <c r="C375" s="3228">
        <v>2090</v>
      </c>
      <c r="D375" s="3228">
        <v>2050</v>
      </c>
      <c r="E375" s="3228">
        <v>2020</v>
      </c>
      <c r="F375" s="3228">
        <v>520</v>
      </c>
      <c r="G375" s="3241">
        <v>1240</v>
      </c>
    </row>
    <row r="376" spans="1:7" s="3221" customFormat="1">
      <c r="A376" s="3228" t="s">
        <v>3156</v>
      </c>
      <c r="B376" s="3228" t="s">
        <v>277</v>
      </c>
      <c r="C376" s="3228">
        <v>2010</v>
      </c>
      <c r="D376" s="3228">
        <v>1980</v>
      </c>
      <c r="E376" s="3228">
        <v>1940</v>
      </c>
      <c r="F376" s="3228">
        <v>540</v>
      </c>
      <c r="G376" s="3241">
        <v>1190</v>
      </c>
    </row>
    <row r="377" spans="1:7" s="3221" customFormat="1" ht="12" thickBot="1">
      <c r="A377" s="3236" t="s">
        <v>3156</v>
      </c>
      <c r="B377" s="3239" t="s">
        <v>2918</v>
      </c>
      <c r="C377" s="3239">
        <v>1930</v>
      </c>
      <c r="D377" s="3239">
        <v>1890</v>
      </c>
      <c r="E377" s="3239">
        <v>1860</v>
      </c>
      <c r="F377" s="3239">
        <v>530</v>
      </c>
      <c r="G377" s="3244">
        <v>1150</v>
      </c>
    </row>
    <row r="378" spans="1:7" s="3221" customFormat="1">
      <c r="A378" s="3245" t="s">
        <v>3166</v>
      </c>
      <c r="B378" s="3224" t="s">
        <v>3167</v>
      </c>
      <c r="C378" s="3224">
        <v>1520</v>
      </c>
      <c r="D378" s="3224">
        <v>1490</v>
      </c>
      <c r="E378" s="3224">
        <v>1460</v>
      </c>
      <c r="F378" s="3224">
        <v>460</v>
      </c>
      <c r="G378" s="3240">
        <v>940</v>
      </c>
    </row>
    <row r="379" spans="1:7" s="3221" customFormat="1">
      <c r="A379" s="3246" t="s">
        <v>3166</v>
      </c>
      <c r="B379" s="3228" t="s">
        <v>3168</v>
      </c>
      <c r="C379" s="3228">
        <v>1500</v>
      </c>
      <c r="D379" s="3228">
        <v>1470</v>
      </c>
      <c r="E379" s="3228">
        <v>1430</v>
      </c>
      <c r="F379" s="3228">
        <v>460</v>
      </c>
      <c r="G379" s="3241">
        <v>920</v>
      </c>
    </row>
    <row r="380" spans="1:7" s="3221" customFormat="1">
      <c r="A380" s="3246" t="s">
        <v>3166</v>
      </c>
      <c r="B380" s="3228" t="s">
        <v>3169</v>
      </c>
      <c r="C380" s="3228">
        <v>1620</v>
      </c>
      <c r="D380" s="3228">
        <v>1590</v>
      </c>
      <c r="E380" s="3228">
        <v>1560</v>
      </c>
      <c r="F380" s="3228">
        <v>480</v>
      </c>
      <c r="G380" s="3241">
        <v>1000</v>
      </c>
    </row>
    <row r="381" spans="1:7" s="3221" customFormat="1">
      <c r="A381" s="3246" t="s">
        <v>3166</v>
      </c>
      <c r="B381" s="3228" t="s">
        <v>3170</v>
      </c>
      <c r="C381" s="3228">
        <v>1460</v>
      </c>
      <c r="D381" s="3228">
        <v>1430</v>
      </c>
      <c r="E381" s="3228">
        <v>1390</v>
      </c>
      <c r="F381" s="3228">
        <v>450</v>
      </c>
      <c r="G381" s="3241">
        <v>900</v>
      </c>
    </row>
    <row r="382" spans="1:7" s="3221" customFormat="1">
      <c r="A382" s="3246" t="s">
        <v>3166</v>
      </c>
      <c r="B382" s="3228" t="s">
        <v>3171</v>
      </c>
      <c r="C382" s="3228">
        <v>1310</v>
      </c>
      <c r="D382" s="3228">
        <v>1280</v>
      </c>
      <c r="E382" s="3228">
        <v>1250</v>
      </c>
      <c r="F382" s="3228">
        <v>440</v>
      </c>
      <c r="G382" s="3241">
        <v>800</v>
      </c>
    </row>
    <row r="383" spans="1:7" s="3221" customFormat="1">
      <c r="A383" s="3246" t="s">
        <v>3166</v>
      </c>
      <c r="B383" s="3228" t="s">
        <v>3172</v>
      </c>
      <c r="C383" s="3228">
        <v>1260</v>
      </c>
      <c r="D383" s="3228">
        <v>1230</v>
      </c>
      <c r="E383" s="3228">
        <v>1200</v>
      </c>
      <c r="F383" s="3228">
        <v>420</v>
      </c>
      <c r="G383" s="3241">
        <v>770</v>
      </c>
    </row>
    <row r="384" spans="1:7" s="3221" customFormat="1" ht="12" thickBot="1">
      <c r="A384" s="3247" t="s">
        <v>3166</v>
      </c>
      <c r="B384" s="3235" t="s">
        <v>3173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2" t="s">
        <v>3174</v>
      </c>
      <c r="B1" s="3822"/>
    </row>
    <row r="2" spans="1:7" ht="14.25" thickBot="1">
      <c r="A2" s="3250"/>
      <c r="B2" s="3250"/>
    </row>
    <row r="3" spans="1:7" ht="14.25" thickBot="1">
      <c r="A3" s="3250"/>
      <c r="B3" s="3250"/>
      <c r="C3" s="3251" t="s">
        <v>2804</v>
      </c>
      <c r="D3" s="3251" t="s">
        <v>2860</v>
      </c>
      <c r="E3" s="3251" t="s">
        <v>2806</v>
      </c>
      <c r="F3" s="3251" t="s">
        <v>2861</v>
      </c>
      <c r="G3" s="3251" t="s">
        <v>2624</v>
      </c>
    </row>
    <row r="4" spans="1:7" ht="14.25" thickBot="1">
      <c r="A4" s="3252" t="s">
        <v>2859</v>
      </c>
      <c r="B4" s="3253" t="s">
        <v>2865</v>
      </c>
      <c r="C4" s="3251"/>
      <c r="D4" s="3251"/>
      <c r="E4" s="3251"/>
      <c r="F4" s="3251"/>
      <c r="G4" s="3251"/>
    </row>
    <row r="5" spans="1:7">
      <c r="A5" s="3254" t="s">
        <v>2833</v>
      </c>
      <c r="B5" s="3255" t="s">
        <v>2847</v>
      </c>
      <c r="C5" s="3256">
        <v>9.8000000000000004E-2</v>
      </c>
      <c r="D5" s="3256">
        <v>8.6999999999999994E-2</v>
      </c>
      <c r="E5" s="3256">
        <v>8.6999999999999994E-2</v>
      </c>
      <c r="F5" s="3256">
        <v>9.8000000000000004E-2</v>
      </c>
      <c r="G5" s="3257">
        <v>9.5000000000000001E-2</v>
      </c>
    </row>
    <row r="6" spans="1:7">
      <c r="A6" s="3258" t="s">
        <v>144</v>
      </c>
      <c r="B6" s="3259" t="s">
        <v>2862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2916</v>
      </c>
      <c r="C29" s="3268"/>
      <c r="D29" s="3264">
        <v>5.1999999999999998E-2</v>
      </c>
      <c r="E29" s="3264">
        <v>7.0000000000000007E-2</v>
      </c>
      <c r="F29" s="3268"/>
      <c r="G29" s="3266">
        <v>7.0999999999999994E-2</v>
      </c>
    </row>
    <row r="30" spans="1:7">
      <c r="A30" s="3269" t="s">
        <v>296</v>
      </c>
      <c r="B30" s="3255" t="s">
        <v>2849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2919</v>
      </c>
      <c r="C50" s="3260">
        <v>9.8000000000000004E-2</v>
      </c>
      <c r="D50" s="3260">
        <v>7.2999999999999995E-2</v>
      </c>
      <c r="E50" s="3260">
        <v>7.0999999999999994E-2</v>
      </c>
      <c r="F50" s="3271"/>
      <c r="G50" s="3261">
        <v>7.2999999999999995E-2</v>
      </c>
    </row>
    <row r="51" spans="1:7">
      <c r="A51" s="3270" t="s">
        <v>296</v>
      </c>
      <c r="B51" s="3259" t="s">
        <v>2921</v>
      </c>
      <c r="C51" s="3260">
        <v>9.9000000000000005E-2</v>
      </c>
      <c r="D51" s="3260">
        <v>8.5000000000000006E-2</v>
      </c>
      <c r="E51" s="3260">
        <v>6.3E-2</v>
      </c>
      <c r="F51" s="3271"/>
      <c r="G51" s="3261">
        <v>9.6000000000000002E-2</v>
      </c>
    </row>
    <row r="52" spans="1:7">
      <c r="A52" s="3270" t="s">
        <v>296</v>
      </c>
      <c r="B52" s="3259" t="s">
        <v>2925</v>
      </c>
      <c r="C52" s="3260">
        <v>7.3999999999999996E-2</v>
      </c>
      <c r="D52" s="3260">
        <v>9.6000000000000002E-2</v>
      </c>
      <c r="E52" s="3260">
        <v>0.05</v>
      </c>
      <c r="F52" s="3271"/>
      <c r="G52" s="3261">
        <v>9.8000000000000004E-2</v>
      </c>
    </row>
    <row r="53" spans="1:7">
      <c r="A53" s="3270" t="s">
        <v>296</v>
      </c>
      <c r="B53" s="3259" t="s">
        <v>2930</v>
      </c>
      <c r="C53" s="3260">
        <v>8.5999999999999993E-2</v>
      </c>
      <c r="D53" s="3271"/>
      <c r="E53" s="3260">
        <v>9.1999999999999998E-2</v>
      </c>
      <c r="F53" s="3271"/>
      <c r="G53" s="3272"/>
    </row>
    <row r="54" spans="1:7" ht="14.25" thickBot="1">
      <c r="A54" s="3273" t="s">
        <v>296</v>
      </c>
      <c r="B54" s="3263" t="s">
        <v>2933</v>
      </c>
      <c r="C54" s="3264">
        <v>9.6000000000000002E-2</v>
      </c>
      <c r="D54" s="3265"/>
      <c r="E54" s="3274"/>
      <c r="F54" s="3265"/>
      <c r="G54" s="3275"/>
    </row>
    <row r="55" spans="1:7">
      <c r="A55" s="3269" t="s">
        <v>110</v>
      </c>
      <c r="B55" s="3255" t="s">
        <v>2850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2931</v>
      </c>
      <c r="C78" s="3260">
        <v>0.1</v>
      </c>
      <c r="D78" s="3260">
        <v>8.5000000000000006E-2</v>
      </c>
      <c r="E78" s="3260">
        <v>9.6000000000000002E-2</v>
      </c>
      <c r="F78" s="3271"/>
      <c r="G78" s="3261">
        <v>9.6000000000000002E-2</v>
      </c>
    </row>
    <row r="79" spans="1:7">
      <c r="A79" s="3270" t="s">
        <v>110</v>
      </c>
      <c r="B79" s="3259" t="s">
        <v>2934</v>
      </c>
      <c r="C79" s="3260">
        <v>0.05</v>
      </c>
      <c r="D79" s="3260">
        <v>9.6000000000000002E-2</v>
      </c>
      <c r="E79" s="3260">
        <v>9.5000000000000001E-2</v>
      </c>
      <c r="F79" s="3271"/>
      <c r="G79" s="3261">
        <v>9.8000000000000004E-2</v>
      </c>
    </row>
    <row r="80" spans="1:7">
      <c r="A80" s="3270" t="s">
        <v>110</v>
      </c>
      <c r="B80" s="3259" t="s">
        <v>2938</v>
      </c>
      <c r="C80" s="3260">
        <v>8.5999999999999993E-2</v>
      </c>
      <c r="D80" s="3276"/>
      <c r="E80" s="3260">
        <v>0.1</v>
      </c>
      <c r="F80" s="3271"/>
      <c r="G80" s="3272"/>
    </row>
    <row r="81" spans="1:7">
      <c r="A81" s="3270" t="s">
        <v>110</v>
      </c>
      <c r="B81" s="3259" t="s">
        <v>2943</v>
      </c>
      <c r="C81" s="3260">
        <v>9.6000000000000002E-2</v>
      </c>
      <c r="D81" s="3271"/>
      <c r="E81" s="3260">
        <v>9.8000000000000004E-2</v>
      </c>
      <c r="F81" s="3271"/>
      <c r="G81" s="3272"/>
    </row>
    <row r="82" spans="1:7">
      <c r="A82" s="3270" t="s">
        <v>110</v>
      </c>
      <c r="B82" s="3259" t="s">
        <v>2950</v>
      </c>
      <c r="C82" s="3276"/>
      <c r="D82" s="3271"/>
      <c r="E82" s="3260">
        <v>7.6999999999999999E-2</v>
      </c>
      <c r="F82" s="3271"/>
      <c r="G82" s="3272"/>
    </row>
    <row r="83" spans="1:7">
      <c r="A83" s="3270" t="s">
        <v>110</v>
      </c>
      <c r="B83" s="3259" t="s">
        <v>2956</v>
      </c>
      <c r="C83" s="3271"/>
      <c r="D83" s="3271"/>
      <c r="E83" s="3271"/>
      <c r="F83" s="3260">
        <v>0.1</v>
      </c>
      <c r="G83" s="3277"/>
    </row>
    <row r="84" spans="1:7">
      <c r="A84" s="3270" t="s">
        <v>110</v>
      </c>
      <c r="B84" s="3259" t="s">
        <v>2963</v>
      </c>
      <c r="C84" s="3271"/>
      <c r="D84" s="3271"/>
      <c r="E84" s="3271"/>
      <c r="F84" s="3260">
        <v>0.1</v>
      </c>
      <c r="G84" s="3277"/>
    </row>
    <row r="85" spans="1:7">
      <c r="A85" s="3270" t="s">
        <v>110</v>
      </c>
      <c r="B85" s="3259" t="s">
        <v>2970</v>
      </c>
      <c r="C85" s="3271"/>
      <c r="D85" s="3271"/>
      <c r="E85" s="3271"/>
      <c r="F85" s="3260">
        <v>0.1</v>
      </c>
      <c r="G85" s="3277"/>
    </row>
    <row r="86" spans="1:7" ht="14.25" thickBot="1">
      <c r="A86" s="3273" t="s">
        <v>110</v>
      </c>
      <c r="B86" s="3263" t="s">
        <v>2975</v>
      </c>
      <c r="C86" s="3264">
        <v>9.8000000000000004E-2</v>
      </c>
      <c r="D86" s="3264">
        <v>9.8000000000000004E-2</v>
      </c>
      <c r="E86" s="3264">
        <v>9.6000000000000002E-2</v>
      </c>
      <c r="F86" s="3274"/>
      <c r="G86" s="3266">
        <v>0.1</v>
      </c>
    </row>
    <row r="87" spans="1:7">
      <c r="A87" s="3269" t="s">
        <v>303</v>
      </c>
      <c r="B87" s="3255" t="s">
        <v>2851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2944</v>
      </c>
      <c r="C113" s="3260">
        <v>0.1</v>
      </c>
      <c r="D113" s="3260">
        <v>0.1</v>
      </c>
      <c r="E113" s="3271"/>
      <c r="F113" s="3271"/>
      <c r="G113" s="3261">
        <v>0.1</v>
      </c>
    </row>
    <row r="114" spans="1:7">
      <c r="A114" s="3270" t="s">
        <v>303</v>
      </c>
      <c r="B114" s="3259" t="s">
        <v>2951</v>
      </c>
      <c r="C114" s="3260">
        <v>9.7000000000000003E-2</v>
      </c>
      <c r="D114" s="3260">
        <v>9.7000000000000003E-2</v>
      </c>
      <c r="E114" s="3271"/>
      <c r="F114" s="3271"/>
      <c r="G114" s="3261">
        <v>9.9000000000000005E-2</v>
      </c>
    </row>
    <row r="115" spans="1:7">
      <c r="A115" s="3270" t="s">
        <v>303</v>
      </c>
      <c r="B115" s="3259" t="s">
        <v>2957</v>
      </c>
      <c r="C115" s="3260">
        <v>0.1</v>
      </c>
      <c r="D115" s="3260">
        <v>0.1</v>
      </c>
      <c r="E115" s="3271"/>
      <c r="F115" s="3271"/>
      <c r="G115" s="3261">
        <v>0.1</v>
      </c>
    </row>
    <row r="116" spans="1:7">
      <c r="A116" s="3270" t="s">
        <v>303</v>
      </c>
      <c r="B116" s="3259" t="s">
        <v>2964</v>
      </c>
      <c r="C116" s="3260">
        <v>0.1</v>
      </c>
      <c r="D116" s="3260">
        <v>0.1</v>
      </c>
      <c r="E116" s="3271"/>
      <c r="F116" s="3271"/>
      <c r="G116" s="3261">
        <v>0.1</v>
      </c>
    </row>
    <row r="117" spans="1:7">
      <c r="A117" s="3270" t="s">
        <v>303</v>
      </c>
      <c r="B117" s="3259" t="s">
        <v>2971</v>
      </c>
      <c r="C117" s="3260">
        <v>9.7000000000000003E-2</v>
      </c>
      <c r="D117" s="3260">
        <v>9.7000000000000003E-2</v>
      </c>
      <c r="E117" s="3271"/>
      <c r="F117" s="3271"/>
      <c r="G117" s="3261">
        <v>9.7000000000000003E-2</v>
      </c>
    </row>
    <row r="118" spans="1:7">
      <c r="A118" s="3270" t="s">
        <v>303</v>
      </c>
      <c r="B118" s="3259" t="s">
        <v>2976</v>
      </c>
      <c r="C118" s="3260">
        <v>0.1</v>
      </c>
      <c r="D118" s="3260">
        <v>0.1</v>
      </c>
      <c r="E118" s="3271"/>
      <c r="F118" s="3271"/>
      <c r="G118" s="3261">
        <v>0.1</v>
      </c>
    </row>
    <row r="119" spans="1:7">
      <c r="A119" s="3270" t="s">
        <v>303</v>
      </c>
      <c r="B119" s="3259" t="s">
        <v>2980</v>
      </c>
      <c r="C119" s="3260">
        <v>5.0999999999999997E-2</v>
      </c>
      <c r="D119" s="3260">
        <v>5.1999999999999998E-2</v>
      </c>
      <c r="E119" s="3271"/>
      <c r="F119" s="3276"/>
      <c r="G119" s="3261">
        <v>0.06</v>
      </c>
    </row>
    <row r="120" spans="1:7">
      <c r="A120" s="3270" t="s">
        <v>303</v>
      </c>
      <c r="B120" s="3259" t="s">
        <v>2984</v>
      </c>
      <c r="C120" s="3271"/>
      <c r="D120" s="3271"/>
      <c r="E120" s="3271"/>
      <c r="F120" s="3260">
        <v>0.1</v>
      </c>
      <c r="G120" s="3277"/>
    </row>
    <row r="121" spans="1:7">
      <c r="A121" s="3270" t="s">
        <v>303</v>
      </c>
      <c r="B121" s="3259" t="s">
        <v>2989</v>
      </c>
      <c r="C121" s="3271"/>
      <c r="D121" s="3271"/>
      <c r="E121" s="3271"/>
      <c r="F121" s="3260">
        <v>0.1</v>
      </c>
      <c r="G121" s="3277"/>
    </row>
    <row r="122" spans="1:7">
      <c r="A122" s="3270" t="s">
        <v>303</v>
      </c>
      <c r="B122" s="3259" t="s">
        <v>2994</v>
      </c>
      <c r="C122" s="3260">
        <v>0.1</v>
      </c>
      <c r="D122" s="3260">
        <v>0.1</v>
      </c>
      <c r="E122" s="3260">
        <v>9.8000000000000004E-2</v>
      </c>
      <c r="F122" s="3260">
        <v>0.1</v>
      </c>
      <c r="G122" s="3261">
        <v>0.1</v>
      </c>
    </row>
    <row r="123" spans="1:7">
      <c r="A123" s="3270" t="s">
        <v>303</v>
      </c>
      <c r="B123" s="3259" t="s">
        <v>2999</v>
      </c>
      <c r="C123" s="3260">
        <v>0.1</v>
      </c>
      <c r="D123" s="3260">
        <v>0.1</v>
      </c>
      <c r="E123" s="3260">
        <v>9.8000000000000004E-2</v>
      </c>
      <c r="F123" s="3260">
        <v>0.1</v>
      </c>
      <c r="G123" s="3261">
        <v>0.1</v>
      </c>
    </row>
    <row r="124" spans="1:7">
      <c r="A124" s="3270" t="s">
        <v>303</v>
      </c>
      <c r="B124" s="3259" t="s">
        <v>3004</v>
      </c>
      <c r="C124" s="3260">
        <v>0.1</v>
      </c>
      <c r="D124" s="3260">
        <v>0.1</v>
      </c>
      <c r="E124" s="3260">
        <v>9.8000000000000004E-2</v>
      </c>
      <c r="F124" s="3276"/>
      <c r="G124" s="3261">
        <v>0.1</v>
      </c>
    </row>
    <row r="125" spans="1:7">
      <c r="A125" s="3270" t="s">
        <v>303</v>
      </c>
      <c r="B125" s="3259" t="s">
        <v>3009</v>
      </c>
      <c r="C125" s="3260">
        <v>9.8000000000000004E-2</v>
      </c>
      <c r="D125" s="3260">
        <v>9.8000000000000004E-2</v>
      </c>
      <c r="E125" s="3260">
        <v>9.6000000000000002E-2</v>
      </c>
      <c r="F125" s="3276"/>
      <c r="G125" s="3261">
        <v>0.1</v>
      </c>
    </row>
    <row r="126" spans="1:7" ht="14.25" thickBot="1">
      <c r="A126" s="3273" t="s">
        <v>303</v>
      </c>
      <c r="B126" s="3263" t="s">
        <v>3175</v>
      </c>
      <c r="C126" s="3264">
        <v>0.1</v>
      </c>
      <c r="D126" s="3264">
        <v>0.1</v>
      </c>
      <c r="E126" s="3264">
        <v>9.8000000000000004E-2</v>
      </c>
      <c r="F126" s="3264">
        <v>0.1</v>
      </c>
      <c r="G126" s="3266">
        <v>0.1</v>
      </c>
    </row>
    <row r="127" spans="1:7">
      <c r="A127" s="3269" t="s">
        <v>29</v>
      </c>
      <c r="B127" s="3255" t="s">
        <v>2852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2922</v>
      </c>
      <c r="C148" s="3260">
        <v>0.13</v>
      </c>
      <c r="D148" s="3260">
        <v>0.13</v>
      </c>
      <c r="E148" s="3260">
        <v>0.13</v>
      </c>
      <c r="F148" s="3271"/>
      <c r="G148" s="3261">
        <v>0.13</v>
      </c>
    </row>
    <row r="149" spans="1:7">
      <c r="A149" s="3270" t="s">
        <v>29</v>
      </c>
      <c r="B149" s="3259" t="s">
        <v>2926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2945</v>
      </c>
      <c r="C153" s="3260">
        <v>0.13</v>
      </c>
      <c r="D153" s="3260">
        <v>0.13</v>
      </c>
      <c r="E153" s="3260">
        <v>0.13</v>
      </c>
      <c r="F153" s="3260">
        <v>0.13</v>
      </c>
      <c r="G153" s="3261">
        <v>0.13</v>
      </c>
    </row>
    <row r="154" spans="1:7">
      <c r="A154" s="3270" t="s">
        <v>29</v>
      </c>
      <c r="B154" s="3259" t="s">
        <v>2952</v>
      </c>
      <c r="C154" s="3260">
        <v>0.121</v>
      </c>
      <c r="D154" s="3260">
        <v>0.121</v>
      </c>
      <c r="E154" s="3260">
        <v>0.105</v>
      </c>
      <c r="F154" s="3260">
        <v>0.121</v>
      </c>
      <c r="G154" s="3261">
        <v>0.123</v>
      </c>
    </row>
    <row r="155" spans="1:7">
      <c r="A155" s="3270" t="s">
        <v>29</v>
      </c>
      <c r="B155" s="3259" t="s">
        <v>2958</v>
      </c>
      <c r="C155" s="3260">
        <v>0.1</v>
      </c>
      <c r="D155" s="3260">
        <v>0.1</v>
      </c>
      <c r="E155" s="3260">
        <v>0.1</v>
      </c>
      <c r="F155" s="3260">
        <v>0.1</v>
      </c>
      <c r="G155" s="3261">
        <v>0.1</v>
      </c>
    </row>
    <row r="156" spans="1:7">
      <c r="A156" s="3270" t="s">
        <v>29</v>
      </c>
      <c r="B156" s="3259" t="s">
        <v>2965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2985</v>
      </c>
      <c r="C160" s="3260">
        <v>0.13</v>
      </c>
      <c r="D160" s="3260">
        <v>0.13</v>
      </c>
      <c r="E160" s="3260">
        <v>0.124</v>
      </c>
      <c r="F160" s="3260">
        <v>0.126</v>
      </c>
      <c r="G160" s="3261">
        <v>0.13</v>
      </c>
    </row>
    <row r="161" spans="1:7">
      <c r="A161" s="3270" t="s">
        <v>29</v>
      </c>
      <c r="B161" s="3259" t="s">
        <v>2990</v>
      </c>
      <c r="C161" s="3260">
        <v>0.13</v>
      </c>
      <c r="D161" s="3260">
        <v>0.13</v>
      </c>
      <c r="E161" s="3260">
        <v>0.124</v>
      </c>
      <c r="F161" s="3260">
        <v>0.127</v>
      </c>
      <c r="G161" s="3261">
        <v>0.13</v>
      </c>
    </row>
    <row r="162" spans="1:7">
      <c r="A162" s="3270" t="s">
        <v>29</v>
      </c>
      <c r="B162" s="3259" t="s">
        <v>2995</v>
      </c>
      <c r="C162" s="3260">
        <v>0.1</v>
      </c>
      <c r="D162" s="3260">
        <v>0.1</v>
      </c>
      <c r="E162" s="3260">
        <v>0.1</v>
      </c>
      <c r="F162" s="3260">
        <v>0.121</v>
      </c>
      <c r="G162" s="3261">
        <v>0.105</v>
      </c>
    </row>
    <row r="163" spans="1:7">
      <c r="A163" s="3270" t="s">
        <v>29</v>
      </c>
      <c r="B163" s="3259" t="s">
        <v>3000</v>
      </c>
      <c r="C163" s="3260">
        <v>0.1</v>
      </c>
      <c r="D163" s="3260">
        <v>0.1</v>
      </c>
      <c r="E163" s="3260">
        <v>0.1</v>
      </c>
      <c r="F163" s="3260">
        <v>0.1</v>
      </c>
      <c r="G163" s="3261">
        <v>0.1</v>
      </c>
    </row>
    <row r="164" spans="1:7">
      <c r="A164" s="3270" t="s">
        <v>29</v>
      </c>
      <c r="B164" s="3259" t="s">
        <v>3005</v>
      </c>
      <c r="C164" s="3276"/>
      <c r="D164" s="3276"/>
      <c r="E164" s="3276"/>
      <c r="F164" s="3260">
        <v>0.1</v>
      </c>
      <c r="G164" s="3272"/>
    </row>
    <row r="165" spans="1:7">
      <c r="A165" s="3270" t="s">
        <v>29</v>
      </c>
      <c r="B165" s="3259" t="s">
        <v>3176</v>
      </c>
      <c r="C165" s="3260">
        <v>0.126</v>
      </c>
      <c r="D165" s="3260">
        <v>0.126</v>
      </c>
      <c r="E165" s="3260">
        <v>0.11899999999999999</v>
      </c>
      <c r="F165" s="3260">
        <v>0.13</v>
      </c>
      <c r="G165" s="3261">
        <v>0.128</v>
      </c>
    </row>
    <row r="166" spans="1:7">
      <c r="A166" s="3270" t="s">
        <v>29</v>
      </c>
      <c r="B166" s="3259" t="s">
        <v>3015</v>
      </c>
      <c r="C166" s="3260">
        <v>0.129</v>
      </c>
      <c r="D166" s="3260">
        <v>0.129</v>
      </c>
      <c r="E166" s="3260">
        <v>0.123</v>
      </c>
      <c r="F166" s="3260">
        <v>0.128</v>
      </c>
      <c r="G166" s="3261">
        <v>0.13</v>
      </c>
    </row>
    <row r="167" spans="1:7">
      <c r="A167" s="3270" t="s">
        <v>29</v>
      </c>
      <c r="B167" s="3259" t="s">
        <v>3019</v>
      </c>
      <c r="C167" s="3260">
        <v>0.125</v>
      </c>
      <c r="D167" s="3260">
        <v>0.125</v>
      </c>
      <c r="E167" s="3260">
        <v>0.11700000000000001</v>
      </c>
      <c r="F167" s="3260">
        <v>0.13</v>
      </c>
      <c r="G167" s="3261">
        <v>0.126</v>
      </c>
    </row>
    <row r="168" spans="1:7">
      <c r="A168" s="3270" t="s">
        <v>29</v>
      </c>
      <c r="B168" s="3259" t="s">
        <v>3024</v>
      </c>
      <c r="C168" s="3260">
        <v>0.128</v>
      </c>
      <c r="D168" s="3260">
        <v>0.128</v>
      </c>
      <c r="E168" s="3260">
        <v>0.123</v>
      </c>
      <c r="F168" s="3271"/>
      <c r="G168" s="3261">
        <v>0.13</v>
      </c>
    </row>
    <row r="169" spans="1:7">
      <c r="A169" s="3270" t="s">
        <v>29</v>
      </c>
      <c r="B169" s="3259" t="s">
        <v>3177</v>
      </c>
      <c r="C169" s="3276"/>
      <c r="D169" s="3276"/>
      <c r="E169" s="3276"/>
      <c r="F169" s="3260">
        <v>0.05</v>
      </c>
      <c r="G169" s="3272"/>
    </row>
    <row r="170" spans="1:7">
      <c r="A170" s="3270" t="s">
        <v>29</v>
      </c>
      <c r="B170" s="3259" t="s">
        <v>3178</v>
      </c>
      <c r="C170" s="3276"/>
      <c r="D170" s="3276"/>
      <c r="E170" s="3276"/>
      <c r="F170" s="3260">
        <v>0.05</v>
      </c>
      <c r="G170" s="3272"/>
    </row>
    <row r="171" spans="1:7">
      <c r="A171" s="3270" t="s">
        <v>29</v>
      </c>
      <c r="B171" s="3259" t="s">
        <v>3179</v>
      </c>
      <c r="C171" s="3276"/>
      <c r="D171" s="3276"/>
      <c r="E171" s="3276"/>
      <c r="F171" s="3260">
        <v>0.05</v>
      </c>
      <c r="G171" s="3277"/>
    </row>
    <row r="172" spans="1:7">
      <c r="A172" s="3270" t="s">
        <v>29</v>
      </c>
      <c r="B172" s="3259" t="s">
        <v>3180</v>
      </c>
      <c r="C172" s="3276"/>
      <c r="D172" s="3276"/>
      <c r="E172" s="3276"/>
      <c r="F172" s="3260">
        <v>0.05</v>
      </c>
      <c r="G172" s="3277"/>
    </row>
    <row r="173" spans="1:7">
      <c r="A173" s="3270" t="s">
        <v>29</v>
      </c>
      <c r="B173" s="3259" t="s">
        <v>3181</v>
      </c>
      <c r="C173" s="3276"/>
      <c r="D173" s="3276"/>
      <c r="E173" s="3276"/>
      <c r="F173" s="3260">
        <v>0.05</v>
      </c>
      <c r="G173" s="3272"/>
    </row>
    <row r="174" spans="1:7">
      <c r="A174" s="3270" t="s">
        <v>29</v>
      </c>
      <c r="B174" s="3259" t="s">
        <v>3182</v>
      </c>
      <c r="C174" s="3276"/>
      <c r="D174" s="3276"/>
      <c r="E174" s="3276"/>
      <c r="F174" s="3260">
        <v>0.05</v>
      </c>
      <c r="G174" s="3272"/>
    </row>
    <row r="175" spans="1:7">
      <c r="A175" s="3270" t="s">
        <v>29</v>
      </c>
      <c r="B175" s="3259" t="s">
        <v>3183</v>
      </c>
      <c r="C175" s="3276"/>
      <c r="D175" s="3276"/>
      <c r="E175" s="3276"/>
      <c r="F175" s="3260">
        <v>0.05</v>
      </c>
      <c r="G175" s="3272"/>
    </row>
    <row r="176" spans="1:7">
      <c r="A176" s="3270" t="s">
        <v>29</v>
      </c>
      <c r="B176" s="3259" t="s">
        <v>3184</v>
      </c>
      <c r="C176" s="3276"/>
      <c r="D176" s="3276"/>
      <c r="E176" s="3276"/>
      <c r="F176" s="3260">
        <v>0.05</v>
      </c>
      <c r="G176" s="3272"/>
    </row>
    <row r="177" spans="1:7">
      <c r="A177" s="3270" t="s">
        <v>29</v>
      </c>
      <c r="B177" s="3259" t="s">
        <v>3185</v>
      </c>
      <c r="C177" s="3271"/>
      <c r="D177" s="3271"/>
      <c r="E177" s="3271"/>
      <c r="F177" s="3260">
        <v>0.05</v>
      </c>
      <c r="G177" s="3277"/>
    </row>
    <row r="178" spans="1:7">
      <c r="A178" s="3270" t="s">
        <v>29</v>
      </c>
      <c r="B178" s="3259" t="s">
        <v>3186</v>
      </c>
      <c r="C178" s="3271"/>
      <c r="D178" s="3271"/>
      <c r="E178" s="3271"/>
      <c r="F178" s="3260">
        <v>0.05</v>
      </c>
      <c r="G178" s="3277"/>
    </row>
    <row r="179" spans="1:7">
      <c r="A179" s="3270" t="s">
        <v>29</v>
      </c>
      <c r="B179" s="3259" t="s">
        <v>3187</v>
      </c>
      <c r="C179" s="3271"/>
      <c r="D179" s="3271"/>
      <c r="E179" s="3271"/>
      <c r="F179" s="3260">
        <v>0.05</v>
      </c>
      <c r="G179" s="3277"/>
    </row>
    <row r="180" spans="1:7">
      <c r="A180" s="3270" t="s">
        <v>29</v>
      </c>
      <c r="B180" s="3259" t="s">
        <v>3188</v>
      </c>
      <c r="C180" s="3271"/>
      <c r="D180" s="3271"/>
      <c r="E180" s="3271"/>
      <c r="F180" s="3260">
        <v>0.05</v>
      </c>
      <c r="G180" s="3277"/>
    </row>
    <row r="181" spans="1:7">
      <c r="A181" s="3270" t="s">
        <v>29</v>
      </c>
      <c r="B181" s="3259" t="s">
        <v>3189</v>
      </c>
      <c r="C181" s="3271"/>
      <c r="D181" s="3271"/>
      <c r="E181" s="3271"/>
      <c r="F181" s="3260">
        <v>0.05</v>
      </c>
      <c r="G181" s="3277"/>
    </row>
    <row r="182" spans="1:7">
      <c r="A182" s="3270" t="s">
        <v>29</v>
      </c>
      <c r="B182" s="3259" t="s">
        <v>3190</v>
      </c>
      <c r="C182" s="3271"/>
      <c r="D182" s="3271"/>
      <c r="E182" s="3271"/>
      <c r="F182" s="3260">
        <v>0.05</v>
      </c>
      <c r="G182" s="3277"/>
    </row>
    <row r="183" spans="1:7">
      <c r="A183" s="3270" t="s">
        <v>29</v>
      </c>
      <c r="B183" s="3259" t="s">
        <v>3191</v>
      </c>
      <c r="C183" s="3271"/>
      <c r="D183" s="3271"/>
      <c r="E183" s="3271"/>
      <c r="F183" s="3260">
        <v>0.05</v>
      </c>
      <c r="G183" s="3277"/>
    </row>
    <row r="184" spans="1:7">
      <c r="A184" s="3270" t="s">
        <v>29</v>
      </c>
      <c r="B184" s="3259" t="s">
        <v>3192</v>
      </c>
      <c r="C184" s="3271"/>
      <c r="D184" s="3271"/>
      <c r="E184" s="3271"/>
      <c r="F184" s="3260">
        <v>0.05</v>
      </c>
      <c r="G184" s="3277"/>
    </row>
    <row r="185" spans="1:7">
      <c r="A185" s="3270" t="s">
        <v>29</v>
      </c>
      <c r="B185" s="3259" t="s">
        <v>3193</v>
      </c>
      <c r="C185" s="3271"/>
      <c r="D185" s="3271"/>
      <c r="E185" s="3271"/>
      <c r="F185" s="3260">
        <v>0.05</v>
      </c>
      <c r="G185" s="3277"/>
    </row>
    <row r="186" spans="1:7">
      <c r="A186" s="3270" t="s">
        <v>29</v>
      </c>
      <c r="B186" s="3259" t="s">
        <v>3194</v>
      </c>
      <c r="C186" s="3271"/>
      <c r="D186" s="3271"/>
      <c r="E186" s="3271"/>
      <c r="F186" s="3260">
        <v>0.05</v>
      </c>
      <c r="G186" s="3277"/>
    </row>
    <row r="187" spans="1:7">
      <c r="A187" s="3270" t="s">
        <v>29</v>
      </c>
      <c r="B187" s="3259" t="s">
        <v>3195</v>
      </c>
      <c r="C187" s="3271"/>
      <c r="D187" s="3271"/>
      <c r="E187" s="3271"/>
      <c r="F187" s="3260">
        <v>0.05</v>
      </c>
      <c r="G187" s="3277"/>
    </row>
    <row r="188" spans="1:7">
      <c r="A188" s="3270" t="s">
        <v>29</v>
      </c>
      <c r="B188" s="3259" t="s">
        <v>3196</v>
      </c>
      <c r="C188" s="3271"/>
      <c r="D188" s="3271"/>
      <c r="E188" s="3271"/>
      <c r="F188" s="3260">
        <v>0.05</v>
      </c>
      <c r="G188" s="3277"/>
    </row>
    <row r="189" spans="1:7" ht="14.25" thickBot="1">
      <c r="A189" s="3273" t="s">
        <v>29</v>
      </c>
      <c r="B189" s="3263" t="s">
        <v>3197</v>
      </c>
      <c r="C189" s="3265"/>
      <c r="D189" s="3265"/>
      <c r="E189" s="3265"/>
      <c r="F189" s="3264">
        <v>0.05</v>
      </c>
      <c r="G189" s="3278"/>
    </row>
    <row r="190" spans="1:7">
      <c r="A190" s="3269" t="s">
        <v>304</v>
      </c>
      <c r="B190" s="3255" t="s">
        <v>2853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2889</v>
      </c>
      <c r="C199" s="3260">
        <v>0.13</v>
      </c>
      <c r="D199" s="3260">
        <v>0.13</v>
      </c>
      <c r="E199" s="3260">
        <v>0.13</v>
      </c>
      <c r="F199" s="3260">
        <v>0.13</v>
      </c>
      <c r="G199" s="3261">
        <v>0.13</v>
      </c>
    </row>
    <row r="200" spans="1:7">
      <c r="A200" s="3270" t="s">
        <v>304</v>
      </c>
      <c r="B200" s="3259" t="s">
        <v>2892</v>
      </c>
      <c r="C200" s="3276"/>
      <c r="D200" s="3276"/>
      <c r="E200" s="3276"/>
      <c r="F200" s="3260">
        <v>0.13</v>
      </c>
      <c r="G200" s="3272"/>
    </row>
    <row r="201" spans="1:7">
      <c r="A201" s="3270" t="s">
        <v>304</v>
      </c>
      <c r="B201" s="3259" t="s">
        <v>2897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2900</v>
      </c>
      <c r="C203" s="3260">
        <v>0.129</v>
      </c>
      <c r="D203" s="3260">
        <v>0.129</v>
      </c>
      <c r="E203" s="3260">
        <v>0.13</v>
      </c>
      <c r="F203" s="3260">
        <v>0.13</v>
      </c>
      <c r="G203" s="3261">
        <v>0.13</v>
      </c>
    </row>
    <row r="204" spans="1:7">
      <c r="A204" s="3270" t="s">
        <v>304</v>
      </c>
      <c r="B204" s="3259" t="s">
        <v>2903</v>
      </c>
      <c r="C204" s="3260">
        <v>0.129</v>
      </c>
      <c r="D204" s="3260">
        <v>0.129</v>
      </c>
      <c r="E204" s="3260">
        <v>0.123</v>
      </c>
      <c r="F204" s="3260">
        <v>0.13</v>
      </c>
      <c r="G204" s="3261">
        <v>0.13</v>
      </c>
    </row>
    <row r="205" spans="1:7">
      <c r="A205" s="3270" t="s">
        <v>304</v>
      </c>
      <c r="B205" s="3259" t="s">
        <v>2905</v>
      </c>
      <c r="C205" s="3260">
        <v>0.13</v>
      </c>
      <c r="D205" s="3260">
        <v>0.13</v>
      </c>
      <c r="E205" s="3260">
        <v>0.13</v>
      </c>
      <c r="F205" s="3260">
        <v>0.13</v>
      </c>
      <c r="G205" s="3261">
        <v>0.13</v>
      </c>
    </row>
    <row r="206" spans="1:7">
      <c r="A206" s="3270" t="s">
        <v>304</v>
      </c>
      <c r="B206" s="3259" t="s">
        <v>2908</v>
      </c>
      <c r="C206" s="3260">
        <v>0.13</v>
      </c>
      <c r="D206" s="3260">
        <v>0.13</v>
      </c>
      <c r="E206" s="3260">
        <v>0.13</v>
      </c>
      <c r="F206" s="3260">
        <v>0.128</v>
      </c>
      <c r="G206" s="3261">
        <v>0.13</v>
      </c>
    </row>
    <row r="207" spans="1:7">
      <c r="A207" s="3270" t="s">
        <v>304</v>
      </c>
      <c r="B207" s="3259" t="s">
        <v>2910</v>
      </c>
      <c r="C207" s="3260">
        <v>0.13</v>
      </c>
      <c r="D207" s="3260">
        <v>0.13</v>
      </c>
      <c r="E207" s="3260">
        <v>0.13</v>
      </c>
      <c r="F207" s="3260">
        <v>0.13</v>
      </c>
      <c r="G207" s="3261">
        <v>0.13</v>
      </c>
    </row>
    <row r="208" spans="1:7">
      <c r="A208" s="3270" t="s">
        <v>304</v>
      </c>
      <c r="B208" s="3259" t="s">
        <v>2913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2920</v>
      </c>
      <c r="C210" s="3260">
        <v>0.121</v>
      </c>
      <c r="D210" s="3260">
        <v>0.121</v>
      </c>
      <c r="E210" s="3260">
        <v>0.125</v>
      </c>
      <c r="F210" s="3260">
        <v>0.13</v>
      </c>
      <c r="G210" s="3261">
        <v>0.123</v>
      </c>
    </row>
    <row r="211" spans="1:7">
      <c r="A211" s="3270" t="s">
        <v>304</v>
      </c>
      <c r="B211" s="3259" t="s">
        <v>2923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2935</v>
      </c>
      <c r="C214" s="3260">
        <v>0.128</v>
      </c>
      <c r="D214" s="3260">
        <v>0.128</v>
      </c>
      <c r="E214" s="3260">
        <v>0.13</v>
      </c>
      <c r="F214" s="3260">
        <v>0.13</v>
      </c>
      <c r="G214" s="3261">
        <v>0.13</v>
      </c>
    </row>
    <row r="215" spans="1:7">
      <c r="A215" s="3270" t="s">
        <v>304</v>
      </c>
      <c r="B215" s="3259" t="s">
        <v>2939</v>
      </c>
      <c r="C215" s="3260">
        <v>0.13</v>
      </c>
      <c r="D215" s="3260">
        <v>0.13</v>
      </c>
      <c r="E215" s="3260">
        <v>0.13</v>
      </c>
      <c r="F215" s="3260">
        <v>0.129</v>
      </c>
      <c r="G215" s="3261">
        <v>0.13</v>
      </c>
    </row>
    <row r="216" spans="1:7">
      <c r="A216" s="3270" t="s">
        <v>304</v>
      </c>
      <c r="B216" s="3259" t="s">
        <v>2946</v>
      </c>
      <c r="C216" s="3260">
        <v>0.13</v>
      </c>
      <c r="D216" s="3260">
        <v>0.13</v>
      </c>
      <c r="E216" s="3260">
        <v>0.13</v>
      </c>
      <c r="F216" s="3260">
        <v>0.13</v>
      </c>
      <c r="G216" s="3261">
        <v>0.13</v>
      </c>
    </row>
    <row r="217" spans="1:7">
      <c r="A217" s="3270" t="s">
        <v>304</v>
      </c>
      <c r="B217" s="3259" t="s">
        <v>2953</v>
      </c>
      <c r="C217" s="3260">
        <v>0.129</v>
      </c>
      <c r="D217" s="3260">
        <v>0.129</v>
      </c>
      <c r="E217" s="3260">
        <v>0.13</v>
      </c>
      <c r="F217" s="3260">
        <v>0.13</v>
      </c>
      <c r="G217" s="3261">
        <v>0.13</v>
      </c>
    </row>
    <row r="218" spans="1:7">
      <c r="A218" s="3270" t="s">
        <v>304</v>
      </c>
      <c r="B218" s="3259" t="s">
        <v>2959</v>
      </c>
      <c r="C218" s="3271"/>
      <c r="D218" s="3271"/>
      <c r="E218" s="3271"/>
      <c r="F218" s="3260">
        <v>0.05</v>
      </c>
      <c r="G218" s="3277"/>
    </row>
    <row r="219" spans="1:7">
      <c r="A219" s="3270" t="s">
        <v>304</v>
      </c>
      <c r="B219" s="3259" t="s">
        <v>2966</v>
      </c>
      <c r="C219" s="3271"/>
      <c r="D219" s="3271"/>
      <c r="E219" s="3271"/>
      <c r="F219" s="3260">
        <v>0.05</v>
      </c>
      <c r="G219" s="3277"/>
    </row>
    <row r="220" spans="1:7">
      <c r="A220" s="3270" t="s">
        <v>304</v>
      </c>
      <c r="B220" s="3259" t="s">
        <v>2972</v>
      </c>
      <c r="C220" s="3271"/>
      <c r="D220" s="3271"/>
      <c r="E220" s="3271"/>
      <c r="F220" s="3260">
        <v>0.05</v>
      </c>
      <c r="G220" s="3277"/>
    </row>
    <row r="221" spans="1:7">
      <c r="A221" s="3270" t="s">
        <v>304</v>
      </c>
      <c r="B221" s="3259" t="s">
        <v>2977</v>
      </c>
      <c r="C221" s="3271"/>
      <c r="D221" s="3271"/>
      <c r="E221" s="3271"/>
      <c r="F221" s="3260">
        <v>0.05</v>
      </c>
      <c r="G221" s="3277"/>
    </row>
    <row r="222" spans="1:7">
      <c r="A222" s="3270" t="s">
        <v>304</v>
      </c>
      <c r="B222" s="3259" t="s">
        <v>2981</v>
      </c>
      <c r="C222" s="3271"/>
      <c r="D222" s="3271"/>
      <c r="E222" s="3271"/>
      <c r="F222" s="3260">
        <v>0.05</v>
      </c>
      <c r="G222" s="3277"/>
    </row>
    <row r="223" spans="1:7">
      <c r="A223" s="3270" t="s">
        <v>304</v>
      </c>
      <c r="B223" s="3259" t="s">
        <v>2986</v>
      </c>
      <c r="C223" s="3271"/>
      <c r="D223" s="3271"/>
      <c r="E223" s="3271"/>
      <c r="F223" s="3260">
        <v>0.05</v>
      </c>
      <c r="G223" s="3277"/>
    </row>
    <row r="224" spans="1:7">
      <c r="A224" s="3270" t="s">
        <v>304</v>
      </c>
      <c r="B224" s="3259" t="s">
        <v>2991</v>
      </c>
      <c r="C224" s="3271"/>
      <c r="D224" s="3271"/>
      <c r="E224" s="3271"/>
      <c r="F224" s="3260">
        <v>0.05</v>
      </c>
      <c r="G224" s="3277"/>
    </row>
    <row r="225" spans="1:7">
      <c r="A225" s="3270" t="s">
        <v>304</v>
      </c>
      <c r="B225" s="3259" t="s">
        <v>2996</v>
      </c>
      <c r="C225" s="3271"/>
      <c r="D225" s="3271"/>
      <c r="E225" s="3271"/>
      <c r="F225" s="3260">
        <v>0.05</v>
      </c>
      <c r="G225" s="3277"/>
    </row>
    <row r="226" spans="1:7">
      <c r="A226" s="3270" t="s">
        <v>304</v>
      </c>
      <c r="B226" s="3259" t="s">
        <v>3198</v>
      </c>
      <c r="C226" s="3271"/>
      <c r="D226" s="3271"/>
      <c r="E226" s="3271"/>
      <c r="F226" s="3260">
        <v>0.05</v>
      </c>
      <c r="G226" s="3277"/>
    </row>
    <row r="227" spans="1:7">
      <c r="A227" s="3270" t="s">
        <v>304</v>
      </c>
      <c r="B227" s="3259" t="s">
        <v>3199</v>
      </c>
      <c r="C227" s="3271"/>
      <c r="D227" s="3271"/>
      <c r="E227" s="3271"/>
      <c r="F227" s="3260">
        <v>0.05</v>
      </c>
      <c r="G227" s="3277"/>
    </row>
    <row r="228" spans="1:7">
      <c r="A228" s="3270" t="s">
        <v>304</v>
      </c>
      <c r="B228" s="3259" t="s">
        <v>3200</v>
      </c>
      <c r="C228" s="3271"/>
      <c r="D228" s="3271"/>
      <c r="E228" s="3271"/>
      <c r="F228" s="3260">
        <v>0.05</v>
      </c>
      <c r="G228" s="3277"/>
    </row>
    <row r="229" spans="1:7">
      <c r="A229" s="3270" t="s">
        <v>304</v>
      </c>
      <c r="B229" s="3259" t="s">
        <v>3201</v>
      </c>
      <c r="C229" s="3271"/>
      <c r="D229" s="3271"/>
      <c r="E229" s="3271"/>
      <c r="F229" s="3260">
        <v>0.05</v>
      </c>
      <c r="G229" s="3277"/>
    </row>
    <row r="230" spans="1:7">
      <c r="A230" s="3270" t="s">
        <v>304</v>
      </c>
      <c r="B230" s="3259" t="s">
        <v>3202</v>
      </c>
      <c r="C230" s="3271"/>
      <c r="D230" s="3271"/>
      <c r="E230" s="3271"/>
      <c r="F230" s="3260">
        <v>0.05</v>
      </c>
      <c r="G230" s="3277"/>
    </row>
    <row r="231" spans="1:7">
      <c r="A231" s="3270" t="s">
        <v>304</v>
      </c>
      <c r="B231" s="3259" t="s">
        <v>3203</v>
      </c>
      <c r="C231" s="3271"/>
      <c r="D231" s="3271"/>
      <c r="E231" s="3271"/>
      <c r="F231" s="3260">
        <v>0.05</v>
      </c>
      <c r="G231" s="3277"/>
    </row>
    <row r="232" spans="1:7">
      <c r="A232" s="3270" t="s">
        <v>304</v>
      </c>
      <c r="B232" s="3259" t="s">
        <v>3204</v>
      </c>
      <c r="C232" s="3271"/>
      <c r="D232" s="3271"/>
      <c r="E232" s="3271"/>
      <c r="F232" s="3260">
        <v>0.05</v>
      </c>
      <c r="G232" s="3277"/>
    </row>
    <row r="233" spans="1:7" ht="14.25" thickBot="1">
      <c r="A233" s="3273" t="s">
        <v>304</v>
      </c>
      <c r="B233" s="3263" t="s">
        <v>3205</v>
      </c>
      <c r="C233" s="3265"/>
      <c r="D233" s="3265"/>
      <c r="E233" s="3265"/>
      <c r="F233" s="3264">
        <v>0.05</v>
      </c>
      <c r="G233" s="3278"/>
    </row>
    <row r="234" spans="1:7">
      <c r="A234" s="3269" t="s">
        <v>305</v>
      </c>
      <c r="B234" s="3255" t="s">
        <v>2854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2874</v>
      </c>
      <c r="C238" s="3260">
        <v>0.14899999999999999</v>
      </c>
      <c r="D238" s="3260">
        <v>0.14899999999999999</v>
      </c>
      <c r="E238" s="3260">
        <v>0.15</v>
      </c>
      <c r="F238" s="3260">
        <v>0.15</v>
      </c>
      <c r="G238" s="3261">
        <v>0.15</v>
      </c>
    </row>
    <row r="239" spans="1:7">
      <c r="A239" s="3270" t="s">
        <v>305</v>
      </c>
      <c r="B239" s="3259" t="s">
        <v>2878</v>
      </c>
      <c r="C239" s="3260">
        <v>0.15</v>
      </c>
      <c r="D239" s="3260">
        <v>0.15</v>
      </c>
      <c r="E239" s="3260">
        <v>0.15</v>
      </c>
      <c r="F239" s="3260">
        <v>0.15</v>
      </c>
      <c r="G239" s="3261">
        <v>0.15</v>
      </c>
    </row>
    <row r="240" spans="1:7">
      <c r="A240" s="3270" t="s">
        <v>305</v>
      </c>
      <c r="B240" s="3259" t="s">
        <v>2883</v>
      </c>
      <c r="C240" s="3260">
        <v>0.15</v>
      </c>
      <c r="D240" s="3260">
        <v>0.15</v>
      </c>
      <c r="E240" s="3260">
        <v>0.15</v>
      </c>
      <c r="F240" s="3260">
        <v>0.15</v>
      </c>
      <c r="G240" s="3261">
        <v>0.15</v>
      </c>
    </row>
    <row r="241" spans="1:7">
      <c r="A241" s="3270" t="s">
        <v>305</v>
      </c>
      <c r="B241" s="3259" t="s">
        <v>2887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2936</v>
      </c>
      <c r="C258" s="3260">
        <v>0.14299999999999999</v>
      </c>
      <c r="D258" s="3260">
        <v>0.14299999999999999</v>
      </c>
      <c r="E258" s="3260">
        <v>0.15</v>
      </c>
      <c r="F258" s="3260">
        <v>0.14799999999999999</v>
      </c>
      <c r="G258" s="3261">
        <v>0.14599999999999999</v>
      </c>
    </row>
    <row r="259" spans="1:7">
      <c r="A259" s="3270" t="s">
        <v>305</v>
      </c>
      <c r="B259" s="3259" t="s">
        <v>2940</v>
      </c>
      <c r="C259" s="3260">
        <v>0.14399999999999999</v>
      </c>
      <c r="D259" s="3260">
        <v>0.14399999999999999</v>
      </c>
      <c r="E259" s="3260">
        <v>0.14899999999999999</v>
      </c>
      <c r="F259" s="3260">
        <v>0.14699999999999999</v>
      </c>
      <c r="G259" s="3261">
        <v>0.14599999999999999</v>
      </c>
    </row>
    <row r="260" spans="1:7">
      <c r="A260" s="3270" t="s">
        <v>305</v>
      </c>
      <c r="B260" s="3259" t="s">
        <v>2947</v>
      </c>
      <c r="C260" s="3260">
        <v>0.109</v>
      </c>
      <c r="D260" s="3260">
        <v>0.111</v>
      </c>
      <c r="E260" s="3260">
        <v>0.13100000000000001</v>
      </c>
      <c r="F260" s="3260">
        <v>0.126</v>
      </c>
      <c r="G260" s="3261">
        <v>0.11899999999999999</v>
      </c>
    </row>
    <row r="261" spans="1:7">
      <c r="A261" s="3270" t="s">
        <v>305</v>
      </c>
      <c r="B261" s="3259" t="s">
        <v>2954</v>
      </c>
      <c r="C261" s="3260">
        <v>0.1</v>
      </c>
      <c r="D261" s="3260">
        <v>0.1</v>
      </c>
      <c r="E261" s="3260">
        <v>0.11799999999999999</v>
      </c>
      <c r="F261" s="3260">
        <v>0.108</v>
      </c>
      <c r="G261" s="3261">
        <v>0.107</v>
      </c>
    </row>
    <row r="262" spans="1:7">
      <c r="A262" s="3270" t="s">
        <v>305</v>
      </c>
      <c r="B262" s="3259" t="s">
        <v>2960</v>
      </c>
      <c r="C262" s="3260">
        <v>0.1</v>
      </c>
      <c r="D262" s="3260">
        <v>0.1</v>
      </c>
      <c r="E262" s="3260">
        <v>0.1</v>
      </c>
      <c r="F262" s="3260">
        <v>0.14099999999999999</v>
      </c>
      <c r="G262" s="3261">
        <v>0.1</v>
      </c>
    </row>
    <row r="263" spans="1:7">
      <c r="A263" s="3270" t="s">
        <v>305</v>
      </c>
      <c r="B263" s="3259" t="s">
        <v>2967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2978</v>
      </c>
      <c r="C265" s="3271"/>
      <c r="D265" s="3271"/>
      <c r="E265" s="3271"/>
      <c r="F265" s="3260">
        <v>0.05</v>
      </c>
      <c r="G265" s="3277"/>
    </row>
    <row r="266" spans="1:7">
      <c r="A266" s="3270" t="s">
        <v>305</v>
      </c>
      <c r="B266" s="3259" t="s">
        <v>2982</v>
      </c>
      <c r="C266" s="3271"/>
      <c r="D266" s="3271"/>
      <c r="E266" s="3271"/>
      <c r="F266" s="3260">
        <v>0.05</v>
      </c>
      <c r="G266" s="3277"/>
    </row>
    <row r="267" spans="1:7">
      <c r="A267" s="3270" t="s">
        <v>305</v>
      </c>
      <c r="B267" s="3259" t="s">
        <v>2987</v>
      </c>
      <c r="C267" s="3271"/>
      <c r="D267" s="3271"/>
      <c r="E267" s="3271"/>
      <c r="F267" s="3260">
        <v>0.05</v>
      </c>
      <c r="G267" s="3277"/>
    </row>
    <row r="268" spans="1:7">
      <c r="A268" s="3270" t="s">
        <v>305</v>
      </c>
      <c r="B268" s="3259" t="s">
        <v>2992</v>
      </c>
      <c r="C268" s="3271"/>
      <c r="D268" s="3271"/>
      <c r="E268" s="3271"/>
      <c r="F268" s="3260">
        <v>0.05</v>
      </c>
      <c r="G268" s="3277"/>
    </row>
    <row r="269" spans="1:7">
      <c r="A269" s="3270" t="s">
        <v>305</v>
      </c>
      <c r="B269" s="3259" t="s">
        <v>2997</v>
      </c>
      <c r="C269" s="3271"/>
      <c r="D269" s="3271"/>
      <c r="E269" s="3271"/>
      <c r="F269" s="3260">
        <v>0.05</v>
      </c>
      <c r="G269" s="3277"/>
    </row>
    <row r="270" spans="1:7">
      <c r="A270" s="3270" t="s">
        <v>305</v>
      </c>
      <c r="B270" s="3259" t="s">
        <v>3002</v>
      </c>
      <c r="C270" s="3271"/>
      <c r="D270" s="3271"/>
      <c r="E270" s="3271"/>
      <c r="F270" s="3260">
        <v>0.05</v>
      </c>
      <c r="G270" s="3277"/>
    </row>
    <row r="271" spans="1:7">
      <c r="A271" s="3270" t="s">
        <v>305</v>
      </c>
      <c r="B271" s="3259" t="s">
        <v>3206</v>
      </c>
      <c r="C271" s="3271"/>
      <c r="D271" s="3271"/>
      <c r="E271" s="3271"/>
      <c r="F271" s="3260">
        <v>0.05</v>
      </c>
      <c r="G271" s="3277"/>
    </row>
    <row r="272" spans="1:7">
      <c r="A272" s="3270" t="s">
        <v>305</v>
      </c>
      <c r="B272" s="3259" t="s">
        <v>3207</v>
      </c>
      <c r="C272" s="3271"/>
      <c r="D272" s="3271"/>
      <c r="E272" s="3271"/>
      <c r="F272" s="3260">
        <v>0.05</v>
      </c>
      <c r="G272" s="3277"/>
    </row>
    <row r="273" spans="1:7">
      <c r="A273" s="3270" t="s">
        <v>305</v>
      </c>
      <c r="B273" s="3259" t="s">
        <v>3208</v>
      </c>
      <c r="C273" s="3271"/>
      <c r="D273" s="3271"/>
      <c r="E273" s="3271"/>
      <c r="F273" s="3260">
        <v>0.05</v>
      </c>
      <c r="G273" s="3277"/>
    </row>
    <row r="274" spans="1:7">
      <c r="A274" s="3270" t="s">
        <v>305</v>
      </c>
      <c r="B274" s="3259" t="s">
        <v>3209</v>
      </c>
      <c r="C274" s="3271"/>
      <c r="D274" s="3271"/>
      <c r="E274" s="3271"/>
      <c r="F274" s="3260">
        <v>0.05</v>
      </c>
      <c r="G274" s="3277"/>
    </row>
    <row r="275" spans="1:7">
      <c r="A275" s="3270" t="s">
        <v>305</v>
      </c>
      <c r="B275" s="3259" t="s">
        <v>3210</v>
      </c>
      <c r="C275" s="3271"/>
      <c r="D275" s="3271"/>
      <c r="E275" s="3271"/>
      <c r="F275" s="3260">
        <v>0.05</v>
      </c>
      <c r="G275" s="3277"/>
    </row>
    <row r="276" spans="1:7" ht="14.25" thickBot="1">
      <c r="A276" s="3273" t="s">
        <v>305</v>
      </c>
      <c r="B276" s="3263" t="s">
        <v>3211</v>
      </c>
      <c r="C276" s="3265"/>
      <c r="D276" s="3265"/>
      <c r="E276" s="3265"/>
      <c r="F276" s="3264">
        <v>0.05</v>
      </c>
      <c r="G276" s="3278"/>
    </row>
    <row r="277" spans="1:7">
      <c r="A277" s="3269" t="s">
        <v>306</v>
      </c>
      <c r="B277" s="3255" t="s">
        <v>2855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2867</v>
      </c>
      <c r="C279" s="3260">
        <v>0.15</v>
      </c>
      <c r="D279" s="3260">
        <v>0.15</v>
      </c>
      <c r="E279" s="3260">
        <v>0.15</v>
      </c>
      <c r="F279" s="3260">
        <v>0.15</v>
      </c>
      <c r="G279" s="3261">
        <v>0.15</v>
      </c>
    </row>
    <row r="280" spans="1:7">
      <c r="A280" s="3270" t="s">
        <v>306</v>
      </c>
      <c r="B280" s="3259" t="s">
        <v>2871</v>
      </c>
      <c r="C280" s="3260">
        <v>0.15</v>
      </c>
      <c r="D280" s="3260">
        <v>0.15</v>
      </c>
      <c r="E280" s="3260">
        <v>0.15</v>
      </c>
      <c r="F280" s="3260">
        <v>0.15</v>
      </c>
      <c r="G280" s="3261">
        <v>0.15</v>
      </c>
    </row>
    <row r="281" spans="1:7">
      <c r="A281" s="3270" t="s">
        <v>306</v>
      </c>
      <c r="B281" s="3259" t="s">
        <v>2875</v>
      </c>
      <c r="C281" s="3260">
        <v>0.15</v>
      </c>
      <c r="D281" s="3260">
        <v>0.15</v>
      </c>
      <c r="E281" s="3260">
        <v>0.15</v>
      </c>
      <c r="F281" s="3260">
        <v>0.15</v>
      </c>
      <c r="G281" s="3261">
        <v>0.15</v>
      </c>
    </row>
    <row r="282" spans="1:7">
      <c r="A282" s="3270" t="s">
        <v>306</v>
      </c>
      <c r="B282" s="3259" t="s">
        <v>2879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2899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2909</v>
      </c>
      <c r="C293" s="3260">
        <v>0.15</v>
      </c>
      <c r="D293" s="3260">
        <v>0.15</v>
      </c>
      <c r="E293" s="3260">
        <v>0.15</v>
      </c>
      <c r="F293" s="3260">
        <v>0.14499999999999999</v>
      </c>
      <c r="G293" s="3261">
        <v>0.15</v>
      </c>
    </row>
    <row r="294" spans="1:7">
      <c r="A294" s="3270" t="s">
        <v>306</v>
      </c>
      <c r="B294" s="3259" t="s">
        <v>2911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2941</v>
      </c>
      <c r="C302" s="3260">
        <v>0.15</v>
      </c>
      <c r="D302" s="3260">
        <v>0.15</v>
      </c>
      <c r="E302" s="3260">
        <v>0.15</v>
      </c>
      <c r="F302" s="3260">
        <v>0.14699999999999999</v>
      </c>
      <c r="G302" s="3261">
        <v>0.15</v>
      </c>
    </row>
    <row r="303" spans="1:7">
      <c r="A303" s="3270" t="s">
        <v>306</v>
      </c>
      <c r="B303" s="3259" t="s">
        <v>2948</v>
      </c>
      <c r="C303" s="3260">
        <v>0.15</v>
      </c>
      <c r="D303" s="3260">
        <v>0.15</v>
      </c>
      <c r="E303" s="3260">
        <v>0.15</v>
      </c>
      <c r="F303" s="3260">
        <v>0.14199999999999999</v>
      </c>
      <c r="G303" s="3261">
        <v>0.15</v>
      </c>
    </row>
    <row r="304" spans="1:7">
      <c r="A304" s="3270" t="s">
        <v>306</v>
      </c>
      <c r="B304" s="3259" t="s">
        <v>2955</v>
      </c>
      <c r="C304" s="3260">
        <v>0.15</v>
      </c>
      <c r="D304" s="3260">
        <v>0.15</v>
      </c>
      <c r="E304" s="3260">
        <v>0.15</v>
      </c>
      <c r="F304" s="3260">
        <v>0.14499999999999999</v>
      </c>
      <c r="G304" s="3261">
        <v>0.15</v>
      </c>
    </row>
    <row r="305" spans="1:7">
      <c r="A305" s="3270" t="s">
        <v>306</v>
      </c>
      <c r="B305" s="3259" t="s">
        <v>2961</v>
      </c>
      <c r="C305" s="3260">
        <v>0.15</v>
      </c>
      <c r="D305" s="3260">
        <v>0.15</v>
      </c>
      <c r="E305" s="3260">
        <v>0.15</v>
      </c>
      <c r="F305" s="3260">
        <v>0.111</v>
      </c>
      <c r="G305" s="3261">
        <v>0.15</v>
      </c>
    </row>
    <row r="306" spans="1:7">
      <c r="A306" s="3270" t="s">
        <v>306</v>
      </c>
      <c r="B306" s="3259" t="s">
        <v>2968</v>
      </c>
      <c r="C306" s="3260">
        <v>0.15</v>
      </c>
      <c r="D306" s="3260">
        <v>0.15</v>
      </c>
      <c r="E306" s="3260">
        <v>0.15</v>
      </c>
      <c r="F306" s="3260">
        <v>0.126</v>
      </c>
      <c r="G306" s="3261">
        <v>0.15</v>
      </c>
    </row>
    <row r="307" spans="1:7">
      <c r="A307" s="3270" t="s">
        <v>306</v>
      </c>
      <c r="B307" s="3259" t="s">
        <v>2973</v>
      </c>
      <c r="C307" s="3260">
        <v>0.15</v>
      </c>
      <c r="D307" s="3260">
        <v>0.15</v>
      </c>
      <c r="E307" s="3260">
        <v>0.15</v>
      </c>
      <c r="F307" s="3260">
        <v>0.12</v>
      </c>
      <c r="G307" s="3261">
        <v>0.15</v>
      </c>
    </row>
    <row r="308" spans="1:7">
      <c r="A308" s="3270" t="s">
        <v>306</v>
      </c>
      <c r="B308" s="3259" t="s">
        <v>2979</v>
      </c>
      <c r="C308" s="3260">
        <v>0.15</v>
      </c>
      <c r="D308" s="3260">
        <v>0.15</v>
      </c>
      <c r="E308" s="3260">
        <v>0.15</v>
      </c>
      <c r="F308" s="3260">
        <v>0.13</v>
      </c>
      <c r="G308" s="3261">
        <v>0.15</v>
      </c>
    </row>
    <row r="309" spans="1:7">
      <c r="A309" s="3270" t="s">
        <v>306</v>
      </c>
      <c r="B309" s="3259" t="s">
        <v>2983</v>
      </c>
      <c r="C309" s="3260">
        <v>0.15</v>
      </c>
      <c r="D309" s="3260">
        <v>0.15</v>
      </c>
      <c r="E309" s="3260">
        <v>0.15</v>
      </c>
      <c r="F309" s="3260">
        <v>0.14099999999999999</v>
      </c>
      <c r="G309" s="3261">
        <v>0.15</v>
      </c>
    </row>
    <row r="310" spans="1:7">
      <c r="A310" s="3270" t="s">
        <v>306</v>
      </c>
      <c r="B310" s="3259" t="s">
        <v>2988</v>
      </c>
      <c r="C310" s="3260">
        <v>0.15</v>
      </c>
      <c r="D310" s="3260">
        <v>0.15</v>
      </c>
      <c r="E310" s="3260">
        <v>0.15</v>
      </c>
      <c r="F310" s="3260">
        <v>0.15</v>
      </c>
      <c r="G310" s="3261">
        <v>0.15</v>
      </c>
    </row>
    <row r="311" spans="1:7">
      <c r="A311" s="3270" t="s">
        <v>306</v>
      </c>
      <c r="B311" s="3259" t="s">
        <v>2993</v>
      </c>
      <c r="C311" s="3260">
        <v>0.13200000000000001</v>
      </c>
      <c r="D311" s="3260">
        <v>0.13300000000000001</v>
      </c>
      <c r="E311" s="3260">
        <v>0.14499999999999999</v>
      </c>
      <c r="F311" s="3260">
        <v>0.14199999999999999</v>
      </c>
      <c r="G311" s="3261">
        <v>0.14000000000000001</v>
      </c>
    </row>
    <row r="312" spans="1:7">
      <c r="A312" s="3270" t="s">
        <v>306</v>
      </c>
      <c r="B312" s="3259" t="s">
        <v>2998</v>
      </c>
      <c r="C312" s="3260">
        <v>0.13800000000000001</v>
      </c>
      <c r="D312" s="3260">
        <v>0.14000000000000001</v>
      </c>
      <c r="E312" s="3260">
        <v>0.14599999999999999</v>
      </c>
      <c r="F312" s="3260">
        <v>0.14899999999999999</v>
      </c>
      <c r="G312" s="3261">
        <v>0.14199999999999999</v>
      </c>
    </row>
    <row r="313" spans="1:7">
      <c r="A313" s="3270" t="s">
        <v>306</v>
      </c>
      <c r="B313" s="3259" t="s">
        <v>3003</v>
      </c>
      <c r="C313" s="3260">
        <v>0.125</v>
      </c>
      <c r="D313" s="3260">
        <v>0.127</v>
      </c>
      <c r="E313" s="3260">
        <v>0.14399999999999999</v>
      </c>
      <c r="F313" s="3260">
        <v>0.115</v>
      </c>
      <c r="G313" s="3261">
        <v>0.13600000000000001</v>
      </c>
    </row>
    <row r="314" spans="1:7">
      <c r="A314" s="3270" t="s">
        <v>306</v>
      </c>
      <c r="B314" s="3259" t="s">
        <v>3212</v>
      </c>
      <c r="C314" s="3276"/>
      <c r="D314" s="3276"/>
      <c r="E314" s="3276"/>
      <c r="F314" s="3260">
        <v>0.05</v>
      </c>
      <c r="G314" s="3277"/>
    </row>
    <row r="315" spans="1:7">
      <c r="A315" s="3270" t="s">
        <v>306</v>
      </c>
      <c r="B315" s="3259" t="s">
        <v>3213</v>
      </c>
      <c r="C315" s="3276"/>
      <c r="D315" s="3276"/>
      <c r="E315" s="3276"/>
      <c r="F315" s="3260">
        <v>0.05</v>
      </c>
      <c r="G315" s="3277"/>
    </row>
    <row r="316" spans="1:7">
      <c r="A316" s="3270" t="s">
        <v>306</v>
      </c>
      <c r="B316" s="3259" t="s">
        <v>3214</v>
      </c>
      <c r="C316" s="3271"/>
      <c r="D316" s="3271"/>
      <c r="E316" s="3271"/>
      <c r="F316" s="3260">
        <v>0.05</v>
      </c>
      <c r="G316" s="3277"/>
    </row>
    <row r="317" spans="1:7">
      <c r="A317" s="3270" t="s">
        <v>306</v>
      </c>
      <c r="B317" s="3259" t="s">
        <v>3215</v>
      </c>
      <c r="C317" s="3271"/>
      <c r="D317" s="3271"/>
      <c r="E317" s="3271"/>
      <c r="F317" s="3260">
        <v>0.05</v>
      </c>
      <c r="G317" s="3277"/>
    </row>
    <row r="318" spans="1:7">
      <c r="A318" s="3270" t="s">
        <v>306</v>
      </c>
      <c r="B318" s="3259" t="s">
        <v>3216</v>
      </c>
      <c r="C318" s="3271"/>
      <c r="D318" s="3271"/>
      <c r="E318" s="3271"/>
      <c r="F318" s="3260">
        <v>0.05</v>
      </c>
      <c r="G318" s="3277"/>
    </row>
    <row r="319" spans="1:7">
      <c r="A319" s="3270" t="s">
        <v>306</v>
      </c>
      <c r="B319" s="3259" t="s">
        <v>3217</v>
      </c>
      <c r="C319" s="3271"/>
      <c r="D319" s="3271"/>
      <c r="E319" s="3271"/>
      <c r="F319" s="3260">
        <v>0.05</v>
      </c>
      <c r="G319" s="3277"/>
    </row>
    <row r="320" spans="1:7">
      <c r="A320" s="3270" t="s">
        <v>306</v>
      </c>
      <c r="B320" s="3259" t="s">
        <v>3218</v>
      </c>
      <c r="C320" s="3271"/>
      <c r="D320" s="3271"/>
      <c r="E320" s="3271"/>
      <c r="F320" s="3260">
        <v>0.05</v>
      </c>
      <c r="G320" s="3277"/>
    </row>
    <row r="321" spans="1:7">
      <c r="A321" s="3270" t="s">
        <v>306</v>
      </c>
      <c r="B321" s="3259" t="s">
        <v>3219</v>
      </c>
      <c r="C321" s="3271"/>
      <c r="D321" s="3271"/>
      <c r="E321" s="3271"/>
      <c r="F321" s="3260">
        <v>0.05</v>
      </c>
      <c r="G321" s="3277"/>
    </row>
    <row r="322" spans="1:7">
      <c r="A322" s="3270" t="s">
        <v>306</v>
      </c>
      <c r="B322" s="3259" t="s">
        <v>3220</v>
      </c>
      <c r="C322" s="3271"/>
      <c r="D322" s="3271"/>
      <c r="E322" s="3271"/>
      <c r="F322" s="3260">
        <v>0.05</v>
      </c>
      <c r="G322" s="3277"/>
    </row>
    <row r="323" spans="1:7">
      <c r="A323" s="3270" t="s">
        <v>306</v>
      </c>
      <c r="B323" s="3259" t="s">
        <v>3221</v>
      </c>
      <c r="C323" s="3271"/>
      <c r="D323" s="3271"/>
      <c r="E323" s="3271"/>
      <c r="F323" s="3260">
        <v>0.05</v>
      </c>
      <c r="G323" s="3277"/>
    </row>
    <row r="324" spans="1:7">
      <c r="A324" s="3270" t="s">
        <v>306</v>
      </c>
      <c r="B324" s="3259" t="s">
        <v>3222</v>
      </c>
      <c r="C324" s="3271"/>
      <c r="D324" s="3271"/>
      <c r="E324" s="3271"/>
      <c r="F324" s="3260">
        <v>0.05</v>
      </c>
      <c r="G324" s="3277"/>
    </row>
    <row r="325" spans="1:7">
      <c r="A325" s="3270" t="s">
        <v>306</v>
      </c>
      <c r="B325" s="3259" t="s">
        <v>3223</v>
      </c>
      <c r="C325" s="3271"/>
      <c r="D325" s="3271"/>
      <c r="E325" s="3271"/>
      <c r="F325" s="3260">
        <v>0.05</v>
      </c>
      <c r="G325" s="3277"/>
    </row>
    <row r="326" spans="1:7" ht="14.25" thickBot="1">
      <c r="A326" s="3273" t="s">
        <v>306</v>
      </c>
      <c r="B326" s="3263" t="s">
        <v>3224</v>
      </c>
      <c r="C326" s="3265"/>
      <c r="D326" s="3265"/>
      <c r="E326" s="3265"/>
      <c r="F326" s="3264">
        <v>0.05</v>
      </c>
      <c r="G326" s="3278"/>
    </row>
    <row r="327" spans="1:7">
      <c r="A327" s="3269" t="s">
        <v>307</v>
      </c>
      <c r="B327" s="3255" t="s">
        <v>2856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2868</v>
      </c>
      <c r="C329" s="3260">
        <v>0.15</v>
      </c>
      <c r="D329" s="3260">
        <v>0.15</v>
      </c>
      <c r="E329" s="3260">
        <v>0.15</v>
      </c>
      <c r="F329" s="3260">
        <v>0.15</v>
      </c>
      <c r="G329" s="3261">
        <v>0.15</v>
      </c>
    </row>
    <row r="330" spans="1:7">
      <c r="A330" s="3270" t="s">
        <v>307</v>
      </c>
      <c r="B330" s="3259" t="s">
        <v>2872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2880</v>
      </c>
      <c r="C332" s="3260">
        <v>0.15</v>
      </c>
      <c r="D332" s="3260">
        <v>0.15</v>
      </c>
      <c r="E332" s="3260">
        <v>0.15</v>
      </c>
      <c r="F332" s="3260">
        <v>0.15</v>
      </c>
      <c r="G332" s="3261">
        <v>0.15</v>
      </c>
    </row>
    <row r="333" spans="1:7">
      <c r="A333" s="3270" t="s">
        <v>307</v>
      </c>
      <c r="B333" s="3259" t="s">
        <v>2884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2890</v>
      </c>
      <c r="C336" s="3260">
        <v>0.15</v>
      </c>
      <c r="D336" s="3260">
        <v>0.15</v>
      </c>
      <c r="E336" s="3260">
        <v>0.15</v>
      </c>
      <c r="F336" s="3260">
        <v>0.14199999999999999</v>
      </c>
      <c r="G336" s="3261">
        <v>0.15</v>
      </c>
    </row>
    <row r="337" spans="1:7">
      <c r="A337" s="3270" t="s">
        <v>307</v>
      </c>
      <c r="B337" s="3259" t="s">
        <v>2895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2915</v>
      </c>
      <c r="C345" s="3260">
        <v>0.15</v>
      </c>
      <c r="D345" s="3260">
        <v>0.15</v>
      </c>
      <c r="E345" s="3260">
        <v>0.15</v>
      </c>
      <c r="F345" s="3260">
        <v>0.13800000000000001</v>
      </c>
      <c r="G345" s="3261">
        <v>0.15</v>
      </c>
    </row>
    <row r="346" spans="1:7">
      <c r="A346" s="3270" t="s">
        <v>307</v>
      </c>
      <c r="B346" s="3259" t="s">
        <v>2917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2924</v>
      </c>
      <c r="C348" s="3260">
        <v>0.15</v>
      </c>
      <c r="D348" s="3260">
        <v>0.15</v>
      </c>
      <c r="E348" s="3260">
        <v>0.15</v>
      </c>
      <c r="F348" s="3260">
        <v>0.14399999999999999</v>
      </c>
      <c r="G348" s="3261">
        <v>0.15</v>
      </c>
    </row>
    <row r="349" spans="1:7">
      <c r="A349" s="3270" t="s">
        <v>307</v>
      </c>
      <c r="B349" s="3259" t="s">
        <v>2929</v>
      </c>
      <c r="C349" s="3260">
        <v>0.15</v>
      </c>
      <c r="D349" s="3260">
        <v>0.15</v>
      </c>
      <c r="E349" s="3260">
        <v>0.15</v>
      </c>
      <c r="F349" s="3260">
        <v>0.15</v>
      </c>
      <c r="G349" s="3261">
        <v>0.15</v>
      </c>
    </row>
    <row r="350" spans="1:7">
      <c r="A350" s="3270" t="s">
        <v>307</v>
      </c>
      <c r="B350" s="3259" t="s">
        <v>2932</v>
      </c>
      <c r="C350" s="3260">
        <v>0.15</v>
      </c>
      <c r="D350" s="3260">
        <v>0.15</v>
      </c>
      <c r="E350" s="3260">
        <v>0.15</v>
      </c>
      <c r="F350" s="3260">
        <v>0.14699999999999999</v>
      </c>
      <c r="G350" s="3261">
        <v>0.15</v>
      </c>
    </row>
    <row r="351" spans="1:7">
      <c r="A351" s="3270" t="s">
        <v>307</v>
      </c>
      <c r="B351" s="3259" t="s">
        <v>2937</v>
      </c>
      <c r="C351" s="3260">
        <v>0.15</v>
      </c>
      <c r="D351" s="3260">
        <v>0.15</v>
      </c>
      <c r="E351" s="3260">
        <v>0.15</v>
      </c>
      <c r="F351" s="3260">
        <v>0.13</v>
      </c>
      <c r="G351" s="3261">
        <v>0.15</v>
      </c>
    </row>
    <row r="352" spans="1:7">
      <c r="A352" s="3270" t="s">
        <v>307</v>
      </c>
      <c r="B352" s="3259" t="s">
        <v>2942</v>
      </c>
      <c r="C352" s="3260">
        <v>0.15</v>
      </c>
      <c r="D352" s="3260">
        <v>0.15</v>
      </c>
      <c r="E352" s="3260">
        <v>0.15</v>
      </c>
      <c r="F352" s="3260">
        <v>0.14599999999999999</v>
      </c>
      <c r="G352" s="3261">
        <v>0.15</v>
      </c>
    </row>
    <row r="353" spans="1:7">
      <c r="A353" s="3270" t="s">
        <v>307</v>
      </c>
      <c r="B353" s="3259" t="s">
        <v>2949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2962</v>
      </c>
      <c r="C355" s="3260">
        <v>0.15</v>
      </c>
      <c r="D355" s="3260">
        <v>0.15</v>
      </c>
      <c r="E355" s="3260">
        <v>0.15</v>
      </c>
      <c r="F355" s="3260">
        <v>0.15</v>
      </c>
      <c r="G355" s="3261">
        <v>0.15</v>
      </c>
    </row>
    <row r="356" spans="1:7">
      <c r="A356" s="3270" t="s">
        <v>307</v>
      </c>
      <c r="B356" s="3259" t="s">
        <v>2969</v>
      </c>
      <c r="C356" s="3260">
        <v>0.15</v>
      </c>
      <c r="D356" s="3260">
        <v>0.15</v>
      </c>
      <c r="E356" s="3260">
        <v>0.15</v>
      </c>
      <c r="F356" s="3260">
        <v>0.15</v>
      </c>
      <c r="G356" s="3261">
        <v>0.15</v>
      </c>
    </row>
    <row r="357" spans="1:7" ht="14.25" thickBot="1">
      <c r="A357" s="3273" t="s">
        <v>307</v>
      </c>
      <c r="B357" s="3263" t="s">
        <v>2974</v>
      </c>
      <c r="C357" s="3264">
        <v>0.126</v>
      </c>
      <c r="D357" s="3264">
        <v>0.127</v>
      </c>
      <c r="E357" s="3264">
        <v>0.14299999999999999</v>
      </c>
      <c r="F357" s="3264">
        <v>0.125</v>
      </c>
      <c r="G357" s="3266">
        <v>0.129</v>
      </c>
    </row>
    <row r="358" spans="1:7">
      <c r="A358" s="3269" t="s">
        <v>2843</v>
      </c>
      <c r="B358" s="3255" t="s">
        <v>2857</v>
      </c>
      <c r="C358" s="3256">
        <v>0.15</v>
      </c>
      <c r="D358" s="3256">
        <v>0.15</v>
      </c>
      <c r="E358" s="3256">
        <v>0.15</v>
      </c>
      <c r="F358" s="3256">
        <v>0.15</v>
      </c>
      <c r="G358" s="3257">
        <v>0.15</v>
      </c>
    </row>
    <row r="359" spans="1:7">
      <c r="A359" s="3270" t="s">
        <v>2843</v>
      </c>
      <c r="B359" s="3259" t="s">
        <v>2863</v>
      </c>
      <c r="C359" s="3260">
        <v>0.1</v>
      </c>
      <c r="D359" s="3260">
        <v>0.1</v>
      </c>
      <c r="E359" s="3260">
        <v>0.1</v>
      </c>
      <c r="F359" s="3260">
        <v>0.1</v>
      </c>
      <c r="G359" s="3261">
        <v>0.1</v>
      </c>
    </row>
    <row r="360" spans="1:7">
      <c r="A360" s="3270" t="s">
        <v>2843</v>
      </c>
      <c r="B360" s="3259" t="s">
        <v>2869</v>
      </c>
      <c r="C360" s="3260">
        <v>0.15</v>
      </c>
      <c r="D360" s="3260">
        <v>0.15</v>
      </c>
      <c r="E360" s="3260">
        <v>0.15</v>
      </c>
      <c r="F360" s="3260">
        <v>0.14899999999999999</v>
      </c>
      <c r="G360" s="3261">
        <v>0.15</v>
      </c>
    </row>
    <row r="361" spans="1:7">
      <c r="A361" s="3270" t="s">
        <v>2843</v>
      </c>
      <c r="B361" s="3259" t="s">
        <v>153</v>
      </c>
      <c r="C361" s="3260">
        <v>0.15</v>
      </c>
      <c r="D361" s="3260">
        <v>0.15</v>
      </c>
      <c r="E361" s="3260">
        <v>0.15</v>
      </c>
      <c r="F361" s="3260">
        <v>0.115</v>
      </c>
      <c r="G361" s="3261">
        <v>0.15</v>
      </c>
    </row>
    <row r="362" spans="1:7">
      <c r="A362" s="3270" t="s">
        <v>2843</v>
      </c>
      <c r="B362" s="3259" t="s">
        <v>2876</v>
      </c>
      <c r="C362" s="3260">
        <v>0.15</v>
      </c>
      <c r="D362" s="3260">
        <v>0.15</v>
      </c>
      <c r="E362" s="3260">
        <v>0.15</v>
      </c>
      <c r="F362" s="3260">
        <v>0.106</v>
      </c>
      <c r="G362" s="3261">
        <v>0.15</v>
      </c>
    </row>
    <row r="363" spans="1:7">
      <c r="A363" s="3270" t="s">
        <v>2843</v>
      </c>
      <c r="B363" s="3259" t="s">
        <v>2881</v>
      </c>
      <c r="C363" s="3260">
        <v>0.15</v>
      </c>
      <c r="D363" s="3260">
        <v>0.15</v>
      </c>
      <c r="E363" s="3260">
        <v>0.15</v>
      </c>
      <c r="F363" s="3260">
        <v>0.14699999999999999</v>
      </c>
      <c r="G363" s="3261">
        <v>0.15</v>
      </c>
    </row>
    <row r="364" spans="1:7">
      <c r="A364" s="3270" t="s">
        <v>2843</v>
      </c>
      <c r="B364" s="3259" t="s">
        <v>2885</v>
      </c>
      <c r="C364" s="3260">
        <v>0.15</v>
      </c>
      <c r="D364" s="3260">
        <v>0.15</v>
      </c>
      <c r="E364" s="3260">
        <v>0.15</v>
      </c>
      <c r="F364" s="3260">
        <v>0.14799999999999999</v>
      </c>
      <c r="G364" s="3261">
        <v>0.15</v>
      </c>
    </row>
    <row r="365" spans="1:7">
      <c r="A365" s="3270" t="s">
        <v>2843</v>
      </c>
      <c r="B365" s="3259" t="s">
        <v>200</v>
      </c>
      <c r="C365" s="3260">
        <v>0.15</v>
      </c>
      <c r="D365" s="3260">
        <v>0.15</v>
      </c>
      <c r="E365" s="3260">
        <v>0.15</v>
      </c>
      <c r="F365" s="3260">
        <v>0.15</v>
      </c>
      <c r="G365" s="3261">
        <v>0.15</v>
      </c>
    </row>
    <row r="366" spans="1:7">
      <c r="A366" s="3270" t="s">
        <v>2843</v>
      </c>
      <c r="B366" s="3259" t="s">
        <v>2888</v>
      </c>
      <c r="C366" s="3260">
        <v>0.15</v>
      </c>
      <c r="D366" s="3260">
        <v>0.15</v>
      </c>
      <c r="E366" s="3260">
        <v>0.15</v>
      </c>
      <c r="F366" s="3260">
        <v>0.15</v>
      </c>
      <c r="G366" s="3261">
        <v>0.15</v>
      </c>
    </row>
    <row r="367" spans="1:7">
      <c r="A367" s="3270" t="s">
        <v>2843</v>
      </c>
      <c r="B367" s="3259" t="s">
        <v>2891</v>
      </c>
      <c r="C367" s="3260">
        <v>0.15</v>
      </c>
      <c r="D367" s="3260">
        <v>0.15</v>
      </c>
      <c r="E367" s="3260">
        <v>0.15</v>
      </c>
      <c r="F367" s="3260">
        <v>0.14699999999999999</v>
      </c>
      <c r="G367" s="3261">
        <v>0.15</v>
      </c>
    </row>
    <row r="368" spans="1:7">
      <c r="A368" s="3270" t="s">
        <v>2843</v>
      </c>
      <c r="B368" s="3259" t="s">
        <v>2896</v>
      </c>
      <c r="C368" s="3260">
        <v>0.15</v>
      </c>
      <c r="D368" s="3260">
        <v>0.15</v>
      </c>
      <c r="E368" s="3260">
        <v>0.15</v>
      </c>
      <c r="F368" s="3260">
        <v>0.13600000000000001</v>
      </c>
      <c r="G368" s="3261">
        <v>0.15</v>
      </c>
    </row>
    <row r="369" spans="1:7">
      <c r="A369" s="3270" t="s">
        <v>2843</v>
      </c>
      <c r="B369" s="3259" t="s">
        <v>214</v>
      </c>
      <c r="C369" s="3260">
        <v>0.15</v>
      </c>
      <c r="D369" s="3260">
        <v>0.15</v>
      </c>
      <c r="E369" s="3260">
        <v>0.15</v>
      </c>
      <c r="F369" s="3260">
        <v>0.14399999999999999</v>
      </c>
      <c r="G369" s="3261">
        <v>0.15</v>
      </c>
    </row>
    <row r="370" spans="1:7">
      <c r="A370" s="3270" t="s">
        <v>2843</v>
      </c>
      <c r="B370" s="3259" t="s">
        <v>221</v>
      </c>
      <c r="C370" s="3260">
        <v>0.15</v>
      </c>
      <c r="D370" s="3260">
        <v>0.15</v>
      </c>
      <c r="E370" s="3260">
        <v>0.15</v>
      </c>
      <c r="F370" s="3260">
        <v>0.14599999999999999</v>
      </c>
      <c r="G370" s="3261">
        <v>0.15</v>
      </c>
    </row>
    <row r="371" spans="1:7">
      <c r="A371" s="3270" t="s">
        <v>2843</v>
      </c>
      <c r="B371" s="3259" t="s">
        <v>229</v>
      </c>
      <c r="C371" s="3260">
        <v>0.15</v>
      </c>
      <c r="D371" s="3260">
        <v>0.15</v>
      </c>
      <c r="E371" s="3260">
        <v>0.15</v>
      </c>
      <c r="F371" s="3260">
        <v>0.12</v>
      </c>
      <c r="G371" s="3261">
        <v>0.15</v>
      </c>
    </row>
    <row r="372" spans="1:7">
      <c r="A372" s="3270" t="s">
        <v>2843</v>
      </c>
      <c r="B372" s="3259" t="s">
        <v>2904</v>
      </c>
      <c r="C372" s="3260">
        <v>0.15</v>
      </c>
      <c r="D372" s="3260">
        <v>0.15</v>
      </c>
      <c r="E372" s="3260">
        <v>0.15</v>
      </c>
      <c r="F372" s="3260">
        <v>0.14299999999999999</v>
      </c>
      <c r="G372" s="3261">
        <v>0.15</v>
      </c>
    </row>
    <row r="373" spans="1:7">
      <c r="A373" s="3270" t="s">
        <v>2843</v>
      </c>
      <c r="B373" s="3259" t="s">
        <v>258</v>
      </c>
      <c r="C373" s="3260">
        <v>0.15</v>
      </c>
      <c r="D373" s="3260">
        <v>0.15</v>
      </c>
      <c r="E373" s="3260">
        <v>0.15</v>
      </c>
      <c r="F373" s="3260">
        <v>0.14599999999999999</v>
      </c>
      <c r="G373" s="3261">
        <v>0.15</v>
      </c>
    </row>
    <row r="374" spans="1:7">
      <c r="A374" s="3270" t="s">
        <v>2843</v>
      </c>
      <c r="B374" s="3259" t="s">
        <v>266</v>
      </c>
      <c r="C374" s="3260">
        <v>0.15</v>
      </c>
      <c r="D374" s="3260">
        <v>0.15</v>
      </c>
      <c r="E374" s="3260">
        <v>0.15</v>
      </c>
      <c r="F374" s="3260">
        <v>0.14399999999999999</v>
      </c>
      <c r="G374" s="3261">
        <v>0.15</v>
      </c>
    </row>
    <row r="375" spans="1:7">
      <c r="A375" s="3270" t="s">
        <v>2843</v>
      </c>
      <c r="B375" s="3259" t="s">
        <v>2912</v>
      </c>
      <c r="C375" s="3260">
        <v>0.15</v>
      </c>
      <c r="D375" s="3260">
        <v>0.15</v>
      </c>
      <c r="E375" s="3260">
        <v>0.15</v>
      </c>
      <c r="F375" s="3260">
        <v>0.13</v>
      </c>
      <c r="G375" s="3261">
        <v>0.15</v>
      </c>
    </row>
    <row r="376" spans="1:7">
      <c r="A376" s="3270" t="s">
        <v>2843</v>
      </c>
      <c r="B376" s="3259" t="s">
        <v>277</v>
      </c>
      <c r="C376" s="3260">
        <v>0.15</v>
      </c>
      <c r="D376" s="3260">
        <v>0.15</v>
      </c>
      <c r="E376" s="3260">
        <v>0.15</v>
      </c>
      <c r="F376" s="3260">
        <v>0.14199999999999999</v>
      </c>
      <c r="G376" s="3261">
        <v>0.15</v>
      </c>
    </row>
    <row r="377" spans="1:7" ht="14.25" thickBot="1">
      <c r="A377" s="3273" t="s">
        <v>2843</v>
      </c>
      <c r="B377" s="3263" t="s">
        <v>2918</v>
      </c>
      <c r="C377" s="3264">
        <v>0.15</v>
      </c>
      <c r="D377" s="3264">
        <v>0.15</v>
      </c>
      <c r="E377" s="3264">
        <v>0.15</v>
      </c>
      <c r="F377" s="3264">
        <v>0.14000000000000001</v>
      </c>
      <c r="G377" s="3266">
        <v>0.15</v>
      </c>
    </row>
    <row r="378" spans="1:7">
      <c r="A378" s="3269" t="s">
        <v>2844</v>
      </c>
      <c r="B378" s="3255" t="s">
        <v>2858</v>
      </c>
      <c r="C378" s="3256">
        <v>0.15</v>
      </c>
      <c r="D378" s="3256">
        <v>0.15</v>
      </c>
      <c r="E378" s="3256">
        <v>0.15</v>
      </c>
      <c r="F378" s="3256">
        <v>0.107</v>
      </c>
      <c r="G378" s="3257">
        <v>0.15</v>
      </c>
    </row>
    <row r="379" spans="1:7">
      <c r="A379" s="3270" t="s">
        <v>2844</v>
      </c>
      <c r="B379" s="3259" t="s">
        <v>2864</v>
      </c>
      <c r="C379" s="3260">
        <v>0.15</v>
      </c>
      <c r="D379" s="3260">
        <v>0.15</v>
      </c>
      <c r="E379" s="3260">
        <v>0.15</v>
      </c>
      <c r="F379" s="3260">
        <v>0.115</v>
      </c>
      <c r="G379" s="3261">
        <v>0.14899999999999999</v>
      </c>
    </row>
    <row r="380" spans="1:7">
      <c r="A380" s="3270" t="s">
        <v>2844</v>
      </c>
      <c r="B380" s="3259" t="s">
        <v>2870</v>
      </c>
      <c r="C380" s="3260">
        <v>0.15</v>
      </c>
      <c r="D380" s="3260">
        <v>0.15</v>
      </c>
      <c r="E380" s="3260">
        <v>0.15</v>
      </c>
      <c r="F380" s="3260">
        <v>0.1</v>
      </c>
      <c r="G380" s="3261">
        <v>0.14799999999999999</v>
      </c>
    </row>
    <row r="381" spans="1:7">
      <c r="A381" s="3270" t="s">
        <v>2844</v>
      </c>
      <c r="B381" s="3259" t="s">
        <v>2873</v>
      </c>
      <c r="C381" s="3260">
        <v>0.15</v>
      </c>
      <c r="D381" s="3260">
        <v>0.15</v>
      </c>
      <c r="E381" s="3260">
        <v>0.15</v>
      </c>
      <c r="F381" s="3260">
        <v>0.126</v>
      </c>
      <c r="G381" s="3261">
        <v>0.15</v>
      </c>
    </row>
    <row r="382" spans="1:7">
      <c r="A382" s="3270" t="s">
        <v>2844</v>
      </c>
      <c r="B382" s="3259" t="s">
        <v>2877</v>
      </c>
      <c r="C382" s="3260">
        <v>0.15</v>
      </c>
      <c r="D382" s="3260">
        <v>0.15</v>
      </c>
      <c r="E382" s="3260">
        <v>0.15</v>
      </c>
      <c r="F382" s="3260">
        <v>0.15</v>
      </c>
      <c r="G382" s="3261">
        <v>0.15</v>
      </c>
    </row>
    <row r="383" spans="1:7">
      <c r="A383" s="3270" t="s">
        <v>2844</v>
      </c>
      <c r="B383" s="3259" t="s">
        <v>2882</v>
      </c>
      <c r="C383" s="3260">
        <v>0.15</v>
      </c>
      <c r="D383" s="3260">
        <v>0.15</v>
      </c>
      <c r="E383" s="3260">
        <v>0.15</v>
      </c>
      <c r="F383" s="3260">
        <v>0.14699999999999999</v>
      </c>
      <c r="G383" s="3261">
        <v>0.15</v>
      </c>
    </row>
    <row r="384" spans="1:7" ht="14.25" thickBot="1">
      <c r="A384" s="3280" t="s">
        <v>2844</v>
      </c>
      <c r="B384" s="3281" t="s">
        <v>2886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3" t="s">
        <v>3225</v>
      </c>
      <c r="B1" s="3823"/>
      <c r="C1" s="3823"/>
      <c r="D1" s="3823"/>
      <c r="E1" s="3823"/>
      <c r="F1" s="3824"/>
    </row>
    <row r="2" spans="1:6">
      <c r="A2" s="3286" t="s">
        <v>3226</v>
      </c>
      <c r="B2" s="3287"/>
      <c r="C2" s="3287"/>
      <c r="D2" s="3287"/>
      <c r="E2" s="3287"/>
      <c r="F2" s="3287"/>
    </row>
    <row r="3" spans="1:6">
      <c r="A3" s="3286" t="s">
        <v>3227</v>
      </c>
      <c r="B3" s="3287"/>
      <c r="C3" s="3287"/>
      <c r="D3" s="3287"/>
      <c r="E3" s="3287"/>
      <c r="F3" s="3288" t="s">
        <v>3228</v>
      </c>
    </row>
    <row r="4" spans="1:6">
      <c r="A4" s="3289" t="s">
        <v>672</v>
      </c>
      <c r="B4" s="3289" t="s">
        <v>673</v>
      </c>
      <c r="C4" s="3289" t="s">
        <v>21</v>
      </c>
      <c r="D4" s="3289" t="s">
        <v>674</v>
      </c>
      <c r="E4" s="3289" t="s">
        <v>3</v>
      </c>
      <c r="F4" s="3289" t="s">
        <v>3229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topLeftCell="A13" zoomScale="80" zoomScaleNormal="80" workbookViewId="0">
      <selection activeCell="I46" sqref="I46"/>
    </sheetView>
  </sheetViews>
  <sheetFormatPr defaultRowHeight="13.5"/>
  <cols>
    <col min="1" max="1" width="13.875" customWidth="1"/>
    <col min="11" max="17" width="0" hidden="1" customWidth="1"/>
    <col min="25" max="30" width="0" hidden="1" customWidth="1"/>
  </cols>
  <sheetData>
    <row r="1" spans="1:30">
      <c r="A1" s="3216">
        <f>基准地价修正!G23</f>
        <v>45565</v>
      </c>
      <c r="B1" s="3205" t="s">
        <v>3363</v>
      </c>
      <c r="C1" s="3206"/>
      <c r="D1" s="3206"/>
      <c r="E1" s="3206"/>
      <c r="F1" s="3206"/>
      <c r="G1" s="3206"/>
      <c r="H1" s="3206"/>
      <c r="I1" s="3206"/>
      <c r="J1" s="3160"/>
      <c r="K1" s="3206" t="s">
        <v>454</v>
      </c>
      <c r="L1" s="3206"/>
      <c r="M1" s="3206"/>
      <c r="N1" s="3206"/>
      <c r="O1" s="3206"/>
      <c r="P1" s="3206"/>
      <c r="Q1" s="3160"/>
      <c r="R1" s="3825" t="s">
        <v>456</v>
      </c>
      <c r="S1" s="3826"/>
      <c r="T1" s="3826"/>
      <c r="U1" s="3826"/>
      <c r="V1" s="3826"/>
      <c r="W1" s="3826"/>
      <c r="X1" s="3160"/>
      <c r="Y1" s="3825" t="s">
        <v>457</v>
      </c>
      <c r="Z1" s="3826"/>
      <c r="AA1" s="3826"/>
      <c r="AB1" s="3826"/>
      <c r="AC1" s="3826"/>
      <c r="AD1" s="3826"/>
    </row>
    <row r="2" spans="1:30" s="3138" customFormat="1" ht="14.25" thickBot="1">
      <c r="B2" s="3139"/>
      <c r="C2" s="3140"/>
      <c r="D2" s="3141" t="s">
        <v>2803</v>
      </c>
      <c r="E2" s="3142" t="s">
        <v>2804</v>
      </c>
      <c r="F2" s="3142" t="s">
        <v>2805</v>
      </c>
      <c r="G2" s="3142" t="s">
        <v>2806</v>
      </c>
      <c r="H2" s="3142" t="s">
        <v>2807</v>
      </c>
      <c r="I2" s="3142" t="s">
        <v>2624</v>
      </c>
      <c r="J2" s="3143"/>
      <c r="K2" s="3141" t="s">
        <v>2803</v>
      </c>
      <c r="L2" s="3142" t="s">
        <v>2804</v>
      </c>
      <c r="M2" s="3142" t="s">
        <v>2805</v>
      </c>
      <c r="N2" s="3142" t="s">
        <v>2806</v>
      </c>
      <c r="O2" s="3142" t="s">
        <v>2808</v>
      </c>
      <c r="P2" s="3142" t="s">
        <v>2624</v>
      </c>
      <c r="Q2" s="3143"/>
      <c r="R2" s="3141" t="s">
        <v>2803</v>
      </c>
      <c r="S2" s="3142" t="s">
        <v>2804</v>
      </c>
      <c r="T2" s="3142" t="s">
        <v>2805</v>
      </c>
      <c r="U2" s="3142" t="s">
        <v>2809</v>
      </c>
      <c r="V2" s="3142" t="s">
        <v>2810</v>
      </c>
      <c r="W2" s="3142" t="s">
        <v>2624</v>
      </c>
      <c r="X2" s="3143"/>
      <c r="Y2" s="3141" t="s">
        <v>2803</v>
      </c>
      <c r="Z2" s="3142" t="s">
        <v>2804</v>
      </c>
      <c r="AA2" s="3142" t="s">
        <v>2805</v>
      </c>
      <c r="AB2" s="3142" t="s">
        <v>2811</v>
      </c>
      <c r="AC2" s="3142" t="s">
        <v>2810</v>
      </c>
      <c r="AD2" s="3142" t="s">
        <v>2624</v>
      </c>
    </row>
    <row r="3" spans="1:30" s="3156" customFormat="1" ht="12.75">
      <c r="A3" s="3144" t="s">
        <v>2812</v>
      </c>
      <c r="B3" s="3145"/>
      <c r="C3" s="3146"/>
      <c r="D3" s="3146">
        <f>ROUND(AVERAGEIF(D4:D19,"&lt;&gt;0"),2)</f>
        <v>0.59</v>
      </c>
      <c r="E3" s="3146">
        <f t="shared" ref="E3:H3" si="0">ROUND(AVERAGEIF(E4:E19,"&lt;&gt;0"),2)</f>
        <v>0.36</v>
      </c>
      <c r="F3" s="3146">
        <f t="shared" si="0"/>
        <v>0.06</v>
      </c>
      <c r="G3" s="3146">
        <f t="shared" si="0"/>
        <v>0.6</v>
      </c>
      <c r="H3" s="3146">
        <f t="shared" si="0"/>
        <v>0.6</v>
      </c>
      <c r="I3" s="3146">
        <f>F3</f>
        <v>0.06</v>
      </c>
      <c r="J3" s="3147"/>
      <c r="K3" s="3148">
        <f>ROUND(AVERAGEIF(K4:K19,"&lt;&gt;0"),4)</f>
        <v>5.8999999999999999E-3</v>
      </c>
      <c r="L3" s="3149">
        <f t="shared" ref="L3:O3" si="1">ROUND(AVERAGEIF(L4:L19,"&lt;&gt;0"),4)</f>
        <v>3.5999999999999999E-3</v>
      </c>
      <c r="M3" s="3149">
        <f t="shared" si="1"/>
        <v>5.9999999999999995E-4</v>
      </c>
      <c r="N3" s="3149">
        <f t="shared" si="1"/>
        <v>6.0000000000000001E-3</v>
      </c>
      <c r="O3" s="3149">
        <f t="shared" si="1"/>
        <v>6.0000000000000001E-3</v>
      </c>
      <c r="P3" s="3149">
        <f>M3</f>
        <v>5.9999999999999995E-4</v>
      </c>
      <c r="Q3" s="3147"/>
      <c r="R3" s="3150">
        <f>ROUND(SUMPRODUCT(PRODUCT(1+K4:K19)),4)</f>
        <v>1.0852999999999999</v>
      </c>
      <c r="S3" s="3151">
        <f t="shared" ref="S3:V3" si="2">ROUND(SUMPRODUCT(PRODUCT(1+L4:L19)),4)</f>
        <v>1.0513999999999999</v>
      </c>
      <c r="T3" s="3151">
        <f t="shared" si="2"/>
        <v>1.0083</v>
      </c>
      <c r="U3" s="3151">
        <f t="shared" si="2"/>
        <v>1.0871999999999999</v>
      </c>
      <c r="V3" s="3151">
        <f t="shared" si="2"/>
        <v>1.0880000000000001</v>
      </c>
      <c r="W3" s="3150">
        <f>T3</f>
        <v>1.0083</v>
      </c>
      <c r="X3" s="3147"/>
      <c r="Y3" s="3152">
        <f>ROUND(AVERAGEIF(Y6:Y19,"&lt;&gt;0"),4)</f>
        <v>8.3999999999999995E-3</v>
      </c>
      <c r="Z3" s="3153">
        <f t="shared" ref="Z3:AC3" si="3">ROUND(AVERAGEIF(Z6:Z19,"&lt;&gt;0"),4)</f>
        <v>3.5000000000000001E-3</v>
      </c>
      <c r="AA3" s="3154">
        <f t="shared" si="3"/>
        <v>8.0000000000000004E-4</v>
      </c>
      <c r="AB3" s="3152">
        <f t="shared" si="3"/>
        <v>9.1000000000000004E-3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3369</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1.0748</v>
      </c>
      <c r="S5" s="3178">
        <f>ROUND(IF(项目基本情况!$B$8="出让",SUMPRODUCT(PRODUCT(1+L5:$L$19)),SUMPRODUCT(PRODUCT(1+L5:$L$18))),4)</f>
        <v>1.0498000000000001</v>
      </c>
      <c r="T5" s="3178">
        <f>ROUND(IF(项目基本情况!$B$8="出让",SUMPRODUCT(PRODUCT(1+M5:$M$19)),SUMPRODUCT(PRODUCT(1+M5:$M$18))),4)</f>
        <v>1.0107999999999999</v>
      </c>
      <c r="U5" s="3178">
        <f>ROUND(IF(项目基本情况!$B$8="出让",SUMPRODUCT(PRODUCT(1+N5:$N$19)),SUMPRODUCT(PRODUCT(1+N5:$N$18))),4)</f>
        <v>1.0752999999999999</v>
      </c>
      <c r="V5" s="3178">
        <f>ROUND(IF(项目基本情况!$B$8="出让",SUMPRODUCT(PRODUCT(1+O5:$O$19)),SUMPRODUCT(PRODUCT(1+O5:$O$18))),4)</f>
        <v>1.0841000000000001</v>
      </c>
      <c r="W5" s="3178">
        <f>T5</f>
        <v>1.0107999999999999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90" customFormat="1" ht="12.75">
      <c r="A6" s="3181" t="s">
        <v>3370</v>
      </c>
      <c r="B6" s="3182">
        <v>2024</v>
      </c>
      <c r="C6" s="3183">
        <v>2</v>
      </c>
      <c r="D6" s="3184">
        <v>-0.59</v>
      </c>
      <c r="E6" s="3184">
        <v>-0.21</v>
      </c>
      <c r="F6" s="3184">
        <v>-1.38</v>
      </c>
      <c r="G6" s="3184">
        <v>-1.24</v>
      </c>
      <c r="H6" s="3185">
        <v>0.34</v>
      </c>
      <c r="I6" s="3186">
        <f t="shared" ref="I6:I19" si="15">F6</f>
        <v>-1.38</v>
      </c>
      <c r="J6" s="3187"/>
      <c r="K6" s="3188">
        <f t="shared" ref="K6:O19" si="16">D6/100</f>
        <v>-5.8999999999999999E-3</v>
      </c>
      <c r="L6" s="3189">
        <f t="shared" si="16"/>
        <v>-2.0999999999999999E-3</v>
      </c>
      <c r="M6" s="3189">
        <f t="shared" si="16"/>
        <v>-1.38E-2</v>
      </c>
      <c r="N6" s="3189">
        <f t="shared" si="16"/>
        <v>-1.24E-2</v>
      </c>
      <c r="O6" s="3189">
        <f t="shared" si="16"/>
        <v>3.4000000000000002E-3</v>
      </c>
      <c r="P6" s="3189">
        <f>M6</f>
        <v>-1.38E-2</v>
      </c>
      <c r="Q6" s="3187"/>
      <c r="R6" s="3187">
        <f>ROUND(IF(项目基本情况!$B$8="出让",SUMPRODUCT(PRODUCT(1+K6:$K$19)),SUMPRODUCT(PRODUCT(1+K6:$K$18))),4)</f>
        <v>1.0748</v>
      </c>
      <c r="S6" s="3187">
        <f>ROUND(IF(项目基本情况!$B$8="出让",SUMPRODUCT(PRODUCT(1+L6:$L$19)),SUMPRODUCT(PRODUCT(1+L6:$L$18))),4)</f>
        <v>1.0498000000000001</v>
      </c>
      <c r="T6" s="3187">
        <f>ROUND(IF(项目基本情况!$B$8="出让",SUMPRODUCT(PRODUCT(1+M6:$M$19)),SUMPRODUCT(PRODUCT(1+M6:$M$18))),4)</f>
        <v>1.0107999999999999</v>
      </c>
      <c r="U6" s="3187">
        <f>ROUND(IF(项目基本情况!$B$8="出让",SUMPRODUCT(PRODUCT(1+N6:$N$19)),SUMPRODUCT(PRODUCT(1+N6:$N$18))),4)</f>
        <v>1.0752999999999999</v>
      </c>
      <c r="V6" s="3187">
        <f>ROUND(IF(项目基本情况!$B$8="出让",SUMPRODUCT(PRODUCT(1+O6:$O$19)),SUMPRODUCT(PRODUCT(1+O6:$O$18))),4)</f>
        <v>1.0841000000000001</v>
      </c>
      <c r="W6" s="3187">
        <f>T6</f>
        <v>1.0107999999999999</v>
      </c>
      <c r="X6" s="3187"/>
      <c r="Y6" s="3189">
        <f>IF(D6=0,0,ROUND(AVERAGE(D6:D19)/100,4))</f>
        <v>5.8999999999999999E-3</v>
      </c>
      <c r="Z6" s="3189">
        <f t="shared" ref="Z6:AC6" si="17">IF(E6=0,0,ROUND(AVERAGE(E6:E19)/100,4))</f>
        <v>3.5999999999999999E-3</v>
      </c>
      <c r="AA6" s="3189">
        <f t="shared" si="17"/>
        <v>5.9999999999999995E-4</v>
      </c>
      <c r="AB6" s="3189">
        <f t="shared" si="17"/>
        <v>6.0000000000000001E-3</v>
      </c>
      <c r="AC6" s="3189">
        <f t="shared" si="17"/>
        <v>6.0000000000000001E-3</v>
      </c>
      <c r="AD6" s="3189">
        <f t="shared" ref="AD6:AD18" si="18">AA6</f>
        <v>5.9999999999999995E-4</v>
      </c>
    </row>
    <row r="7" spans="1:30" s="3180" customFormat="1" ht="12.75">
      <c r="A7" s="3171" t="s">
        <v>3372</v>
      </c>
      <c r="B7" s="3172">
        <v>2024</v>
      </c>
      <c r="C7" s="3173">
        <v>1</v>
      </c>
      <c r="D7" s="3174">
        <v>0.08</v>
      </c>
      <c r="E7" s="3174">
        <v>0.46</v>
      </c>
      <c r="F7" s="3174">
        <v>-0.16</v>
      </c>
      <c r="G7" s="3174">
        <v>0.26</v>
      </c>
      <c r="H7" s="3191">
        <v>0.59</v>
      </c>
      <c r="I7" s="3175">
        <v>0</v>
      </c>
      <c r="J7" s="3176"/>
      <c r="K7" s="3177">
        <f t="shared" ref="K7" si="19">D7/100</f>
        <v>8.0000000000000004E-4</v>
      </c>
      <c r="L7" s="3167">
        <f t="shared" ref="L7" si="20">E7/100</f>
        <v>4.5999999999999999E-3</v>
      </c>
      <c r="M7" s="3167">
        <f t="shared" ref="M7" si="21">F7/100</f>
        <v>-1.6000000000000001E-3</v>
      </c>
      <c r="N7" s="3167">
        <f t="shared" ref="N7" si="22">G7/100</f>
        <v>2.5999999999999999E-3</v>
      </c>
      <c r="O7" s="3167">
        <f t="shared" ref="O7" si="23">H7/100</f>
        <v>5.8999999999999999E-3</v>
      </c>
      <c r="P7" s="3167">
        <f t="shared" ref="P7" si="24">M7</f>
        <v>-1.6000000000000001E-3</v>
      </c>
      <c r="Q7" s="3176"/>
      <c r="R7" s="3178">
        <f>ROUND(IF(项目基本情况!$B$8="出让",SUMPRODUCT(PRODUCT(1+K7:$K$19)),SUMPRODUCT(PRODUCT(1+K7:$K$18))),4)</f>
        <v>1.0811999999999999</v>
      </c>
      <c r="S7" s="3178">
        <f>ROUND(IF(项目基本情况!$B$8="出让",SUMPRODUCT(PRODUCT(1+L7:$L$19)),SUMPRODUCT(PRODUCT(1+L7:$L$18))),4)</f>
        <v>1.052</v>
      </c>
      <c r="T7" s="3178">
        <f>ROUND(IF(项目基本情况!$B$8="出让",SUMPRODUCT(PRODUCT(1+M7:$M$19)),SUMPRODUCT(PRODUCT(1+M7:$M$18))),4)</f>
        <v>1.0249999999999999</v>
      </c>
      <c r="U7" s="3178">
        <f>ROUND(IF(项目基本情况!$B$8="出让",SUMPRODUCT(PRODUCT(1+N7:$N$19)),SUMPRODUCT(PRODUCT(1+N7:$N$18))),4)</f>
        <v>1.0888</v>
      </c>
      <c r="V7" s="3178">
        <f>ROUND(IF(项目基本情况!$B$8="出让",SUMPRODUCT(PRODUCT(1+O7:$O$19)),SUMPRODUCT(PRODUCT(1+O7:$O$18))),4)</f>
        <v>1.0804</v>
      </c>
      <c r="W7" s="3178">
        <f t="shared" ref="W7" si="25">T7</f>
        <v>1.0249999999999999</v>
      </c>
      <c r="X7" s="3176"/>
      <c r="Y7" s="3179"/>
      <c r="Z7" s="3179"/>
      <c r="AA7" s="3179"/>
      <c r="AB7" s="3179"/>
      <c r="AC7" s="3179"/>
      <c r="AD7" s="3179"/>
    </row>
    <row r="8" spans="1:30" s="3180" customFormat="1" ht="12.75">
      <c r="A8" s="3171" t="s">
        <v>3367</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3366</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3362</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3361</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3360</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3356</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3347</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2813</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2814</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2815</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2816</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2817</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3" t="s">
        <v>3358</v>
      </c>
    </row>
    <row r="22" spans="1:30" s="3004" customFormat="1">
      <c r="I22" s="3203" t="s">
        <v>2818</v>
      </c>
    </row>
    <row r="23" spans="1:30" s="3004" customFormat="1"/>
    <row r="24" spans="1:30" s="3204" customFormat="1" ht="12.75">
      <c r="B24" s="3205" t="s">
        <v>3364</v>
      </c>
      <c r="C24" s="3206"/>
      <c r="D24" s="3206"/>
      <c r="E24" s="3206"/>
      <c r="F24" s="3206"/>
      <c r="G24" s="3206"/>
      <c r="H24" s="3206"/>
      <c r="I24" s="3206"/>
      <c r="J24" s="3160"/>
      <c r="K24" s="3206" t="s">
        <v>2819</v>
      </c>
      <c r="L24" s="3206"/>
      <c r="M24" s="3206"/>
      <c r="N24" s="3206"/>
      <c r="O24" s="3206"/>
      <c r="P24" s="3206"/>
      <c r="Q24" s="3160"/>
      <c r="R24" s="3825" t="s">
        <v>2820</v>
      </c>
      <c r="S24" s="3826"/>
      <c r="T24" s="3826"/>
      <c r="U24" s="3826"/>
      <c r="V24" s="3826"/>
      <c r="W24" s="3826"/>
      <c r="X24" s="3160"/>
      <c r="Y24" s="3825" t="s">
        <v>2821</v>
      </c>
      <c r="Z24" s="3826"/>
      <c r="AA24" s="3826"/>
      <c r="AB24" s="3826"/>
      <c r="AC24" s="3826"/>
      <c r="AD24" s="3826"/>
    </row>
    <row r="25" spans="1:30" s="3138" customFormat="1" ht="14.25" thickBot="1">
      <c r="B25" s="3139"/>
      <c r="C25" s="3140"/>
      <c r="D25" s="3141" t="s">
        <v>2822</v>
      </c>
      <c r="E25" s="3142" t="s">
        <v>2823</v>
      </c>
      <c r="F25" s="3142" t="s">
        <v>2824</v>
      </c>
      <c r="G25" s="3142" t="s">
        <v>2825</v>
      </c>
      <c r="H25" s="3142"/>
      <c r="I25" s="3142" t="s">
        <v>2826</v>
      </c>
      <c r="J25" s="3143"/>
      <c r="K25" s="3141" t="s">
        <v>2822</v>
      </c>
      <c r="L25" s="3142" t="s">
        <v>2823</v>
      </c>
      <c r="M25" s="3142" t="s">
        <v>2824</v>
      </c>
      <c r="N25" s="3142" t="s">
        <v>2825</v>
      </c>
      <c r="O25" s="3142"/>
      <c r="P25" s="3142" t="s">
        <v>2826</v>
      </c>
      <c r="Q25" s="3143"/>
      <c r="R25" s="3141" t="s">
        <v>2822</v>
      </c>
      <c r="S25" s="3142" t="s">
        <v>2823</v>
      </c>
      <c r="T25" s="3142" t="s">
        <v>2824</v>
      </c>
      <c r="U25" s="3142" t="s">
        <v>2825</v>
      </c>
      <c r="V25" s="3142"/>
      <c r="W25" s="3142" t="s">
        <v>2826</v>
      </c>
      <c r="X25" s="3143"/>
      <c r="Y25" s="3141" t="s">
        <v>2822</v>
      </c>
      <c r="Z25" s="3142" t="s">
        <v>2823</v>
      </c>
      <c r="AA25" s="3142" t="s">
        <v>2824</v>
      </c>
      <c r="AB25" s="3142" t="s">
        <v>2825</v>
      </c>
      <c r="AC25" s="3142"/>
      <c r="AD25" s="3142" t="s">
        <v>2826</v>
      </c>
    </row>
    <row r="26" spans="1:30" s="3156" customFormat="1" ht="12.75">
      <c r="A26" s="3144" t="s">
        <v>2827</v>
      </c>
      <c r="B26" s="3145"/>
      <c r="C26" s="3146"/>
      <c r="D26" s="3146"/>
      <c r="E26" s="3146">
        <f t="shared" ref="E26:G26" si="43">ROUND(AVERAGEIF(E27:E42,"&lt;&gt;0"),2)</f>
        <v>0.33</v>
      </c>
      <c r="F26" s="3146">
        <f t="shared" si="43"/>
        <v>0.24</v>
      </c>
      <c r="G26" s="3146">
        <f t="shared" si="43"/>
        <v>0.62</v>
      </c>
      <c r="H26" s="3146"/>
      <c r="I26" s="3146">
        <f>F26</f>
        <v>0.24</v>
      </c>
      <c r="J26" s="3147"/>
      <c r="K26" s="3148"/>
      <c r="L26" s="3149">
        <f t="shared" ref="L26:N26" si="44">ROUND(AVERAGEIF(L27:L42,"&lt;&gt;0"),4)</f>
        <v>3.3E-3</v>
      </c>
      <c r="M26" s="3149">
        <f t="shared" si="44"/>
        <v>2.3999999999999998E-3</v>
      </c>
      <c r="N26" s="3149">
        <f t="shared" si="44"/>
        <v>6.1999999999999998E-3</v>
      </c>
      <c r="O26" s="3149"/>
      <c r="P26" s="3149">
        <f>M26</f>
        <v>2.3999999999999998E-3</v>
      </c>
      <c r="Q26" s="3147"/>
      <c r="R26" s="3150"/>
      <c r="S26" s="3151">
        <f>ROUND(SUMPRODUCT(PRODUCT(1+L27:L42)),4)</f>
        <v>1.0468999999999999</v>
      </c>
      <c r="T26" s="3151">
        <f t="shared" ref="T26:U26" si="45">ROUND(SUMPRODUCT(PRODUCT(1+M27:M42)),4)</f>
        <v>1.0347</v>
      </c>
      <c r="U26" s="3151">
        <f t="shared" si="45"/>
        <v>1.0895999999999999</v>
      </c>
      <c r="V26" s="3151"/>
      <c r="W26" s="3150">
        <f>T26</f>
        <v>1.0347</v>
      </c>
      <c r="X26" s="3147"/>
      <c r="Y26" s="3152"/>
      <c r="Z26" s="3153">
        <f t="shared" ref="Z26:AB26" si="46">ROUND(AVERAGEIF(Z27:Z42,"&lt;&gt;0"),4)</f>
        <v>4.1999999999999997E-3</v>
      </c>
      <c r="AA26" s="3154">
        <f t="shared" si="46"/>
        <v>3.3999999999999998E-3</v>
      </c>
      <c r="AB26" s="3152">
        <f t="shared" si="46"/>
        <v>8.6E-3</v>
      </c>
      <c r="AC26" s="3155"/>
      <c r="AD26" s="3152">
        <f>AA26</f>
        <v>3.3999999999999998E-3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3" t="s">
        <v>3369</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1.0432999999999999</v>
      </c>
      <c r="T28" s="3178">
        <f>ROUND(IF(项目基本情况!$B$8="出让",SUMPRODUCT(PRODUCT(1+M28:M$42)),SUMPRODUCT(PRODUCT(1+M28:M$41))),4)</f>
        <v>1.0298</v>
      </c>
      <c r="U28" s="3178">
        <f>ROUND(IF(项目基本情况!$B$8="出让",SUMPRODUCT(PRODUCT(1+N28:N$42)),SUMPRODUCT(PRODUCT(1+N28:N$41))),4)</f>
        <v>1.079</v>
      </c>
      <c r="V28" s="3178"/>
      <c r="W28" s="3178">
        <f>T28</f>
        <v>1.0298</v>
      </c>
      <c r="X28" s="3176"/>
      <c r="Y28" s="3179"/>
      <c r="Z28" s="3207">
        <f t="shared" ref="Z28:AB29" si="51">IF(E28=0,0,ROUND(AVERAGE(E28:E41)/100,4))</f>
        <v>0</v>
      </c>
      <c r="AA28" s="3207">
        <f t="shared" si="51"/>
        <v>0</v>
      </c>
      <c r="AB28" s="3207">
        <f t="shared" si="51"/>
        <v>0</v>
      </c>
      <c r="AC28" s="3208"/>
      <c r="AD28" s="3179">
        <f>IF(I28=0,0,ROUND(AVERAGE(I28:I41)/100,4))</f>
        <v>0</v>
      </c>
    </row>
    <row r="29" spans="1:30" s="3190" customFormat="1" ht="12.75">
      <c r="A29" s="3181" t="s">
        <v>3370</v>
      </c>
      <c r="B29" s="3182">
        <v>2024</v>
      </c>
      <c r="C29" s="3183">
        <v>2</v>
      </c>
      <c r="D29" s="3184"/>
      <c r="E29" s="3184">
        <v>-0.31</v>
      </c>
      <c r="F29" s="3184">
        <v>-0.39</v>
      </c>
      <c r="G29" s="3184">
        <v>1.23</v>
      </c>
      <c r="H29" s="3185"/>
      <c r="I29" s="3186">
        <f t="shared" ref="I29:I42" si="52">F29</f>
        <v>-0.39</v>
      </c>
      <c r="J29" s="3187"/>
      <c r="K29" s="3188"/>
      <c r="L29" s="3189">
        <f t="shared" ref="L29:N42" si="53">E29/100</f>
        <v>-3.0999999999999999E-3</v>
      </c>
      <c r="M29" s="3189">
        <f t="shared" si="53"/>
        <v>-3.9000000000000003E-3</v>
      </c>
      <c r="N29" s="3189">
        <f t="shared" si="53"/>
        <v>1.23E-2</v>
      </c>
      <c r="O29" s="3189"/>
      <c r="P29" s="3189">
        <f>M29</f>
        <v>-3.9000000000000003E-3</v>
      </c>
      <c r="Q29" s="3187"/>
      <c r="R29" s="3187"/>
      <c r="S29" s="3187">
        <f>ROUND(IF(项目基本情况!$B$8="出让",SUMPRODUCT(PRODUCT(1+L29:L$42)),SUMPRODUCT(PRODUCT(1+L29:L$41))),4)</f>
        <v>1.0432999999999999</v>
      </c>
      <c r="T29" s="3187">
        <f>ROUND(IF(项目基本情况!$B$8="出让",SUMPRODUCT(PRODUCT(1+M29:M$42)),SUMPRODUCT(PRODUCT(1+M29:M$41))),4)</f>
        <v>1.0298</v>
      </c>
      <c r="U29" s="3187">
        <f>ROUND(IF(项目基本情况!$B$8="出让",SUMPRODUCT(PRODUCT(1+N29:N$42)),SUMPRODUCT(PRODUCT(1+N29:N$41))),4)</f>
        <v>1.079</v>
      </c>
      <c r="V29" s="3187"/>
      <c r="W29" s="3187">
        <f>T29</f>
        <v>1.0298</v>
      </c>
      <c r="X29" s="3187"/>
      <c r="Y29" s="3189"/>
      <c r="Z29" s="3210">
        <f t="shared" si="51"/>
        <v>3.3E-3</v>
      </c>
      <c r="AA29" s="3211">
        <f t="shared" si="51"/>
        <v>2.3999999999999998E-3</v>
      </c>
      <c r="AB29" s="3189">
        <f t="shared" si="51"/>
        <v>6.1999999999999998E-3</v>
      </c>
      <c r="AC29" s="3212"/>
      <c r="AD29" s="3189">
        <f>IF(I29=0,0,ROUND(AVERAGE(I29:I42)/100,4))</f>
        <v>2.3999999999999998E-3</v>
      </c>
    </row>
    <row r="30" spans="1:30" s="3180" customFormat="1" ht="12.75">
      <c r="A30" s="3171" t="s">
        <v>3371</v>
      </c>
      <c r="B30" s="3172">
        <v>2024</v>
      </c>
      <c r="C30" s="3173">
        <v>1</v>
      </c>
      <c r="D30" s="3174"/>
      <c r="E30" s="3174">
        <v>0.25</v>
      </c>
      <c r="F30" s="3174">
        <v>0.4</v>
      </c>
      <c r="G30" s="3174">
        <v>-0.63</v>
      </c>
      <c r="H30" s="3191"/>
      <c r="I30" s="3175">
        <f t="shared" ref="I30:I31" si="54">F30</f>
        <v>0.4</v>
      </c>
      <c r="J30" s="3176"/>
      <c r="K30" s="3177"/>
      <c r="L30" s="3167">
        <f t="shared" ref="L30" si="55">E30/100</f>
        <v>2.5000000000000001E-3</v>
      </c>
      <c r="M30" s="3167">
        <f t="shared" ref="M30" si="56">F30/100</f>
        <v>4.0000000000000001E-3</v>
      </c>
      <c r="N30" s="3167">
        <f t="shared" ref="N30" si="57">G30/100</f>
        <v>-6.3E-3</v>
      </c>
      <c r="O30" s="3167"/>
      <c r="P30" s="3167">
        <f t="shared" ref="P30" si="58">M30</f>
        <v>4.0000000000000001E-3</v>
      </c>
      <c r="Q30" s="3176"/>
      <c r="R30" s="3178"/>
      <c r="S30" s="3178">
        <f>ROUND(IF(项目基本情况!$B$8="出让",SUMPRODUCT(PRODUCT(1+L30:L$42)),SUMPRODUCT(PRODUCT(1+L30:L$41))),4)</f>
        <v>1.0465</v>
      </c>
      <c r="T30" s="3178">
        <f>ROUND(IF(项目基本情况!$B$8="出让",SUMPRODUCT(PRODUCT(1+M30:M$42)),SUMPRODUCT(PRODUCT(1+M30:M$41))),4)</f>
        <v>1.0338000000000001</v>
      </c>
      <c r="U30" s="3178">
        <f>ROUND(IF(项目基本情况!$B$8="出让",SUMPRODUCT(PRODUCT(1+N30:N$42)),SUMPRODUCT(PRODUCT(1+N30:N$41))),4)</f>
        <v>1.0659000000000001</v>
      </c>
      <c r="V30" s="3178"/>
      <c r="W30" s="3178">
        <f t="shared" ref="W30" si="59">T30</f>
        <v>1.0338000000000001</v>
      </c>
      <c r="X30" s="3176"/>
      <c r="Y30" s="3179"/>
      <c r="Z30" s="3207"/>
      <c r="AA30" s="3209"/>
      <c r="AB30" s="3179"/>
      <c r="AC30" s="3208"/>
      <c r="AD30" s="3179"/>
    </row>
    <row r="31" spans="1:30" s="3180" customFormat="1" ht="12.75">
      <c r="A31" s="3171" t="s">
        <v>3368</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3366</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3365</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3361</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3360</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3357</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3347</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2828</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2829</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2830</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2831</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2817</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3" t="s">
        <v>3359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3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2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2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3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2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2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2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2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2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2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2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2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2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2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2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45565</v>
      </c>
      <c r="D1" s="1300" t="s">
        <v>603</v>
      </c>
      <c r="E1" s="1295">
        <f>'数据-取费表'!B22</f>
        <v>2</v>
      </c>
      <c r="F1" s="1300" t="s">
        <v>604</v>
      </c>
      <c r="G1" s="1296">
        <f ca="1">INDIRECT("d"&amp;$K$1)/100</f>
        <v>3.3500000000000002E-2</v>
      </c>
      <c r="H1" s="1300" t="s">
        <v>634</v>
      </c>
      <c r="I1" s="1296">
        <f ca="1">F4/100</f>
        <v>1.4999999999999999E-2</v>
      </c>
      <c r="J1" s="1301">
        <f>IF(C1&gt;C13,0,MATCH(C1,C$13:C$113,-1))+IF(SUMIF(C13:C113,C1,D13:D113)=0,13,12)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3.35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3.35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3.35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3.35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3.85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45495</v>
      </c>
      <c r="D13" s="2819">
        <v>3.35</v>
      </c>
      <c r="E13" s="2819">
        <f>D13</f>
        <v>3.35</v>
      </c>
      <c r="F13" s="2819">
        <f>D13</f>
        <v>3.35</v>
      </c>
      <c r="G13" s="2819">
        <f>D13</f>
        <v>3.35</v>
      </c>
      <c r="H13" s="2819">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45342</v>
      </c>
      <c r="D14" s="2814">
        <v>3.45</v>
      </c>
      <c r="E14" s="2814">
        <f>D14</f>
        <v>3.45</v>
      </c>
      <c r="F14" s="2814">
        <f>D14</f>
        <v>3.45</v>
      </c>
      <c r="G14" s="2814">
        <f>D14</f>
        <v>3.45</v>
      </c>
      <c r="H14" s="2814">
        <v>3.95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45159</v>
      </c>
      <c r="D15" s="2814">
        <v>3.45</v>
      </c>
      <c r="E15" s="2814">
        <f>D15</f>
        <v>3.45</v>
      </c>
      <c r="F15" s="2814">
        <f>D15</f>
        <v>3.45</v>
      </c>
      <c r="G15" s="2814">
        <f>D15</f>
        <v>3.45</v>
      </c>
      <c r="H15" s="2814">
        <v>4.2</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45097</v>
      </c>
      <c r="D16" s="2814">
        <v>3.55</v>
      </c>
      <c r="E16" s="2814">
        <f>D16</f>
        <v>3.55</v>
      </c>
      <c r="F16" s="2814">
        <f>D16</f>
        <v>3.55</v>
      </c>
      <c r="G16" s="2814">
        <f>D16</f>
        <v>3.55</v>
      </c>
      <c r="H16" s="2814">
        <v>4.2</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44795</v>
      </c>
      <c r="D17" s="2814">
        <v>3.65</v>
      </c>
      <c r="E17" s="2814">
        <v>3.65</v>
      </c>
      <c r="F17" s="2814">
        <v>3.65</v>
      </c>
      <c r="G17" s="2814">
        <v>3.65</v>
      </c>
      <c r="H17" s="2814">
        <v>4.3</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44701</v>
      </c>
      <c r="D18" s="2814">
        <v>3.7</v>
      </c>
      <c r="E18" s="2814">
        <f>D18</f>
        <v>3.7</v>
      </c>
      <c r="F18" s="2814">
        <f>D18</f>
        <v>3.7</v>
      </c>
      <c r="G18" s="2814">
        <f>D18</f>
        <v>3.7</v>
      </c>
      <c r="H18" s="2814">
        <v>4.45</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44581</v>
      </c>
      <c r="D19" s="2814">
        <v>3.7</v>
      </c>
      <c r="E19" s="2814">
        <f>D19</f>
        <v>3.7</v>
      </c>
      <c r="F19" s="2814">
        <f>D19</f>
        <v>3.7</v>
      </c>
      <c r="G19" s="2814">
        <f>D19</f>
        <v>3.7</v>
      </c>
      <c r="H19" s="2814">
        <v>4.5999999999999996</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44550</v>
      </c>
      <c r="D20" s="2814">
        <v>3.8</v>
      </c>
      <c r="E20" s="2814">
        <f>D20</f>
        <v>3.8</v>
      </c>
      <c r="F20" s="2814">
        <f>D20</f>
        <v>3.8</v>
      </c>
      <c r="G20" s="2814">
        <f>D20</f>
        <v>3.8</v>
      </c>
      <c r="H20" s="2814">
        <v>4.6500000000000004</v>
      </c>
      <c r="I20" s="2814"/>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43941</v>
      </c>
      <c r="D21" s="2814">
        <v>3.85</v>
      </c>
      <c r="E21" s="2814">
        <v>3.85</v>
      </c>
      <c r="F21" s="2814">
        <v>3.85</v>
      </c>
      <c r="G21" s="2814">
        <v>3.85</v>
      </c>
      <c r="H21" s="2814">
        <v>4.6500000000000004</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43881</v>
      </c>
      <c r="D22" s="2814">
        <v>4.05</v>
      </c>
      <c r="E22" s="2814">
        <v>4.05</v>
      </c>
      <c r="F22" s="2814">
        <v>4.05</v>
      </c>
      <c r="G22" s="2814">
        <v>4.05</v>
      </c>
      <c r="H22" s="2814">
        <v>4.75</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43789</v>
      </c>
      <c r="D23" s="2814">
        <v>4.1500000000000004</v>
      </c>
      <c r="E23" s="2814">
        <v>4.1500000000000004</v>
      </c>
      <c r="F23" s="2814">
        <v>4.1500000000000004</v>
      </c>
      <c r="G23" s="2814">
        <v>4.1500000000000004</v>
      </c>
      <c r="H23" s="2814">
        <v>4.8</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43728</v>
      </c>
      <c r="D24" s="2814">
        <v>4.2</v>
      </c>
      <c r="E24" s="2814">
        <v>4.2</v>
      </c>
      <c r="F24" s="2814">
        <v>4.2</v>
      </c>
      <c r="G24" s="2814">
        <v>4.2</v>
      </c>
      <c r="H24" s="2814">
        <v>4.8499999999999996</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4.25">
      <c r="B25" s="2813" t="s">
        <v>2310</v>
      </c>
      <c r="C25" s="2816">
        <v>43697</v>
      </c>
      <c r="D25" s="2817">
        <v>4.25</v>
      </c>
      <c r="E25" s="2817">
        <v>4.25</v>
      </c>
      <c r="F25" s="2817">
        <v>4.25</v>
      </c>
      <c r="G25" s="2817">
        <v>4.25</v>
      </c>
      <c r="H25" s="2817">
        <v>4.8499999999999996</v>
      </c>
      <c r="I25" s="2817"/>
      <c r="J25" s="2817"/>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21"/>
      <c r="C26" s="2822">
        <v>42301</v>
      </c>
      <c r="D26" s="2823">
        <v>4.3499999999999996</v>
      </c>
      <c r="E26" s="2823">
        <v>4.3499999999999996</v>
      </c>
      <c r="F26" s="2823">
        <v>4.75</v>
      </c>
      <c r="G26" s="2823">
        <v>4.75</v>
      </c>
      <c r="H26" s="2823">
        <v>4.9000000000000004</v>
      </c>
      <c r="I26" s="2823"/>
      <c r="J26" s="2823"/>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9"/>
  <sheetViews>
    <sheetView workbookViewId="0">
      <selection sqref="A1:XFD1048576"/>
    </sheetView>
  </sheetViews>
  <sheetFormatPr defaultColWidth="8.875" defaultRowHeight="13.5"/>
  <cols>
    <col min="1" max="1" width="8.875" customWidth="1"/>
    <col min="2" max="2" width="10.75" style="3452" customWidth="1"/>
    <col min="3" max="3" width="16" style="3450" customWidth="1"/>
    <col min="4" max="4" width="16" customWidth="1"/>
    <col min="5" max="5" width="11.25" customWidth="1"/>
    <col min="6" max="6" width="11.75" customWidth="1"/>
    <col min="7" max="13" width="16.625" customWidth="1"/>
    <col min="14" max="14" width="12.875" customWidth="1"/>
  </cols>
  <sheetData>
    <row r="2" spans="1:14">
      <c r="A2" s="3838" t="s">
        <v>3375</v>
      </c>
      <c r="B2" s="3838"/>
      <c r="C2" s="3444" t="s">
        <v>3376</v>
      </c>
      <c r="D2" s="3445" t="s">
        <v>3377</v>
      </c>
      <c r="E2" s="3445" t="s">
        <v>3378</v>
      </c>
      <c r="F2" s="3445" t="s">
        <v>3379</v>
      </c>
      <c r="G2" s="3445" t="s">
        <v>3380</v>
      </c>
      <c r="H2" s="3445" t="s">
        <v>3381</v>
      </c>
      <c r="I2" s="3445" t="s">
        <v>3382</v>
      </c>
      <c r="J2" s="3445" t="s">
        <v>3383</v>
      </c>
      <c r="K2" s="3445" t="s">
        <v>3384</v>
      </c>
      <c r="L2" s="3445" t="s">
        <v>3385</v>
      </c>
      <c r="M2" s="3445" t="s">
        <v>3386</v>
      </c>
      <c r="N2" t="s">
        <v>3387</v>
      </c>
    </row>
    <row r="3" spans="1:14">
      <c r="A3" s="3838" t="s">
        <v>3388</v>
      </c>
      <c r="B3" s="3445" t="s">
        <v>3389</v>
      </c>
      <c r="C3" s="3446">
        <v>3627.5801179999999</v>
      </c>
      <c r="D3" s="3447">
        <v>3678.3337223041899</v>
      </c>
      <c r="E3" s="3447">
        <v>3899.03374564244</v>
      </c>
      <c r="F3" s="3447">
        <v>4132.9757703809901</v>
      </c>
      <c r="G3" s="3447">
        <v>4380.9543166038502</v>
      </c>
      <c r="H3" s="3447">
        <v>4643.8115756000798</v>
      </c>
      <c r="I3" s="3447">
        <v>4922.4402701360896</v>
      </c>
      <c r="J3" s="3447">
        <v>5217.7866863442496</v>
      </c>
      <c r="K3" s="3447">
        <v>5530.8538875249096</v>
      </c>
      <c r="L3" s="3447">
        <v>5702.7051207763998</v>
      </c>
      <c r="M3" s="3447">
        <v>5862.7051207763998</v>
      </c>
      <c r="N3" s="3448">
        <f t="shared" ref="N3:N16" si="0">SUM(C3,D3:M3)</f>
        <v>51599.1803340896</v>
      </c>
    </row>
    <row r="4" spans="1:14">
      <c r="A4" s="3838"/>
      <c r="B4" s="3445" t="s">
        <v>3390</v>
      </c>
      <c r="C4" s="3446">
        <v>808.01169200000004</v>
      </c>
      <c r="D4" s="3447">
        <v>770.33481400000005</v>
      </c>
      <c r="E4" s="3447">
        <v>816.55490283999995</v>
      </c>
      <c r="F4" s="3447">
        <v>865.54819701040003</v>
      </c>
      <c r="G4" s="3447">
        <v>917.48108883102395</v>
      </c>
      <c r="H4" s="3447">
        <v>972.52995416088595</v>
      </c>
      <c r="I4" s="3447">
        <v>1030.8817514105399</v>
      </c>
      <c r="J4" s="3447">
        <v>1092.7346564951699</v>
      </c>
      <c r="K4" s="3447">
        <v>1158.29873588488</v>
      </c>
      <c r="L4" s="3447">
        <v>1227.79666003797</v>
      </c>
      <c r="M4" s="3447">
        <v>1301.46445964025</v>
      </c>
      <c r="N4" s="3448">
        <f t="shared" si="0"/>
        <v>10961.63691231112</v>
      </c>
    </row>
    <row r="5" spans="1:14">
      <c r="A5" s="3838"/>
      <c r="B5" s="3445" t="s">
        <v>3391</v>
      </c>
      <c r="C5" s="3446">
        <v>7.1889620000000898</v>
      </c>
      <c r="D5" s="3447">
        <v>7.7588794210529697</v>
      </c>
      <c r="E5" s="3447">
        <v>8.2244121863161492</v>
      </c>
      <c r="F5" s="3447">
        <v>8.7178769174951096</v>
      </c>
      <c r="G5" s="3447">
        <v>9.2409495325448194</v>
      </c>
      <c r="H5" s="3447">
        <v>9.7954065044975103</v>
      </c>
      <c r="I5" s="3447">
        <v>10.383130894767399</v>
      </c>
      <c r="J5" s="3447">
        <v>11.0061187484534</v>
      </c>
      <c r="K5" s="3447">
        <v>11.6664858733606</v>
      </c>
      <c r="L5" s="3447">
        <v>12.366475025762201</v>
      </c>
      <c r="M5" s="3447">
        <v>13.108463527308</v>
      </c>
      <c r="N5" s="3448">
        <f t="shared" si="0"/>
        <v>109.45716063155824</v>
      </c>
    </row>
    <row r="6" spans="1:14" s="3450" customFormat="1">
      <c r="A6" s="3839"/>
      <c r="B6" s="3449" t="s">
        <v>3392</v>
      </c>
      <c r="C6" s="3446">
        <v>4442.7807720000001</v>
      </c>
      <c r="D6" s="3446">
        <v>4456.4274157252403</v>
      </c>
      <c r="E6" s="3446">
        <v>4723.81306066876</v>
      </c>
      <c r="F6" s="3446">
        <v>5007.24184430889</v>
      </c>
      <c r="G6" s="3446">
        <v>5307.6763549674197</v>
      </c>
      <c r="H6" s="3446">
        <v>5626.1369362654596</v>
      </c>
      <c r="I6" s="3446">
        <v>5963.7051524414001</v>
      </c>
      <c r="J6" s="3446">
        <v>6321.5274615878698</v>
      </c>
      <c r="K6" s="3446">
        <v>6700.8191092831503</v>
      </c>
      <c r="L6" s="3446">
        <v>7102.8682558401297</v>
      </c>
      <c r="M6" s="3446">
        <v>7177.2780439439603</v>
      </c>
      <c r="N6" s="3448">
        <f t="shared" si="0"/>
        <v>62830.274407032273</v>
      </c>
    </row>
    <row r="7" spans="1:14" s="3450" customFormat="1">
      <c r="A7" s="3839" t="s">
        <v>3393</v>
      </c>
      <c r="B7" s="3449" t="s">
        <v>3394</v>
      </c>
      <c r="C7" s="3446">
        <v>321.63798440000102</v>
      </c>
      <c r="D7" s="3446">
        <v>291.34403160051602</v>
      </c>
      <c r="E7" s="3446">
        <v>308.82467349654701</v>
      </c>
      <c r="F7" s="3446">
        <v>327.35415390634</v>
      </c>
      <c r="G7" s="3446">
        <v>346.99540314071999</v>
      </c>
      <c r="H7" s="3446">
        <v>367.815127329164</v>
      </c>
      <c r="I7" s="3446">
        <v>389.88403496891402</v>
      </c>
      <c r="J7" s="3446">
        <v>413.27707706704803</v>
      </c>
      <c r="K7" s="3446">
        <v>438.07370169107099</v>
      </c>
      <c r="L7" s="3446">
        <v>464.35812379253599</v>
      </c>
      <c r="M7" s="3446">
        <v>492.21961122008798</v>
      </c>
      <c r="N7" s="3448">
        <f t="shared" si="0"/>
        <v>4161.7839226129454</v>
      </c>
    </row>
    <row r="8" spans="1:14" s="3450" customFormat="1">
      <c r="A8" s="3839"/>
      <c r="B8" s="3449" t="s">
        <v>3395</v>
      </c>
      <c r="C8" s="3446">
        <v>530.75422500000002</v>
      </c>
      <c r="D8" s="3446">
        <v>426.05783456</v>
      </c>
      <c r="E8" s="3446">
        <v>451.6213046336</v>
      </c>
      <c r="F8" s="3446">
        <v>478.71858291161601</v>
      </c>
      <c r="G8" s="3446">
        <v>507.44169788631302</v>
      </c>
      <c r="H8" s="3446">
        <v>537.88819975949195</v>
      </c>
      <c r="I8" s="3446">
        <v>570.16149174506097</v>
      </c>
      <c r="J8" s="3446">
        <v>604.37118124976496</v>
      </c>
      <c r="K8" s="3446">
        <v>640.63345212475099</v>
      </c>
      <c r="L8" s="3446">
        <v>679.07145925223597</v>
      </c>
      <c r="M8" s="3446">
        <v>719.81574680737003</v>
      </c>
      <c r="N8" s="3448">
        <f t="shared" si="0"/>
        <v>6146.5351759302048</v>
      </c>
    </row>
    <row r="9" spans="1:14" s="3450" customFormat="1">
      <c r="A9" s="3839"/>
      <c r="B9" s="3449" t="s">
        <v>3396</v>
      </c>
      <c r="C9" s="3446">
        <v>448.06040899999999</v>
      </c>
      <c r="D9" s="3446">
        <v>408.80564475</v>
      </c>
      <c r="E9" s="3446">
        <v>433.33398343499999</v>
      </c>
      <c r="F9" s="3446">
        <v>459.33402244109999</v>
      </c>
      <c r="G9" s="3446">
        <v>486.89406378756598</v>
      </c>
      <c r="H9" s="3446">
        <v>516.10770761482001</v>
      </c>
      <c r="I9" s="3446">
        <v>547.07417007170898</v>
      </c>
      <c r="J9" s="3446">
        <v>579.89862027601202</v>
      </c>
      <c r="K9" s="3446">
        <v>614.69253749257302</v>
      </c>
      <c r="L9" s="3446">
        <v>651.57408974212694</v>
      </c>
      <c r="M9" s="3446">
        <v>690.668535126655</v>
      </c>
      <c r="N9" s="3448">
        <f t="shared" si="0"/>
        <v>5836.4437837375626</v>
      </c>
    </row>
    <row r="10" spans="1:14" s="3450" customFormat="1">
      <c r="A10" s="3839"/>
      <c r="B10" s="3449" t="s">
        <v>3397</v>
      </c>
      <c r="C10" s="3446">
        <v>1519.2338890000001</v>
      </c>
      <c r="D10" s="3446">
        <v>1389.68478181</v>
      </c>
      <c r="E10" s="3446">
        <v>1417.14391820063</v>
      </c>
      <c r="F10" s="3446">
        <v>1502.17255329267</v>
      </c>
      <c r="G10" s="3446">
        <v>1592.30290649023</v>
      </c>
      <c r="H10" s="3446">
        <v>1687.84108087964</v>
      </c>
      <c r="I10" s="3446">
        <v>1789.1115457324199</v>
      </c>
      <c r="J10" s="3446">
        <v>1896.4582384763601</v>
      </c>
      <c r="K10" s="3446">
        <v>2010.2457327849399</v>
      </c>
      <c r="L10" s="3446">
        <v>2130.8604767520401</v>
      </c>
      <c r="M10" s="3446">
        <v>2258.71210535717</v>
      </c>
      <c r="N10" s="3448">
        <f t="shared" si="0"/>
        <v>19193.767228776102</v>
      </c>
    </row>
    <row r="11" spans="1:14" s="3450" customFormat="1">
      <c r="A11" s="3839"/>
      <c r="B11" s="3449" t="s">
        <v>3398</v>
      </c>
      <c r="C11" s="3446">
        <v>29.152365</v>
      </c>
      <c r="D11" s="3446">
        <v>25.008147999999998</v>
      </c>
      <c r="E11" s="3446">
        <v>26.508636880000001</v>
      </c>
      <c r="F11" s="3446">
        <v>28.0991550928</v>
      </c>
      <c r="G11" s="3446">
        <v>29.785104398367999</v>
      </c>
      <c r="H11" s="3446">
        <v>31.572210662270098</v>
      </c>
      <c r="I11" s="3446">
        <v>33.466543302006301</v>
      </c>
      <c r="J11" s="3446">
        <v>35.474535900126703</v>
      </c>
      <c r="K11" s="3446">
        <v>37.6030080541343</v>
      </c>
      <c r="L11" s="3446">
        <v>39.859188537382302</v>
      </c>
      <c r="M11" s="3446">
        <v>42.250739849625297</v>
      </c>
      <c r="N11" s="3448">
        <f t="shared" si="0"/>
        <v>358.77963567671299</v>
      </c>
    </row>
    <row r="12" spans="1:14" s="3450" customFormat="1">
      <c r="A12" s="3839"/>
      <c r="B12" s="3449" t="s">
        <v>3399</v>
      </c>
      <c r="C12" s="3446">
        <v>24.679696</v>
      </c>
      <c r="D12" s="3446">
        <v>21.352602000000001</v>
      </c>
      <c r="E12" s="3446">
        <v>22.63375812</v>
      </c>
      <c r="F12" s="3446">
        <v>23.991783607199999</v>
      </c>
      <c r="G12" s="3446">
        <v>25.431290623632002</v>
      </c>
      <c r="H12" s="3446">
        <v>26.957168061049899</v>
      </c>
      <c r="I12" s="3446">
        <v>28.574598144712901</v>
      </c>
      <c r="J12" s="3446">
        <v>30.2890740333957</v>
      </c>
      <c r="K12" s="3446">
        <v>32.106418475399501</v>
      </c>
      <c r="L12" s="3446">
        <v>34.032803583923403</v>
      </c>
      <c r="M12" s="3446">
        <v>36.0747717989588</v>
      </c>
      <c r="N12" s="3448">
        <f t="shared" si="0"/>
        <v>306.1239644482722</v>
      </c>
    </row>
    <row r="13" spans="1:14" s="3450" customFormat="1">
      <c r="A13" s="3839"/>
      <c r="B13" s="3449" t="s">
        <v>3400</v>
      </c>
      <c r="C13" s="3446">
        <v>67.5281339</v>
      </c>
      <c r="D13" s="3446">
        <v>39.015979999999999</v>
      </c>
      <c r="E13" s="3446">
        <v>41.356938800000002</v>
      </c>
      <c r="F13" s="3446">
        <v>43.838355128000003</v>
      </c>
      <c r="G13" s="3446">
        <v>46.468656435680003</v>
      </c>
      <c r="H13" s="3446">
        <v>49.256775821820803</v>
      </c>
      <c r="I13" s="3446">
        <v>52.212182371130098</v>
      </c>
      <c r="J13" s="3446">
        <v>55.344913313397903</v>
      </c>
      <c r="K13" s="3446">
        <v>58.665608112201703</v>
      </c>
      <c r="L13" s="3446">
        <v>62.185544598933802</v>
      </c>
      <c r="M13" s="3446">
        <v>65.916677274869897</v>
      </c>
      <c r="N13" s="3448">
        <f t="shared" si="0"/>
        <v>581.78976575603429</v>
      </c>
    </row>
    <row r="14" spans="1:14" s="3450" customFormat="1">
      <c r="A14" s="3839"/>
      <c r="B14" s="3449" t="s">
        <v>3401</v>
      </c>
      <c r="C14" s="3446">
        <v>88.855615439999994</v>
      </c>
      <c r="D14" s="3446">
        <v>89.128548314504897</v>
      </c>
      <c r="E14" s="3446">
        <v>94.476261213375096</v>
      </c>
      <c r="F14" s="3446">
        <v>100.144836886178</v>
      </c>
      <c r="G14" s="3446">
        <v>106.153527099348</v>
      </c>
      <c r="H14" s="3446">
        <v>112.522738725309</v>
      </c>
      <c r="I14" s="3446">
        <v>119.274103048828</v>
      </c>
      <c r="J14" s="3446">
        <v>126.430549231757</v>
      </c>
      <c r="K14" s="3446">
        <v>134.01638218566299</v>
      </c>
      <c r="L14" s="3446">
        <v>142.057365116803</v>
      </c>
      <c r="M14" s="3446">
        <v>143.545560878879</v>
      </c>
      <c r="N14" s="3448">
        <f t="shared" si="0"/>
        <v>1256.6054881406451</v>
      </c>
    </row>
    <row r="15" spans="1:14" s="3450" customFormat="1">
      <c r="A15" s="3839"/>
      <c r="B15" s="3449" t="s">
        <v>3402</v>
      </c>
      <c r="C15" s="3446">
        <v>3029.9023177399999</v>
      </c>
      <c r="D15" s="3446">
        <v>2690.3975710350201</v>
      </c>
      <c r="E15" s="3446">
        <v>2795.8994747791498</v>
      </c>
      <c r="F15" s="3446">
        <v>2963.6534432659</v>
      </c>
      <c r="G15" s="3446">
        <v>3141.4726498618602</v>
      </c>
      <c r="H15" s="3446">
        <v>3329.9610088535701</v>
      </c>
      <c r="I15" s="3446">
        <v>3529.7586693847802</v>
      </c>
      <c r="J15" s="3446">
        <v>3741.5441895478598</v>
      </c>
      <c r="K15" s="3446">
        <v>3966.0368409207299</v>
      </c>
      <c r="L15" s="3446">
        <v>4203.9990513759803</v>
      </c>
      <c r="M15" s="3446">
        <v>4449.2037483136201</v>
      </c>
      <c r="N15" s="3448">
        <f t="shared" si="0"/>
        <v>37841.828965078472</v>
      </c>
    </row>
    <row r="16" spans="1:14" s="3450" customFormat="1">
      <c r="A16" s="3840" t="s">
        <v>3403</v>
      </c>
      <c r="B16" s="3841"/>
      <c r="C16" s="3446">
        <v>1412.8784542599999</v>
      </c>
      <c r="D16" s="3446">
        <v>1766.02984469022</v>
      </c>
      <c r="E16" s="3446">
        <v>1927.9135858896</v>
      </c>
      <c r="F16" s="3446">
        <v>2043.58840104298</v>
      </c>
      <c r="G16" s="3446">
        <v>2166.2037051055599</v>
      </c>
      <c r="H16" s="3446">
        <v>2296.1759274118999</v>
      </c>
      <c r="I16" s="3446">
        <v>2433.9464830566199</v>
      </c>
      <c r="J16" s="3446">
        <v>2579.98327204001</v>
      </c>
      <c r="K16" s="3446">
        <v>2734.7822683624199</v>
      </c>
      <c r="L16" s="3446">
        <v>2738.8692044641498</v>
      </c>
      <c r="M16" s="3446">
        <v>2728.0742956303402</v>
      </c>
      <c r="N16" s="3448">
        <f t="shared" si="0"/>
        <v>24828.445441953798</v>
      </c>
    </row>
    <row r="17" spans="1:14" s="3450" customFormat="1">
      <c r="A17" s="3840" t="s">
        <v>3404</v>
      </c>
      <c r="B17" s="3841"/>
      <c r="C17" s="3451">
        <v>0.59</v>
      </c>
      <c r="D17" s="3451">
        <v>0.66</v>
      </c>
      <c r="E17" s="3451">
        <v>0.68</v>
      </c>
      <c r="F17" s="3451">
        <v>0.68</v>
      </c>
      <c r="G17" s="3451">
        <v>0.68</v>
      </c>
      <c r="H17" s="3451">
        <v>0.68</v>
      </c>
      <c r="I17" s="3451">
        <v>0.68</v>
      </c>
      <c r="J17" s="3451">
        <v>0.68</v>
      </c>
      <c r="K17" s="3451">
        <v>0.68</v>
      </c>
      <c r="L17" s="3451">
        <v>0.68</v>
      </c>
      <c r="M17" s="3451">
        <v>0.68</v>
      </c>
    </row>
    <row r="18" spans="1:14">
      <c r="N18">
        <f>N16*0.75</f>
        <v>18621.334081465349</v>
      </c>
    </row>
    <row r="21" spans="1:14">
      <c r="C21" s="3453"/>
      <c r="D21" s="3454"/>
      <c r="E21" s="3454">
        <f>E16/D16-1</f>
        <v>9.1665348513844558E-2</v>
      </c>
      <c r="F21" s="3454">
        <f t="shared" ref="F21:M21" si="1">F16/E16-1</f>
        <v>6.0000000000002052E-2</v>
      </c>
      <c r="G21" s="3454">
        <f t="shared" si="1"/>
        <v>6.0000000000000497E-2</v>
      </c>
      <c r="H21" s="3454">
        <f t="shared" si="1"/>
        <v>6.000000000000294E-2</v>
      </c>
      <c r="I21" s="3454">
        <f t="shared" si="1"/>
        <v>6.0000000000002496E-2</v>
      </c>
      <c r="J21" s="3454">
        <f t="shared" si="1"/>
        <v>5.9999999999997167E-2</v>
      </c>
      <c r="K21" s="3454">
        <f t="shared" si="1"/>
        <v>6.0000000000003606E-2</v>
      </c>
      <c r="L21" s="3454">
        <f t="shared" si="1"/>
        <v>1.494428331282549E-3</v>
      </c>
      <c r="M21" s="3454">
        <f t="shared" si="1"/>
        <v>-3.9413743512156652E-3</v>
      </c>
    </row>
    <row r="22" spans="1:14">
      <c r="C22" s="3453"/>
      <c r="D22" s="3454"/>
      <c r="E22" s="3454"/>
      <c r="F22" s="3454"/>
      <c r="G22" s="3454"/>
      <c r="H22" s="3454"/>
      <c r="I22" s="3454"/>
      <c r="J22" s="3454"/>
      <c r="K22" s="3454"/>
      <c r="L22" s="3454"/>
      <c r="M22" s="3454"/>
    </row>
    <row r="23" spans="1:14" s="3004" customFormat="1">
      <c r="B23" s="3487"/>
      <c r="C23" s="3486"/>
    </row>
    <row r="24" spans="1:14" s="3004" customFormat="1">
      <c r="B24" s="3487"/>
      <c r="C24" s="3486"/>
    </row>
    <row r="25" spans="1:14" s="3004" customFormat="1">
      <c r="B25" s="3488" t="s">
        <v>3510</v>
      </c>
      <c r="C25" s="3486"/>
    </row>
    <row r="26" spans="1:14" s="3004" customFormat="1">
      <c r="B26" s="3487"/>
      <c r="C26" s="3486">
        <v>2020</v>
      </c>
      <c r="D26" s="3004">
        <v>2021</v>
      </c>
      <c r="E26" s="3004">
        <v>2022</v>
      </c>
      <c r="F26" s="3004">
        <v>2023</v>
      </c>
      <c r="G26" s="3203" t="s">
        <v>3511</v>
      </c>
      <c r="H26" s="3203" t="s">
        <v>3512</v>
      </c>
    </row>
    <row r="27" spans="1:14" s="3004" customFormat="1">
      <c r="B27" s="3488" t="s">
        <v>3509</v>
      </c>
      <c r="C27" s="3486">
        <f>45597.5/10000</f>
        <v>4.5597500000000002</v>
      </c>
      <c r="D27" s="3004">
        <f>25901637.57/10000</f>
        <v>2590.1637569999998</v>
      </c>
      <c r="E27" s="3004">
        <f>44427807.72/10000</f>
        <v>4442.7807720000001</v>
      </c>
      <c r="F27" s="3004">
        <f>26398834.55/10000</f>
        <v>2639.8834550000001</v>
      </c>
      <c r="G27" s="3004">
        <f>SUM(C27:F27)</f>
        <v>9677.3877339999999</v>
      </c>
      <c r="H27" s="3004">
        <f>G27/3</f>
        <v>3225.7959113333332</v>
      </c>
    </row>
    <row r="28" spans="1:14" s="3004" customFormat="1">
      <c r="B28" s="3487"/>
      <c r="C28" s="3486"/>
    </row>
    <row r="29" spans="1:14" s="3004" customFormat="1">
      <c r="B29" s="3487"/>
      <c r="C29" s="3486"/>
    </row>
    <row r="30" spans="1:14" s="3004" customFormat="1">
      <c r="B30" s="3487"/>
      <c r="C30" s="3486"/>
    </row>
    <row r="31" spans="1:14" s="3004" customFormat="1">
      <c r="B31" s="3487"/>
      <c r="C31" s="3486"/>
    </row>
    <row r="32" spans="1:14" s="3004" customFormat="1">
      <c r="B32" s="3487"/>
      <c r="C32" s="3486"/>
    </row>
    <row r="33" spans="2:3" s="3004" customFormat="1">
      <c r="B33" s="3487"/>
      <c r="C33" s="3486"/>
    </row>
    <row r="34" spans="2:3" s="3004" customFormat="1">
      <c r="B34" s="3487"/>
      <c r="C34" s="3486"/>
    </row>
    <row r="35" spans="2:3" s="3004" customFormat="1">
      <c r="B35" s="3487"/>
      <c r="C35" s="3486"/>
    </row>
    <row r="36" spans="2:3" s="3004" customFormat="1">
      <c r="B36" s="3487"/>
      <c r="C36" s="3486"/>
    </row>
    <row r="37" spans="2:3" s="3004" customFormat="1">
      <c r="B37" s="3487"/>
      <c r="C37" s="3486"/>
    </row>
    <row r="38" spans="2:3" s="3004" customFormat="1">
      <c r="B38" s="3487"/>
      <c r="C38" s="3486"/>
    </row>
    <row r="39" spans="2:3" s="3004" customFormat="1">
      <c r="B39" s="3487"/>
      <c r="C39" s="3486"/>
    </row>
    <row r="40" spans="2:3" s="3004" customFormat="1">
      <c r="B40" s="3487"/>
      <c r="C40" s="3486"/>
    </row>
    <row r="41" spans="2:3" s="3004" customFormat="1">
      <c r="B41" s="3487"/>
      <c r="C41" s="3486"/>
    </row>
    <row r="42" spans="2:3" s="3004" customFormat="1">
      <c r="B42" s="3487"/>
      <c r="C42" s="3486"/>
    </row>
    <row r="43" spans="2:3" s="3004" customFormat="1">
      <c r="B43" s="3487"/>
      <c r="C43" s="3486"/>
    </row>
    <row r="44" spans="2:3" s="3004" customFormat="1">
      <c r="B44" s="3487"/>
      <c r="C44" s="3486"/>
    </row>
    <row r="45" spans="2:3" s="3004" customFormat="1">
      <c r="B45" s="3487"/>
      <c r="C45" s="3486"/>
    </row>
    <row r="46" spans="2:3" s="3004" customFormat="1">
      <c r="B46" s="3487"/>
      <c r="C46" s="3486"/>
    </row>
    <row r="47" spans="2:3" s="3004" customFormat="1">
      <c r="B47" s="3487"/>
      <c r="C47" s="3486"/>
    </row>
    <row r="48" spans="2:3" s="3004" customFormat="1">
      <c r="B48" s="3487"/>
      <c r="C48" s="3486"/>
    </row>
    <row r="49" spans="2:3" s="3004" customFormat="1">
      <c r="B49" s="3487"/>
      <c r="C49" s="3486"/>
    </row>
    <row r="50" spans="2:3" s="3004" customFormat="1">
      <c r="B50" s="3487"/>
      <c r="C50" s="3486"/>
    </row>
    <row r="51" spans="2:3" s="3004" customFormat="1">
      <c r="B51" s="3487"/>
      <c r="C51" s="3486"/>
    </row>
    <row r="52" spans="2:3" s="3004" customFormat="1">
      <c r="B52" s="3487"/>
      <c r="C52" s="3486"/>
    </row>
    <row r="53" spans="2:3" s="3004" customFormat="1">
      <c r="B53" s="3487"/>
      <c r="C53" s="3486"/>
    </row>
    <row r="54" spans="2:3" s="3004" customFormat="1">
      <c r="B54" s="3487"/>
      <c r="C54" s="3486"/>
    </row>
    <row r="55" spans="2:3" s="3004" customFormat="1">
      <c r="B55" s="3487"/>
      <c r="C55" s="3486"/>
    </row>
    <row r="56" spans="2:3" s="3004" customFormat="1">
      <c r="B56" s="3487"/>
      <c r="C56" s="3486"/>
    </row>
    <row r="57" spans="2:3" s="3004" customFormat="1">
      <c r="B57" s="3487"/>
      <c r="C57" s="3486"/>
    </row>
    <row r="58" spans="2:3" s="3004" customFormat="1">
      <c r="B58" s="3487"/>
      <c r="C58" s="3486"/>
    </row>
    <row r="59" spans="2:3" s="3004" customFormat="1">
      <c r="B59" s="3487"/>
      <c r="C59" s="3486"/>
    </row>
    <row r="60" spans="2:3" s="3004" customFormat="1">
      <c r="B60" s="3487"/>
      <c r="C60" s="3486"/>
    </row>
    <row r="61" spans="2:3" s="3004" customFormat="1">
      <c r="B61" s="3487"/>
      <c r="C61" s="3486"/>
    </row>
    <row r="62" spans="2:3" s="3004" customFormat="1">
      <c r="B62" s="3487"/>
      <c r="C62" s="3486"/>
    </row>
    <row r="63" spans="2:3" s="3004" customFormat="1">
      <c r="B63" s="3487"/>
      <c r="C63" s="3486"/>
    </row>
    <row r="64" spans="2:3" s="3004" customFormat="1">
      <c r="B64" s="3487"/>
      <c r="C64" s="3486"/>
    </row>
    <row r="65" spans="2:3" s="3004" customFormat="1">
      <c r="B65" s="3487"/>
      <c r="C65" s="3486"/>
    </row>
    <row r="66" spans="2:3" s="3004" customFormat="1">
      <c r="B66" s="3487"/>
      <c r="C66" s="3486"/>
    </row>
    <row r="67" spans="2:3" s="3004" customFormat="1">
      <c r="B67" s="3487"/>
      <c r="C67" s="3486"/>
    </row>
    <row r="68" spans="2:3" s="3004" customFormat="1">
      <c r="B68" s="3487"/>
      <c r="C68" s="3486"/>
    </row>
    <row r="69" spans="2:3" s="3004" customFormat="1">
      <c r="B69" s="3487"/>
      <c r="C69" s="3486"/>
    </row>
    <row r="70" spans="2:3" s="3004" customFormat="1">
      <c r="B70" s="3487"/>
      <c r="C70" s="3486"/>
    </row>
    <row r="71" spans="2:3" s="3004" customFormat="1">
      <c r="B71" s="3487"/>
      <c r="C71" s="3486"/>
    </row>
    <row r="72" spans="2:3" s="3004" customFormat="1">
      <c r="B72" s="3487"/>
      <c r="C72" s="3486"/>
    </row>
    <row r="73" spans="2:3" s="3004" customFormat="1">
      <c r="B73" s="3487"/>
      <c r="C73" s="3486"/>
    </row>
    <row r="74" spans="2:3" s="3004" customFormat="1">
      <c r="B74" s="3487"/>
      <c r="C74" s="3486"/>
    </row>
    <row r="75" spans="2:3" s="3004" customFormat="1">
      <c r="B75" s="3487"/>
      <c r="C75" s="3486"/>
    </row>
    <row r="76" spans="2:3" s="3004" customFormat="1">
      <c r="B76" s="3487"/>
      <c r="C76" s="3486"/>
    </row>
    <row r="77" spans="2:3" s="3004" customFormat="1">
      <c r="B77" s="3487"/>
      <c r="C77" s="3486"/>
    </row>
    <row r="78" spans="2:3" s="3004" customFormat="1">
      <c r="B78" s="3487"/>
      <c r="C78" s="3486"/>
    </row>
    <row r="79" spans="2:3" s="3004" customFormat="1">
      <c r="B79" s="3487"/>
      <c r="C79" s="3486"/>
    </row>
    <row r="80" spans="2:3" s="3004" customFormat="1">
      <c r="B80" s="3487"/>
      <c r="C80" s="3486"/>
    </row>
    <row r="81" spans="2:3" s="3004" customFormat="1">
      <c r="B81" s="3487"/>
      <c r="C81" s="3486"/>
    </row>
    <row r="82" spans="2:3" s="3004" customFormat="1">
      <c r="B82" s="3487"/>
      <c r="C82" s="3486"/>
    </row>
    <row r="83" spans="2:3" s="3004" customFormat="1">
      <c r="B83" s="3487"/>
      <c r="C83" s="3486"/>
    </row>
    <row r="84" spans="2:3" s="3004" customFormat="1">
      <c r="B84" s="3487"/>
      <c r="C84" s="3486"/>
    </row>
    <row r="85" spans="2:3" s="3004" customFormat="1">
      <c r="B85" s="3487"/>
      <c r="C85" s="3486"/>
    </row>
    <row r="86" spans="2:3" s="3004" customFormat="1">
      <c r="B86" s="3487"/>
      <c r="C86" s="3486"/>
    </row>
    <row r="87" spans="2:3" s="3004" customFormat="1">
      <c r="B87" s="3487"/>
      <c r="C87" s="3486"/>
    </row>
    <row r="88" spans="2:3" s="3004" customFormat="1">
      <c r="B88" s="3487"/>
      <c r="C88" s="3486"/>
    </row>
    <row r="89" spans="2:3" s="3004" customFormat="1">
      <c r="B89" s="3487"/>
      <c r="C89" s="3486"/>
    </row>
    <row r="90" spans="2:3" s="3004" customFormat="1">
      <c r="B90" s="3487"/>
      <c r="C90" s="3486"/>
    </row>
    <row r="91" spans="2:3" s="3004" customFormat="1">
      <c r="B91" s="3487"/>
      <c r="C91" s="3486"/>
    </row>
    <row r="92" spans="2:3" s="3004" customFormat="1">
      <c r="B92" s="3487"/>
      <c r="C92" s="3486"/>
    </row>
    <row r="93" spans="2:3" s="3004" customFormat="1">
      <c r="B93" s="3487"/>
      <c r="C93" s="3486"/>
    </row>
    <row r="94" spans="2:3" s="3004" customFormat="1">
      <c r="B94" s="3487"/>
      <c r="C94" s="3486"/>
    </row>
    <row r="95" spans="2:3" s="3004" customFormat="1">
      <c r="B95" s="3487"/>
      <c r="C95" s="3486"/>
    </row>
    <row r="96" spans="2:3" s="3004" customFormat="1">
      <c r="B96" s="3487"/>
      <c r="C96" s="3486"/>
    </row>
    <row r="97" spans="2:3" s="3004" customFormat="1">
      <c r="B97" s="3487"/>
      <c r="C97" s="3486"/>
    </row>
    <row r="98" spans="2:3" s="3004" customFormat="1">
      <c r="B98" s="3487"/>
      <c r="C98" s="3486"/>
    </row>
    <row r="99" spans="2:3" s="3004" customFormat="1">
      <c r="B99" s="3487"/>
      <c r="C99" s="3486"/>
    </row>
    <row r="100" spans="2:3" s="3004" customFormat="1">
      <c r="B100" s="3487"/>
      <c r="C100" s="3486"/>
    </row>
    <row r="101" spans="2:3" s="3004" customFormat="1">
      <c r="B101" s="3487"/>
      <c r="C101" s="3486"/>
    </row>
    <row r="102" spans="2:3" s="3004" customFormat="1">
      <c r="B102" s="3487"/>
      <c r="C102" s="3486"/>
    </row>
    <row r="103" spans="2:3" s="3004" customFormat="1">
      <c r="B103" s="3487"/>
      <c r="C103" s="3486"/>
    </row>
    <row r="104" spans="2:3" s="3004" customFormat="1">
      <c r="B104" s="3487"/>
      <c r="C104" s="3486"/>
    </row>
    <row r="105" spans="2:3" s="3004" customFormat="1">
      <c r="B105" s="3487"/>
      <c r="C105" s="3486"/>
    </row>
    <row r="106" spans="2:3" s="3004" customFormat="1">
      <c r="B106" s="3487"/>
      <c r="C106" s="3486"/>
    </row>
    <row r="107" spans="2:3" s="3004" customFormat="1">
      <c r="B107" s="3487"/>
      <c r="C107" s="3486"/>
    </row>
    <row r="108" spans="2:3" s="3004" customFormat="1">
      <c r="B108" s="3487"/>
      <c r="C108" s="3486"/>
    </row>
    <row r="109" spans="2:3" s="3004" customFormat="1">
      <c r="B109" s="3487"/>
      <c r="C109" s="3486"/>
    </row>
    <row r="110" spans="2:3" s="3004" customFormat="1">
      <c r="B110" s="3487"/>
      <c r="C110" s="3486"/>
    </row>
    <row r="111" spans="2:3" s="3004" customFormat="1">
      <c r="B111" s="3487"/>
      <c r="C111" s="3486"/>
    </row>
    <row r="112" spans="2:3" s="3004" customFormat="1">
      <c r="B112" s="3487"/>
      <c r="C112" s="3486"/>
    </row>
    <row r="113" spans="2:3" s="3004" customFormat="1">
      <c r="B113" s="3487"/>
      <c r="C113" s="3486"/>
    </row>
    <row r="114" spans="2:3" s="3004" customFormat="1">
      <c r="B114" s="3487"/>
      <c r="C114" s="3486"/>
    </row>
    <row r="115" spans="2:3" s="3004" customFormat="1">
      <c r="B115" s="3487"/>
      <c r="C115" s="3486"/>
    </row>
    <row r="116" spans="2:3" s="3004" customFormat="1">
      <c r="B116" s="3487"/>
      <c r="C116" s="3486"/>
    </row>
    <row r="117" spans="2:3" s="3004" customFormat="1">
      <c r="B117" s="3487"/>
      <c r="C117" s="3486"/>
    </row>
    <row r="118" spans="2:3" s="3004" customFormat="1">
      <c r="B118" s="3487"/>
      <c r="C118" s="3486"/>
    </row>
    <row r="119" spans="2:3" s="3004" customFormat="1">
      <c r="B119" s="3487"/>
      <c r="C119" s="3486"/>
    </row>
    <row r="120" spans="2:3" s="3004" customFormat="1">
      <c r="B120" s="3487"/>
      <c r="C120" s="3486"/>
    </row>
    <row r="121" spans="2:3" s="3004" customFormat="1">
      <c r="B121" s="3487"/>
      <c r="C121" s="3486"/>
    </row>
    <row r="122" spans="2:3" s="3004" customFormat="1">
      <c r="B122" s="3487"/>
      <c r="C122" s="3486"/>
    </row>
    <row r="123" spans="2:3" s="3004" customFormat="1">
      <c r="B123" s="3487"/>
      <c r="C123" s="3486"/>
    </row>
    <row r="124" spans="2:3" s="3004" customFormat="1">
      <c r="B124" s="3487"/>
      <c r="C124" s="3486"/>
    </row>
    <row r="125" spans="2:3" s="3004" customFormat="1">
      <c r="B125" s="3487"/>
      <c r="C125" s="3486"/>
    </row>
    <row r="126" spans="2:3" s="3004" customFormat="1">
      <c r="B126" s="3487"/>
      <c r="C126" s="3486"/>
    </row>
    <row r="127" spans="2:3" s="3004" customFormat="1">
      <c r="B127" s="3487"/>
      <c r="C127" s="3486"/>
    </row>
    <row r="128" spans="2:3" s="3004" customFormat="1">
      <c r="B128" s="3487"/>
      <c r="C128" s="3486"/>
    </row>
    <row r="129" spans="2:3" s="3004" customFormat="1">
      <c r="B129" s="3487"/>
      <c r="C129" s="3486"/>
    </row>
    <row r="130" spans="2:3" s="3004" customFormat="1">
      <c r="B130" s="3487"/>
      <c r="C130" s="3486"/>
    </row>
    <row r="131" spans="2:3" s="3004" customFormat="1">
      <c r="B131" s="3487"/>
      <c r="C131" s="3486"/>
    </row>
    <row r="132" spans="2:3" s="3004" customFormat="1">
      <c r="B132" s="3487"/>
      <c r="C132" s="3486"/>
    </row>
    <row r="133" spans="2:3" s="3004" customFormat="1">
      <c r="B133" s="3487"/>
      <c r="C133" s="3486"/>
    </row>
    <row r="134" spans="2:3" s="3004" customFormat="1">
      <c r="B134" s="3487"/>
      <c r="C134" s="3486"/>
    </row>
    <row r="135" spans="2:3" s="3004" customFormat="1">
      <c r="B135" s="3487"/>
      <c r="C135" s="3486"/>
    </row>
    <row r="136" spans="2:3" s="3004" customFormat="1">
      <c r="B136" s="3487"/>
      <c r="C136" s="3486"/>
    </row>
    <row r="137" spans="2:3" s="3004" customFormat="1">
      <c r="B137" s="3487"/>
      <c r="C137" s="3486"/>
    </row>
    <row r="138" spans="2:3" s="3004" customFormat="1">
      <c r="B138" s="3487"/>
      <c r="C138" s="3486"/>
    </row>
    <row r="139" spans="2:3" s="3004" customFormat="1">
      <c r="B139" s="3487"/>
      <c r="C139" s="3486"/>
    </row>
    <row r="140" spans="2:3" s="3004" customFormat="1">
      <c r="B140" s="3487"/>
      <c r="C140" s="3486"/>
    </row>
    <row r="141" spans="2:3" s="3004" customFormat="1">
      <c r="B141" s="3487"/>
      <c r="C141" s="3486"/>
    </row>
    <row r="142" spans="2:3" s="3004" customFormat="1">
      <c r="B142" s="3487"/>
      <c r="C142" s="3486"/>
    </row>
    <row r="143" spans="2:3" s="3004" customFormat="1">
      <c r="B143" s="3487"/>
      <c r="C143" s="3486"/>
    </row>
    <row r="144" spans="2:3" s="3004" customFormat="1">
      <c r="B144" s="3487"/>
      <c r="C144" s="3486"/>
    </row>
    <row r="145" spans="2:3" s="3004" customFormat="1">
      <c r="B145" s="3487"/>
      <c r="C145" s="3486"/>
    </row>
    <row r="146" spans="2:3" s="3004" customFormat="1">
      <c r="B146" s="3487"/>
      <c r="C146" s="3486"/>
    </row>
    <row r="147" spans="2:3" s="3004" customFormat="1">
      <c r="B147" s="3487"/>
      <c r="C147" s="3486"/>
    </row>
    <row r="148" spans="2:3" s="3004" customFormat="1">
      <c r="B148" s="3487"/>
      <c r="C148" s="3486"/>
    </row>
    <row r="149" spans="2:3" s="3004" customFormat="1">
      <c r="B149" s="3487"/>
      <c r="C149" s="3486"/>
    </row>
  </sheetData>
  <mergeCells count="5">
    <mergeCell ref="A2:B2"/>
    <mergeCell ref="A3:A6"/>
    <mergeCell ref="A7:A15"/>
    <mergeCell ref="A16:B16"/>
    <mergeCell ref="A17:B17"/>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43" sqref="A1:XFD104857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4" sqref="A1:XFD104857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3" t="s">
        <v>925</v>
      </c>
      <c r="E3" s="853" t="s">
        <v>931</v>
      </c>
      <c r="F3" s="853" t="s">
        <v>925</v>
      </c>
      <c r="G3" s="853" t="s">
        <v>926</v>
      </c>
      <c r="H3" s="853" t="s">
        <v>925</v>
      </c>
      <c r="I3" s="853" t="s">
        <v>926</v>
      </c>
    </row>
    <row r="4" spans="1:9" ht="15">
      <c r="A4" s="1503" t="str">
        <f>项目基本情况!S2</f>
        <v>北京市房地产</v>
      </c>
      <c r="B4" s="853">
        <f>项目基本情况!C17</f>
        <v>33618.589999999997</v>
      </c>
      <c r="C4" s="853">
        <f>项目基本情况!C18</f>
        <v>22981.55</v>
      </c>
      <c r="D4" s="853">
        <f ca="1">结果表!D118</f>
        <v>9280</v>
      </c>
      <c r="E4" s="853">
        <f ca="1">结果表!E118</f>
        <v>2761</v>
      </c>
      <c r="F4" s="853">
        <f ca="1">结果表!F118</f>
        <v>39564</v>
      </c>
      <c r="G4" s="853">
        <f ca="1">结果表!G118</f>
        <v>11768</v>
      </c>
      <c r="H4" s="853">
        <f ca="1">结果表!H118</f>
        <v>48844</v>
      </c>
      <c r="I4" s="853">
        <f ca="1">结果表!I118</f>
        <v>14529</v>
      </c>
    </row>
    <row r="5" spans="1:9" ht="30" customHeight="1">
      <c r="A5" s="3508" t="s">
        <v>927</v>
      </c>
      <c r="B5" s="3508"/>
      <c r="C5" s="3508"/>
      <c r="D5" s="3508" t="str">
        <f ca="1">结果表!D119</f>
        <v>玖仟贰佰捌拾万元整</v>
      </c>
      <c r="E5" s="3508"/>
      <c r="F5" s="3508" t="str">
        <f ca="1">结果表!F119</f>
        <v>叁亿玖仟伍佰陆拾肆万元整</v>
      </c>
      <c r="G5" s="3508"/>
      <c r="H5" s="3508" t="str">
        <f ca="1">结果表!H119</f>
        <v>肆亿捌仟捌佰肆拾肆万元整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48844</v>
      </c>
      <c r="E8" s="3507"/>
      <c r="F8" s="3507"/>
      <c r="G8" s="3507"/>
      <c r="H8" s="3507"/>
      <c r="I8" s="3507"/>
    </row>
    <row r="9" spans="1:9" ht="15">
      <c r="A9" s="3508" t="s">
        <v>927</v>
      </c>
      <c r="B9" s="3508"/>
      <c r="C9" s="3508"/>
      <c r="D9" s="3508" t="str">
        <f ca="1">结果表!D123</f>
        <v>肆亿捌仟捌佰肆拾肆万元整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0" t="s">
        <v>949</v>
      </c>
      <c r="B1" s="3520"/>
      <c r="C1" s="3520"/>
      <c r="D1" s="3520"/>
    </row>
    <row r="2" spans="1:4" ht="18">
      <c r="A2" s="3521" t="s">
        <v>933</v>
      </c>
      <c r="B2" s="3521"/>
      <c r="C2" s="3521"/>
      <c r="D2" s="3521"/>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21" t="s">
        <v>939</v>
      </c>
      <c r="B6" s="3521"/>
      <c r="C6" s="3521"/>
      <c r="D6" s="352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945</v>
      </c>
      <c r="B22" s="3518"/>
      <c r="C22" s="3518"/>
      <c r="D22" s="351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28" t="s">
        <v>956</v>
      </c>
      <c r="B15" s="3523" t="s">
        <v>109</v>
      </c>
      <c r="C15" s="3524"/>
    </row>
    <row r="16" spans="1:7" ht="13.5">
      <c r="A16" s="3529"/>
      <c r="B16" s="3523" t="s">
        <v>42</v>
      </c>
      <c r="C16" s="3524"/>
    </row>
    <row r="17" spans="1:3" ht="13.5">
      <c r="A17" s="3529"/>
      <c r="B17" s="3526" t="s">
        <v>957</v>
      </c>
      <c r="C17" s="1530" t="s">
        <v>956</v>
      </c>
    </row>
    <row r="18" spans="1:3" ht="13.5">
      <c r="A18" s="3529"/>
      <c r="B18" s="3526"/>
      <c r="C18" s="1530" t="s">
        <v>958</v>
      </c>
    </row>
    <row r="19" spans="1:3" ht="13.5">
      <c r="A19" s="3529"/>
      <c r="B19" s="3526"/>
      <c r="C19" s="1530" t="s">
        <v>959</v>
      </c>
    </row>
    <row r="20" spans="1:3" ht="13.5">
      <c r="A20" s="3530"/>
      <c r="B20" s="3525" t="s">
        <v>960</v>
      </c>
      <c r="C20" s="3524"/>
    </row>
    <row r="21" spans="1:3" ht="13.5">
      <c r="A21" s="1531" t="s">
        <v>961</v>
      </c>
      <c r="B21" s="1532"/>
      <c r="C21" s="1533"/>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30" t="s">
        <v>967</v>
      </c>
    </row>
    <row r="26" spans="1:3" ht="13.5">
      <c r="A26" s="3527"/>
      <c r="B26" s="3526"/>
      <c r="C26" s="1530" t="s">
        <v>968</v>
      </c>
    </row>
    <row r="27" spans="1:3" ht="13.5">
      <c r="A27" s="3527"/>
      <c r="B27" s="3526"/>
      <c r="C27" s="1530" t="s">
        <v>969</v>
      </c>
    </row>
    <row r="28" spans="1:3" ht="13.5">
      <c r="A28" s="3527"/>
      <c r="B28" s="3526"/>
      <c r="C28" s="1530" t="s">
        <v>970</v>
      </c>
    </row>
    <row r="29" spans="1:3" ht="13.5">
      <c r="A29" s="3527"/>
      <c r="B29" s="3526"/>
      <c r="C29" s="1530" t="s">
        <v>971</v>
      </c>
    </row>
    <row r="30" spans="1:3" ht="13.5">
      <c r="A30" s="3527"/>
      <c r="B30" s="3526"/>
      <c r="C30" s="1530" t="s">
        <v>972</v>
      </c>
    </row>
    <row r="31" spans="1:3" ht="13.5">
      <c r="A31" s="3527"/>
      <c r="B31" s="3526"/>
      <c r="C31" s="1530" t="s">
        <v>973</v>
      </c>
    </row>
    <row r="32" spans="1:3" ht="13.5">
      <c r="A32" s="3527"/>
      <c r="B32" s="3526"/>
      <c r="C32" s="1530" t="s">
        <v>974</v>
      </c>
    </row>
    <row r="33" spans="1:3" ht="13.5">
      <c r="A33" s="3527"/>
      <c r="B33" s="352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45573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31" t="s">
        <v>2159</v>
      </c>
      <c r="B17" s="3531"/>
      <c r="C17" s="3531"/>
      <c r="D17" s="3531"/>
      <c r="E17" s="3531"/>
      <c r="F17" s="3531"/>
      <c r="G17" s="3531"/>
      <c r="H17" s="3531"/>
    </row>
    <row r="18" spans="1:8" ht="24" customHeight="1">
      <c r="A18" s="3532" t="s">
        <v>2160</v>
      </c>
      <c r="B18" s="3532"/>
      <c r="C18" s="3532"/>
      <c r="D18" s="2341"/>
      <c r="E18" s="3533" t="s">
        <v>2161</v>
      </c>
      <c r="F18" s="3532"/>
      <c r="G18" s="353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面积整理</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酒店经营收入</vt:lpstr>
      <vt:lpstr>酒店</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2024-10-08T08:11:50Z</dcterms:modified>
</cp:coreProperties>
</file>